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filterPrivacy="1"/>
  <xr:revisionPtr revIDLastSave="0" documentId="8_{1EBE181A-6249-4861-8005-9099EC88C2BD}" xr6:coauthVersionLast="47" xr6:coauthVersionMax="47" xr10:uidLastSave="{00000000-0000-0000-0000-000000000000}"/>
  <bookViews>
    <workbookView xWindow="1152" yWindow="1152" windowWidth="16416" windowHeight="8748" tabRatio="168"/>
  </bookViews>
  <sheets>
    <sheet name="AdrRepor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  <c r="BX2" i="1"/>
  <c r="BY2" i="1"/>
  <c r="BZ2" i="1"/>
  <c r="CA2" i="1"/>
  <c r="CB2" i="1"/>
  <c r="CC2" i="1"/>
  <c r="CD2" i="1"/>
  <c r="CE2" i="1"/>
  <c r="CF2" i="1"/>
  <c r="CG2" i="1"/>
  <c r="CH2" i="1"/>
  <c r="J3" i="1"/>
  <c r="BX3" i="1"/>
  <c r="BY3" i="1"/>
  <c r="BZ3" i="1"/>
  <c r="CA3" i="1"/>
  <c r="CB3" i="1"/>
  <c r="CC3" i="1"/>
  <c r="CD3" i="1"/>
  <c r="CE3" i="1"/>
  <c r="CF3" i="1"/>
  <c r="CG3" i="1"/>
  <c r="CH3" i="1"/>
  <c r="J4" i="1"/>
  <c r="BX4" i="1"/>
  <c r="BY4" i="1"/>
  <c r="BZ4" i="1"/>
  <c r="CA4" i="1"/>
  <c r="CB4" i="1"/>
  <c r="CC4" i="1"/>
  <c r="CD4" i="1"/>
  <c r="CE4" i="1"/>
  <c r="CF4" i="1"/>
  <c r="CG4" i="1"/>
  <c r="CH4" i="1"/>
  <c r="J5" i="1"/>
  <c r="BX5" i="1"/>
  <c r="BY5" i="1"/>
  <c r="BZ5" i="1"/>
  <c r="CA5" i="1"/>
  <c r="CB5" i="1"/>
  <c r="CC5" i="1"/>
  <c r="CD5" i="1"/>
  <c r="CE5" i="1"/>
  <c r="CF5" i="1"/>
  <c r="CG5" i="1"/>
  <c r="CH5" i="1"/>
  <c r="J6" i="1"/>
  <c r="BX6" i="1"/>
  <c r="BY6" i="1"/>
  <c r="BZ6" i="1"/>
  <c r="CA6" i="1"/>
  <c r="CB6" i="1"/>
  <c r="CC6" i="1"/>
  <c r="CD6" i="1"/>
  <c r="CE6" i="1"/>
  <c r="CF6" i="1"/>
  <c r="CG6" i="1"/>
  <c r="CH6" i="1"/>
  <c r="J7" i="1"/>
  <c r="BX7" i="1"/>
  <c r="BY7" i="1"/>
  <c r="BZ7" i="1"/>
  <c r="CA7" i="1"/>
  <c r="CB7" i="1"/>
  <c r="CC7" i="1"/>
  <c r="CD7" i="1"/>
  <c r="CE7" i="1"/>
  <c r="CF7" i="1"/>
  <c r="CG7" i="1"/>
  <c r="CH7" i="1"/>
  <c r="BX8" i="1"/>
  <c r="BY8" i="1"/>
  <c r="BZ8" i="1"/>
  <c r="CA8" i="1"/>
  <c r="CB8" i="1"/>
  <c r="CC8" i="1"/>
  <c r="CD8" i="1"/>
  <c r="CE8" i="1"/>
  <c r="CF8" i="1"/>
  <c r="CG8" i="1"/>
  <c r="CH8" i="1"/>
  <c r="J9" i="1"/>
  <c r="BX9" i="1"/>
  <c r="BY9" i="1"/>
  <c r="BZ9" i="1"/>
  <c r="CA9" i="1"/>
  <c r="CB9" i="1"/>
  <c r="CC9" i="1"/>
  <c r="CD9" i="1"/>
  <c r="CE9" i="1"/>
  <c r="CF9" i="1"/>
  <c r="CG9" i="1"/>
  <c r="CH9" i="1"/>
  <c r="J10" i="1"/>
  <c r="BX10" i="1"/>
  <c r="BY10" i="1"/>
  <c r="BZ10" i="1"/>
  <c r="CA10" i="1"/>
  <c r="CB10" i="1"/>
  <c r="CC10" i="1"/>
  <c r="CD10" i="1"/>
  <c r="CE10" i="1"/>
  <c r="CF10" i="1"/>
  <c r="CG10" i="1"/>
  <c r="CH10" i="1"/>
  <c r="J11" i="1"/>
  <c r="BX11" i="1"/>
  <c r="BY11" i="1"/>
  <c r="BZ11" i="1"/>
  <c r="CA11" i="1"/>
  <c r="CB11" i="1"/>
  <c r="CC11" i="1"/>
  <c r="CD11" i="1"/>
  <c r="CE11" i="1"/>
  <c r="CF11" i="1"/>
  <c r="CG11" i="1"/>
  <c r="CH11" i="1"/>
  <c r="J12" i="1"/>
  <c r="BX12" i="1"/>
  <c r="BY12" i="1"/>
  <c r="BZ12" i="1"/>
  <c r="CA12" i="1"/>
  <c r="CB12" i="1"/>
  <c r="CC12" i="1"/>
  <c r="CD12" i="1"/>
  <c r="CE12" i="1"/>
  <c r="CF12" i="1"/>
  <c r="CG12" i="1"/>
  <c r="CH12" i="1"/>
  <c r="J13" i="1"/>
  <c r="BX13" i="1"/>
  <c r="BY13" i="1"/>
  <c r="BZ13" i="1"/>
  <c r="CA13" i="1"/>
  <c r="CB13" i="1"/>
  <c r="CC13" i="1"/>
  <c r="CD13" i="1"/>
  <c r="CE13" i="1"/>
  <c r="CF13" i="1"/>
  <c r="CG13" i="1"/>
  <c r="CH13" i="1"/>
  <c r="J14" i="1"/>
  <c r="BX14" i="1"/>
  <c r="BY14" i="1"/>
  <c r="BZ14" i="1"/>
  <c r="CA14" i="1"/>
  <c r="CB14" i="1"/>
  <c r="CC14" i="1"/>
  <c r="CD14" i="1"/>
  <c r="CE14" i="1"/>
  <c r="CF14" i="1"/>
  <c r="CG14" i="1"/>
  <c r="CH14" i="1"/>
  <c r="J15" i="1"/>
  <c r="BX15" i="1"/>
  <c r="BY15" i="1"/>
  <c r="BZ15" i="1"/>
  <c r="CA15" i="1"/>
  <c r="CB15" i="1"/>
  <c r="CC15" i="1"/>
  <c r="CD15" i="1"/>
  <c r="CE15" i="1"/>
  <c r="CF15" i="1"/>
  <c r="CG15" i="1"/>
  <c r="CH15" i="1"/>
  <c r="J16" i="1"/>
  <c r="BX16" i="1"/>
  <c r="BY16" i="1"/>
  <c r="BZ16" i="1"/>
  <c r="CA16" i="1"/>
  <c r="CB16" i="1"/>
  <c r="CC16" i="1"/>
  <c r="CD16" i="1"/>
  <c r="CE16" i="1"/>
  <c r="CF16" i="1"/>
  <c r="CG16" i="1"/>
  <c r="CH16" i="1"/>
  <c r="J17" i="1"/>
  <c r="BX17" i="1"/>
  <c r="BY17" i="1"/>
  <c r="BZ17" i="1"/>
  <c r="CA17" i="1"/>
  <c r="CB17" i="1"/>
  <c r="CC17" i="1"/>
  <c r="CD17" i="1"/>
  <c r="CE17" i="1"/>
  <c r="CF17" i="1"/>
  <c r="CG17" i="1"/>
  <c r="CH17" i="1"/>
  <c r="J18" i="1"/>
  <c r="BX18" i="1"/>
  <c r="BY18" i="1"/>
  <c r="BZ18" i="1"/>
  <c r="CA18" i="1"/>
  <c r="CB18" i="1"/>
  <c r="CC18" i="1"/>
  <c r="CD18" i="1"/>
  <c r="CE18" i="1"/>
  <c r="CF18" i="1"/>
  <c r="CG18" i="1"/>
  <c r="CH18" i="1"/>
  <c r="J19" i="1"/>
  <c r="BX19" i="1"/>
  <c r="BY19" i="1"/>
  <c r="BZ19" i="1"/>
  <c r="CA19" i="1"/>
  <c r="CB19" i="1"/>
  <c r="CC19" i="1"/>
  <c r="CD19" i="1"/>
  <c r="CE19" i="1"/>
  <c r="CF19" i="1"/>
  <c r="CG19" i="1"/>
  <c r="CH19" i="1"/>
  <c r="J20" i="1"/>
  <c r="BX20" i="1"/>
  <c r="BY20" i="1"/>
  <c r="BZ20" i="1"/>
  <c r="CA20" i="1"/>
  <c r="CB20" i="1"/>
  <c r="CC20" i="1"/>
  <c r="CD20" i="1"/>
  <c r="CE20" i="1"/>
  <c r="CF20" i="1"/>
  <c r="CG20" i="1"/>
  <c r="CH20" i="1"/>
  <c r="J21" i="1"/>
  <c r="BX21" i="1"/>
  <c r="BY21" i="1"/>
  <c r="BZ21" i="1"/>
  <c r="CA21" i="1"/>
  <c r="CB21" i="1"/>
  <c r="CC21" i="1"/>
  <c r="CD21" i="1"/>
  <c r="CE21" i="1"/>
  <c r="CF21" i="1"/>
  <c r="CG21" i="1"/>
  <c r="CH21" i="1"/>
  <c r="J22" i="1"/>
  <c r="BX22" i="1"/>
  <c r="BY22" i="1"/>
  <c r="BZ22" i="1"/>
  <c r="CA22" i="1"/>
  <c r="CB22" i="1"/>
  <c r="CC22" i="1"/>
  <c r="CD22" i="1"/>
  <c r="CE22" i="1"/>
  <c r="CF22" i="1"/>
  <c r="CG22" i="1"/>
  <c r="CH22" i="1"/>
  <c r="J23" i="1"/>
  <c r="BX23" i="1"/>
  <c r="BY23" i="1"/>
  <c r="BZ23" i="1"/>
  <c r="CA23" i="1"/>
  <c r="CB23" i="1"/>
  <c r="CC23" i="1"/>
  <c r="CD23" i="1"/>
  <c r="CE23" i="1"/>
  <c r="CF23" i="1"/>
  <c r="CG23" i="1"/>
  <c r="CH23" i="1"/>
  <c r="J24" i="1"/>
  <c r="BX24" i="1"/>
  <c r="BY24" i="1"/>
  <c r="BZ24" i="1"/>
  <c r="CA24" i="1"/>
  <c r="CB24" i="1"/>
  <c r="CC24" i="1"/>
  <c r="CD24" i="1"/>
  <c r="CE24" i="1"/>
  <c r="CF24" i="1"/>
  <c r="CG24" i="1"/>
  <c r="CH24" i="1"/>
  <c r="J25" i="1"/>
  <c r="BX25" i="1"/>
  <c r="BY25" i="1"/>
  <c r="BZ25" i="1"/>
  <c r="CA25" i="1"/>
  <c r="CB25" i="1"/>
  <c r="CC25" i="1"/>
  <c r="CD25" i="1"/>
  <c r="CE25" i="1"/>
  <c r="CF25" i="1"/>
  <c r="CG25" i="1"/>
  <c r="CH25" i="1"/>
  <c r="J26" i="1"/>
  <c r="BX26" i="1"/>
  <c r="BY26" i="1"/>
  <c r="BZ26" i="1"/>
  <c r="CA26" i="1"/>
  <c r="CB26" i="1"/>
  <c r="CC26" i="1"/>
  <c r="CD26" i="1"/>
  <c r="CE26" i="1"/>
  <c r="CF26" i="1"/>
  <c r="CG26" i="1"/>
  <c r="CH26" i="1"/>
  <c r="J27" i="1"/>
  <c r="BX27" i="1"/>
  <c r="BY27" i="1"/>
  <c r="BZ27" i="1"/>
  <c r="CA27" i="1"/>
  <c r="CB27" i="1"/>
  <c r="CC27" i="1"/>
  <c r="CD27" i="1"/>
  <c r="CE27" i="1"/>
  <c r="CF27" i="1"/>
  <c r="CG27" i="1"/>
  <c r="CH27" i="1"/>
  <c r="J28" i="1"/>
  <c r="BX28" i="1"/>
  <c r="BY28" i="1"/>
  <c r="BZ28" i="1"/>
  <c r="CA28" i="1"/>
  <c r="CB28" i="1"/>
  <c r="CC28" i="1"/>
  <c r="CD28" i="1"/>
  <c r="CE28" i="1"/>
  <c r="CF28" i="1"/>
  <c r="CG28" i="1"/>
  <c r="CH28" i="1"/>
  <c r="J29" i="1"/>
  <c r="BX29" i="1"/>
  <c r="BY29" i="1"/>
  <c r="BZ29" i="1"/>
  <c r="CA29" i="1"/>
  <c r="CB29" i="1"/>
  <c r="CC29" i="1"/>
  <c r="CD29" i="1"/>
  <c r="CE29" i="1"/>
  <c r="CF29" i="1"/>
  <c r="CG29" i="1"/>
  <c r="CH29" i="1"/>
  <c r="J30" i="1"/>
  <c r="BX30" i="1"/>
  <c r="BY30" i="1"/>
  <c r="BZ30" i="1"/>
  <c r="CA30" i="1"/>
  <c r="CB30" i="1"/>
  <c r="CC30" i="1"/>
  <c r="CD30" i="1"/>
  <c r="CE30" i="1"/>
  <c r="CF30" i="1"/>
  <c r="CG30" i="1"/>
  <c r="CH30" i="1"/>
  <c r="J31" i="1"/>
  <c r="BX31" i="1"/>
  <c r="BY31" i="1"/>
  <c r="BZ31" i="1"/>
  <c r="CA31" i="1"/>
  <c r="CB31" i="1"/>
  <c r="CC31" i="1"/>
  <c r="CD31" i="1"/>
  <c r="CE31" i="1"/>
  <c r="CF31" i="1"/>
  <c r="CG31" i="1"/>
  <c r="CH31" i="1"/>
  <c r="J32" i="1"/>
  <c r="BX32" i="1"/>
  <c r="BY32" i="1"/>
  <c r="BZ32" i="1"/>
  <c r="CA32" i="1"/>
  <c r="CB32" i="1"/>
  <c r="CC32" i="1"/>
  <c r="CD32" i="1"/>
  <c r="CE32" i="1"/>
  <c r="CF32" i="1"/>
  <c r="CG32" i="1"/>
  <c r="CH32" i="1"/>
  <c r="J33" i="1"/>
  <c r="BX33" i="1"/>
  <c r="BY33" i="1"/>
  <c r="BZ33" i="1"/>
  <c r="CA33" i="1"/>
  <c r="CB33" i="1"/>
  <c r="CC33" i="1"/>
  <c r="CD33" i="1"/>
  <c r="CE33" i="1"/>
  <c r="CF33" i="1"/>
  <c r="CG33" i="1"/>
  <c r="CH33" i="1"/>
  <c r="J34" i="1"/>
  <c r="BX34" i="1"/>
  <c r="BY34" i="1"/>
  <c r="BZ34" i="1"/>
  <c r="CA34" i="1"/>
  <c r="CB34" i="1"/>
  <c r="CC34" i="1"/>
  <c r="CD34" i="1"/>
  <c r="CE34" i="1"/>
  <c r="CF34" i="1"/>
  <c r="CG34" i="1"/>
  <c r="CH34" i="1"/>
  <c r="J35" i="1"/>
  <c r="BX35" i="1"/>
  <c r="BY35" i="1"/>
  <c r="BZ35" i="1"/>
  <c r="CA35" i="1"/>
  <c r="CB35" i="1"/>
  <c r="CC35" i="1"/>
  <c r="CD35" i="1"/>
  <c r="CE35" i="1"/>
  <c r="CF35" i="1"/>
  <c r="CG35" i="1"/>
  <c r="CH35" i="1"/>
  <c r="J36" i="1"/>
  <c r="BX36" i="1"/>
  <c r="BY36" i="1"/>
  <c r="BZ36" i="1"/>
  <c r="CA36" i="1"/>
  <c r="CB36" i="1"/>
  <c r="CC36" i="1"/>
  <c r="CD36" i="1"/>
  <c r="CE36" i="1"/>
  <c r="CF36" i="1"/>
  <c r="CG36" i="1"/>
  <c r="CH36" i="1"/>
  <c r="J37" i="1"/>
  <c r="BX37" i="1"/>
  <c r="BY37" i="1"/>
  <c r="BZ37" i="1"/>
  <c r="CA37" i="1"/>
  <c r="CB37" i="1"/>
  <c r="CC37" i="1"/>
  <c r="CD37" i="1"/>
  <c r="CE37" i="1"/>
  <c r="CF37" i="1"/>
  <c r="CG37" i="1"/>
  <c r="CH37" i="1"/>
  <c r="J38" i="1"/>
  <c r="BX38" i="1"/>
  <c r="BY38" i="1"/>
  <c r="BZ38" i="1"/>
  <c r="CA38" i="1"/>
  <c r="CB38" i="1"/>
  <c r="CC38" i="1"/>
  <c r="CD38" i="1"/>
  <c r="CE38" i="1"/>
  <c r="CF38" i="1"/>
  <c r="CG38" i="1"/>
  <c r="CH38" i="1"/>
  <c r="J39" i="1"/>
  <c r="BX39" i="1"/>
  <c r="BY39" i="1"/>
  <c r="BZ39" i="1"/>
  <c r="CA39" i="1"/>
  <c r="CB39" i="1"/>
  <c r="CC39" i="1"/>
  <c r="CD39" i="1"/>
  <c r="CE39" i="1"/>
  <c r="CF39" i="1"/>
  <c r="CG39" i="1"/>
  <c r="CH39" i="1"/>
  <c r="J40" i="1"/>
  <c r="BX40" i="1"/>
  <c r="BY40" i="1"/>
  <c r="BZ40" i="1"/>
  <c r="CA40" i="1"/>
  <c r="CB40" i="1"/>
  <c r="CC40" i="1"/>
  <c r="CD40" i="1"/>
  <c r="CE40" i="1"/>
  <c r="CF40" i="1"/>
  <c r="CG40" i="1"/>
  <c r="CH40" i="1"/>
  <c r="J41" i="1"/>
  <c r="BX41" i="1"/>
  <c r="BY41" i="1"/>
  <c r="BZ41" i="1"/>
  <c r="CA41" i="1"/>
  <c r="CB41" i="1"/>
  <c r="CC41" i="1"/>
  <c r="CD41" i="1"/>
  <c r="CE41" i="1"/>
  <c r="CF41" i="1"/>
  <c r="CG41" i="1"/>
  <c r="CH41" i="1"/>
  <c r="BX42" i="1"/>
  <c r="BY42" i="1"/>
  <c r="BZ42" i="1"/>
  <c r="CA42" i="1"/>
  <c r="CB42" i="1"/>
  <c r="CC42" i="1"/>
  <c r="CD42" i="1"/>
  <c r="CE42" i="1"/>
  <c r="CF42" i="1"/>
  <c r="CG42" i="1"/>
  <c r="CH42" i="1"/>
  <c r="J43" i="1"/>
  <c r="BX43" i="1"/>
  <c r="BY43" i="1"/>
  <c r="BZ43" i="1"/>
  <c r="CA43" i="1"/>
  <c r="CB43" i="1"/>
  <c r="CC43" i="1"/>
  <c r="CD43" i="1"/>
  <c r="CE43" i="1"/>
  <c r="CF43" i="1"/>
  <c r="CG43" i="1"/>
  <c r="CH43" i="1"/>
  <c r="J44" i="1"/>
  <c r="BX44" i="1"/>
  <c r="BY44" i="1"/>
  <c r="BZ44" i="1"/>
  <c r="CA44" i="1"/>
  <c r="CB44" i="1"/>
  <c r="CC44" i="1"/>
  <c r="CD44" i="1"/>
  <c r="CE44" i="1"/>
  <c r="CF44" i="1"/>
  <c r="CG44" i="1"/>
  <c r="CH44" i="1"/>
  <c r="J45" i="1"/>
  <c r="BX45" i="1"/>
  <c r="BY45" i="1"/>
  <c r="BZ45" i="1"/>
  <c r="CA45" i="1"/>
  <c r="CB45" i="1"/>
  <c r="CC45" i="1"/>
  <c r="CD45" i="1"/>
  <c r="CE45" i="1"/>
  <c r="CF45" i="1"/>
  <c r="CG45" i="1"/>
  <c r="CH45" i="1"/>
  <c r="J46" i="1"/>
  <c r="BX46" i="1"/>
  <c r="BY46" i="1"/>
  <c r="BZ46" i="1"/>
  <c r="CA46" i="1"/>
  <c r="CB46" i="1"/>
  <c r="CC46" i="1"/>
  <c r="CD46" i="1"/>
  <c r="CE46" i="1"/>
  <c r="CF46" i="1"/>
  <c r="CG46" i="1"/>
  <c r="CH46" i="1"/>
  <c r="J47" i="1"/>
  <c r="BX47" i="1"/>
  <c r="BY47" i="1"/>
  <c r="BZ47" i="1"/>
  <c r="CA47" i="1"/>
  <c r="CB47" i="1"/>
  <c r="CC47" i="1"/>
  <c r="CD47" i="1"/>
  <c r="CE47" i="1"/>
  <c r="CF47" i="1"/>
  <c r="CG47" i="1"/>
  <c r="CH47" i="1"/>
  <c r="J48" i="1"/>
  <c r="BX48" i="1"/>
  <c r="BY48" i="1"/>
  <c r="BZ48" i="1"/>
  <c r="CA48" i="1"/>
  <c r="CB48" i="1"/>
  <c r="CC48" i="1"/>
  <c r="CD48" i="1"/>
  <c r="CE48" i="1"/>
  <c r="CF48" i="1"/>
  <c r="CG48" i="1"/>
  <c r="CH48" i="1"/>
  <c r="J49" i="1"/>
  <c r="BX49" i="1"/>
  <c r="BY49" i="1"/>
  <c r="BZ49" i="1"/>
  <c r="CA49" i="1"/>
  <c r="CB49" i="1"/>
  <c r="CC49" i="1"/>
  <c r="CD49" i="1"/>
  <c r="CE49" i="1"/>
  <c r="CF49" i="1"/>
  <c r="CG49" i="1"/>
  <c r="CH49" i="1"/>
  <c r="J50" i="1"/>
  <c r="BX50" i="1"/>
  <c r="BY50" i="1"/>
  <c r="BZ50" i="1"/>
  <c r="CA50" i="1"/>
  <c r="CB50" i="1"/>
  <c r="CC50" i="1"/>
  <c r="CD50" i="1"/>
  <c r="CE50" i="1"/>
  <c r="CF50" i="1"/>
  <c r="CG50" i="1"/>
  <c r="CH50" i="1"/>
  <c r="J51" i="1"/>
  <c r="BX51" i="1"/>
  <c r="BY51" i="1"/>
  <c r="BZ51" i="1"/>
  <c r="CA51" i="1"/>
  <c r="CB51" i="1"/>
  <c r="CC51" i="1"/>
  <c r="CD51" i="1"/>
  <c r="CE51" i="1"/>
  <c r="CF51" i="1"/>
  <c r="CG51" i="1"/>
  <c r="CH51" i="1"/>
  <c r="J52" i="1"/>
  <c r="BX52" i="1"/>
  <c r="BY52" i="1"/>
  <c r="BZ52" i="1"/>
  <c r="CA52" i="1"/>
  <c r="CB52" i="1"/>
  <c r="CC52" i="1"/>
  <c r="CD52" i="1"/>
  <c r="CE52" i="1"/>
  <c r="CF52" i="1"/>
  <c r="CG52" i="1"/>
  <c r="CH52" i="1"/>
  <c r="J53" i="1"/>
  <c r="BX53" i="1"/>
  <c r="BY53" i="1"/>
  <c r="BZ53" i="1"/>
  <c r="CA53" i="1"/>
  <c r="CB53" i="1"/>
  <c r="CC53" i="1"/>
  <c r="CD53" i="1"/>
  <c r="CE53" i="1"/>
  <c r="CF53" i="1"/>
  <c r="CG53" i="1"/>
  <c r="CH53" i="1"/>
  <c r="J54" i="1"/>
  <c r="BX54" i="1"/>
  <c r="BY54" i="1"/>
  <c r="BZ54" i="1"/>
  <c r="CA54" i="1"/>
  <c r="CB54" i="1"/>
  <c r="CC54" i="1"/>
  <c r="CD54" i="1"/>
  <c r="CE54" i="1"/>
  <c r="CF54" i="1"/>
  <c r="CG54" i="1"/>
  <c r="CH54" i="1"/>
  <c r="J55" i="1"/>
  <c r="BX55" i="1"/>
  <c r="BY55" i="1"/>
  <c r="BZ55" i="1"/>
  <c r="CA55" i="1"/>
  <c r="CB55" i="1"/>
  <c r="CC55" i="1"/>
  <c r="CD55" i="1"/>
  <c r="CE55" i="1"/>
  <c r="CF55" i="1"/>
  <c r="CG55" i="1"/>
  <c r="CH55" i="1"/>
  <c r="J56" i="1"/>
  <c r="BX56" i="1"/>
  <c r="BY56" i="1"/>
  <c r="BZ56" i="1"/>
  <c r="CA56" i="1"/>
  <c r="CB56" i="1"/>
  <c r="CC56" i="1"/>
  <c r="CD56" i="1"/>
  <c r="CE56" i="1"/>
  <c r="CF56" i="1"/>
  <c r="CG56" i="1"/>
  <c r="CH56" i="1"/>
  <c r="J57" i="1"/>
  <c r="BX57" i="1"/>
  <c r="BY57" i="1"/>
  <c r="BZ57" i="1"/>
  <c r="CA57" i="1"/>
  <c r="CB57" i="1"/>
  <c r="CC57" i="1"/>
  <c r="CD57" i="1"/>
  <c r="CE57" i="1"/>
  <c r="CF57" i="1"/>
  <c r="CG57" i="1"/>
  <c r="CH57" i="1"/>
  <c r="J58" i="1"/>
  <c r="BX58" i="1"/>
  <c r="BY58" i="1"/>
  <c r="BZ58" i="1"/>
  <c r="CA58" i="1"/>
  <c r="CB58" i="1"/>
  <c r="CC58" i="1"/>
  <c r="CD58" i="1"/>
  <c r="CE58" i="1"/>
  <c r="CF58" i="1"/>
  <c r="CG58" i="1"/>
  <c r="CH58" i="1"/>
  <c r="J59" i="1"/>
  <c r="BX59" i="1"/>
  <c r="BY59" i="1"/>
  <c r="BZ59" i="1"/>
  <c r="CA59" i="1"/>
  <c r="CB59" i="1"/>
  <c r="CC59" i="1"/>
  <c r="CD59" i="1"/>
  <c r="CE59" i="1"/>
  <c r="CF59" i="1"/>
  <c r="CG59" i="1"/>
  <c r="CH59" i="1"/>
  <c r="J60" i="1"/>
  <c r="BX60" i="1"/>
  <c r="BY60" i="1"/>
  <c r="BZ60" i="1"/>
  <c r="CA60" i="1"/>
  <c r="CB60" i="1"/>
  <c r="CC60" i="1"/>
  <c r="CD60" i="1"/>
  <c r="CE60" i="1"/>
  <c r="CF60" i="1"/>
  <c r="CG60" i="1"/>
  <c r="CH60" i="1"/>
  <c r="J61" i="1"/>
  <c r="BX61" i="1"/>
  <c r="BY61" i="1"/>
  <c r="BZ61" i="1"/>
  <c r="CA61" i="1"/>
  <c r="CB61" i="1"/>
  <c r="CC61" i="1"/>
  <c r="CD61" i="1"/>
  <c r="CE61" i="1"/>
  <c r="CF61" i="1"/>
  <c r="CG61" i="1"/>
  <c r="CH61" i="1"/>
  <c r="J62" i="1"/>
  <c r="BX62" i="1"/>
  <c r="BY62" i="1"/>
  <c r="BZ62" i="1"/>
  <c r="CA62" i="1"/>
  <c r="CB62" i="1"/>
  <c r="CC62" i="1"/>
  <c r="CD62" i="1"/>
  <c r="CE62" i="1"/>
  <c r="CF62" i="1"/>
  <c r="CG62" i="1"/>
  <c r="CH62" i="1"/>
  <c r="J63" i="1"/>
  <c r="BX63" i="1"/>
  <c r="BY63" i="1"/>
  <c r="BZ63" i="1"/>
  <c r="CA63" i="1"/>
  <c r="CB63" i="1"/>
  <c r="CC63" i="1"/>
  <c r="CD63" i="1"/>
  <c r="CE63" i="1"/>
  <c r="CF63" i="1"/>
  <c r="CG63" i="1"/>
  <c r="CH63" i="1"/>
  <c r="J64" i="1"/>
  <c r="BX64" i="1"/>
  <c r="BY64" i="1"/>
  <c r="BZ64" i="1"/>
  <c r="CA64" i="1"/>
  <c r="CB64" i="1"/>
  <c r="CC64" i="1"/>
  <c r="CD64" i="1"/>
  <c r="CE64" i="1"/>
  <c r="CF64" i="1"/>
  <c r="CG64" i="1"/>
  <c r="CH64" i="1"/>
  <c r="J65" i="1"/>
  <c r="BX65" i="1"/>
  <c r="BY65" i="1"/>
  <c r="BZ65" i="1"/>
  <c r="CA65" i="1"/>
  <c r="CB65" i="1"/>
  <c r="CC65" i="1"/>
  <c r="CD65" i="1"/>
  <c r="CE65" i="1"/>
  <c r="CF65" i="1"/>
  <c r="CG65" i="1"/>
  <c r="CH65" i="1"/>
  <c r="J66" i="1"/>
  <c r="BX66" i="1"/>
  <c r="BY66" i="1"/>
  <c r="BZ66" i="1"/>
  <c r="CA66" i="1"/>
  <c r="CB66" i="1"/>
  <c r="CC66" i="1"/>
  <c r="CD66" i="1"/>
  <c r="CE66" i="1"/>
  <c r="CF66" i="1"/>
  <c r="CG66" i="1"/>
  <c r="CH66" i="1"/>
  <c r="J67" i="1"/>
  <c r="BX67" i="1"/>
  <c r="BY67" i="1"/>
  <c r="BZ67" i="1"/>
  <c r="CA67" i="1"/>
  <c r="CB67" i="1"/>
  <c r="CC67" i="1"/>
  <c r="CD67" i="1"/>
  <c r="CE67" i="1"/>
  <c r="CF67" i="1"/>
  <c r="CG67" i="1"/>
  <c r="CH67" i="1"/>
  <c r="J68" i="1"/>
  <c r="BX68" i="1"/>
  <c r="BY68" i="1"/>
  <c r="BZ68" i="1"/>
  <c r="CA68" i="1"/>
  <c r="CB68" i="1"/>
  <c r="CC68" i="1"/>
  <c r="CD68" i="1"/>
  <c r="CE68" i="1"/>
  <c r="CF68" i="1"/>
  <c r="CG68" i="1"/>
  <c r="CH68" i="1"/>
  <c r="J69" i="1"/>
  <c r="BX69" i="1"/>
  <c r="BY69" i="1"/>
  <c r="BZ69" i="1"/>
  <c r="CA69" i="1"/>
  <c r="CB69" i="1"/>
  <c r="CC69" i="1"/>
  <c r="CD69" i="1"/>
  <c r="CE69" i="1"/>
  <c r="CF69" i="1"/>
  <c r="CG69" i="1"/>
  <c r="CH69" i="1"/>
  <c r="J70" i="1"/>
  <c r="BX70" i="1"/>
  <c r="BY70" i="1"/>
  <c r="BZ70" i="1"/>
  <c r="CA70" i="1"/>
  <c r="CB70" i="1"/>
  <c r="CC70" i="1"/>
  <c r="CD70" i="1"/>
  <c r="CE70" i="1"/>
  <c r="CF70" i="1"/>
  <c r="CG70" i="1"/>
  <c r="CH70" i="1"/>
  <c r="J71" i="1"/>
  <c r="BX71" i="1"/>
  <c r="BY71" i="1"/>
  <c r="BZ71" i="1"/>
  <c r="CA71" i="1"/>
  <c r="CB71" i="1"/>
  <c r="CC71" i="1"/>
  <c r="CD71" i="1"/>
  <c r="CE71" i="1"/>
  <c r="CF71" i="1"/>
  <c r="CG71" i="1"/>
  <c r="CH71" i="1"/>
  <c r="J72" i="1"/>
  <c r="BX72" i="1"/>
  <c r="BY72" i="1"/>
  <c r="BZ72" i="1"/>
  <c r="CA72" i="1"/>
  <c r="CB72" i="1"/>
  <c r="CC72" i="1"/>
  <c r="CD72" i="1"/>
  <c r="CE72" i="1"/>
  <c r="CF72" i="1"/>
  <c r="CG72" i="1"/>
  <c r="CH72" i="1"/>
  <c r="J73" i="1"/>
  <c r="BX73" i="1"/>
  <c r="BY73" i="1"/>
  <c r="BZ73" i="1"/>
  <c r="CA73" i="1"/>
  <c r="CB73" i="1"/>
  <c r="CC73" i="1"/>
  <c r="CD73" i="1"/>
  <c r="CE73" i="1"/>
  <c r="CF73" i="1"/>
  <c r="CG73" i="1"/>
  <c r="CH73" i="1"/>
  <c r="J74" i="1"/>
  <c r="BX74" i="1"/>
  <c r="BY74" i="1"/>
  <c r="BZ74" i="1"/>
  <c r="CA74" i="1"/>
  <c r="CB74" i="1"/>
  <c r="CC74" i="1"/>
  <c r="CD74" i="1"/>
  <c r="CE74" i="1"/>
  <c r="CF74" i="1"/>
  <c r="CG74" i="1"/>
  <c r="CH74" i="1"/>
  <c r="J75" i="1"/>
  <c r="BX75" i="1"/>
  <c r="BY75" i="1"/>
  <c r="BZ75" i="1"/>
  <c r="CA75" i="1"/>
  <c r="CB75" i="1"/>
  <c r="CC75" i="1"/>
  <c r="CD75" i="1"/>
  <c r="CE75" i="1"/>
  <c r="CF75" i="1"/>
  <c r="CG75" i="1"/>
  <c r="CH75" i="1"/>
  <c r="J76" i="1"/>
  <c r="BX76" i="1"/>
  <c r="BY76" i="1"/>
  <c r="BZ76" i="1"/>
  <c r="CA76" i="1"/>
  <c r="CB76" i="1"/>
  <c r="CC76" i="1"/>
  <c r="CD76" i="1"/>
  <c r="CE76" i="1"/>
  <c r="CF76" i="1"/>
  <c r="CG76" i="1"/>
  <c r="CH76" i="1"/>
  <c r="J77" i="1"/>
  <c r="BX77" i="1"/>
  <c r="BY77" i="1"/>
  <c r="BZ77" i="1"/>
  <c r="CA77" i="1"/>
  <c r="CB77" i="1"/>
  <c r="CC77" i="1"/>
  <c r="CD77" i="1"/>
  <c r="CE77" i="1"/>
  <c r="CF77" i="1"/>
  <c r="CG77" i="1"/>
  <c r="CH77" i="1"/>
  <c r="J78" i="1"/>
  <c r="BX78" i="1"/>
  <c r="BY78" i="1"/>
  <c r="BZ78" i="1"/>
  <c r="CA78" i="1"/>
  <c r="CB78" i="1"/>
  <c r="CC78" i="1"/>
  <c r="CD78" i="1"/>
  <c r="CE78" i="1"/>
  <c r="CF78" i="1"/>
  <c r="CG78" i="1"/>
  <c r="CH78" i="1"/>
  <c r="J79" i="1"/>
  <c r="BX79" i="1"/>
  <c r="BY79" i="1"/>
  <c r="BZ79" i="1"/>
  <c r="CA79" i="1"/>
  <c r="CB79" i="1"/>
  <c r="CC79" i="1"/>
  <c r="CD79" i="1"/>
  <c r="CE79" i="1"/>
  <c r="CF79" i="1"/>
  <c r="CG79" i="1"/>
  <c r="CH79" i="1"/>
  <c r="J80" i="1"/>
  <c r="BX80" i="1"/>
  <c r="BY80" i="1"/>
  <c r="BZ80" i="1"/>
  <c r="CA80" i="1"/>
  <c r="CB80" i="1"/>
  <c r="CC80" i="1"/>
  <c r="CD80" i="1"/>
  <c r="CE80" i="1"/>
  <c r="CF80" i="1"/>
  <c r="CG80" i="1"/>
  <c r="CH80" i="1"/>
  <c r="J81" i="1"/>
  <c r="BX81" i="1"/>
  <c r="BY81" i="1"/>
  <c r="BZ81" i="1"/>
  <c r="CA81" i="1"/>
  <c r="CB81" i="1"/>
  <c r="CC81" i="1"/>
  <c r="CD81" i="1"/>
  <c r="CE81" i="1"/>
  <c r="CF81" i="1"/>
  <c r="CG81" i="1"/>
  <c r="CH81" i="1"/>
  <c r="J82" i="1"/>
  <c r="BX82" i="1"/>
  <c r="BY82" i="1"/>
  <c r="BZ82" i="1"/>
  <c r="CA82" i="1"/>
  <c r="CB82" i="1"/>
  <c r="CC82" i="1"/>
  <c r="CD82" i="1"/>
  <c r="CE82" i="1"/>
  <c r="CF82" i="1"/>
  <c r="CG82" i="1"/>
  <c r="CH82" i="1"/>
  <c r="J83" i="1"/>
  <c r="BX83" i="1"/>
  <c r="BY83" i="1"/>
  <c r="BZ83" i="1"/>
  <c r="CA83" i="1"/>
  <c r="CB83" i="1"/>
  <c r="CC83" i="1"/>
  <c r="CD83" i="1"/>
  <c r="CE83" i="1"/>
  <c r="CF83" i="1"/>
  <c r="CG83" i="1"/>
  <c r="CH83" i="1"/>
  <c r="J84" i="1"/>
  <c r="BX84" i="1"/>
  <c r="BY84" i="1"/>
  <c r="BZ84" i="1"/>
  <c r="CA84" i="1"/>
  <c r="CB84" i="1"/>
  <c r="CC84" i="1"/>
  <c r="CD84" i="1"/>
  <c r="CE84" i="1"/>
  <c r="CF84" i="1"/>
  <c r="CG84" i="1"/>
  <c r="CH84" i="1"/>
  <c r="J85" i="1"/>
  <c r="BX85" i="1"/>
  <c r="BY85" i="1"/>
  <c r="BZ85" i="1"/>
  <c r="CA85" i="1"/>
  <c r="CB85" i="1"/>
  <c r="CC85" i="1"/>
  <c r="CD85" i="1"/>
  <c r="CE85" i="1"/>
  <c r="CF85" i="1"/>
  <c r="CG85" i="1"/>
  <c r="CH85" i="1"/>
  <c r="J86" i="1"/>
  <c r="BX86" i="1"/>
  <c r="BY86" i="1"/>
  <c r="BZ86" i="1"/>
  <c r="CA86" i="1"/>
  <c r="CB86" i="1"/>
  <c r="CC86" i="1"/>
  <c r="CD86" i="1"/>
  <c r="CE86" i="1"/>
  <c r="CF86" i="1"/>
  <c r="CG86" i="1"/>
  <c r="CH86" i="1"/>
  <c r="J87" i="1"/>
  <c r="BX87" i="1"/>
  <c r="BY87" i="1"/>
  <c r="BZ87" i="1"/>
  <c r="CA87" i="1"/>
  <c r="CB87" i="1"/>
  <c r="CC87" i="1"/>
  <c r="CD87" i="1"/>
  <c r="CE87" i="1"/>
  <c r="CF87" i="1"/>
  <c r="CG87" i="1"/>
  <c r="CH87" i="1"/>
  <c r="J88" i="1"/>
  <c r="BX88" i="1"/>
  <c r="BY88" i="1"/>
  <c r="BZ88" i="1"/>
  <c r="CA88" i="1"/>
  <c r="CB88" i="1"/>
  <c r="CC88" i="1"/>
  <c r="CD88" i="1"/>
  <c r="CE88" i="1"/>
  <c r="CF88" i="1"/>
  <c r="CG88" i="1"/>
  <c r="CH88" i="1"/>
  <c r="J89" i="1"/>
  <c r="BX89" i="1"/>
  <c r="BY89" i="1"/>
  <c r="BZ89" i="1"/>
  <c r="CA89" i="1"/>
  <c r="CB89" i="1"/>
  <c r="CC89" i="1"/>
  <c r="CD89" i="1"/>
  <c r="CE89" i="1"/>
  <c r="CF89" i="1"/>
  <c r="CG89" i="1"/>
  <c r="CH89" i="1"/>
  <c r="J90" i="1"/>
  <c r="BX90" i="1"/>
  <c r="BY90" i="1"/>
  <c r="BZ90" i="1"/>
  <c r="CA90" i="1"/>
  <c r="CB90" i="1"/>
  <c r="CC90" i="1"/>
  <c r="CD90" i="1"/>
  <c r="CE90" i="1"/>
  <c r="CF90" i="1"/>
  <c r="CG90" i="1"/>
  <c r="CH90" i="1"/>
  <c r="J91" i="1"/>
  <c r="BX91" i="1"/>
  <c r="BY91" i="1"/>
  <c r="BZ91" i="1"/>
  <c r="CA91" i="1"/>
  <c r="CB91" i="1"/>
  <c r="CC91" i="1"/>
  <c r="CD91" i="1"/>
  <c r="CE91" i="1"/>
  <c r="CF91" i="1"/>
  <c r="CG91" i="1"/>
  <c r="CH91" i="1"/>
  <c r="J92" i="1"/>
  <c r="BX92" i="1"/>
  <c r="BY92" i="1"/>
  <c r="BZ92" i="1"/>
  <c r="CA92" i="1"/>
  <c r="CB92" i="1"/>
  <c r="CC92" i="1"/>
  <c r="CD92" i="1"/>
  <c r="CE92" i="1"/>
  <c r="CF92" i="1"/>
  <c r="CG92" i="1"/>
  <c r="CH92" i="1"/>
  <c r="J93" i="1"/>
  <c r="BX93" i="1"/>
  <c r="BY93" i="1"/>
  <c r="BZ93" i="1"/>
  <c r="CA93" i="1"/>
  <c r="CB93" i="1"/>
  <c r="CC93" i="1"/>
  <c r="CD93" i="1"/>
  <c r="CE93" i="1"/>
  <c r="CF93" i="1"/>
  <c r="CG93" i="1"/>
  <c r="CH93" i="1"/>
  <c r="J94" i="1"/>
  <c r="BX94" i="1"/>
  <c r="BY94" i="1"/>
  <c r="BZ94" i="1"/>
  <c r="CA94" i="1"/>
  <c r="CB94" i="1"/>
  <c r="CC94" i="1"/>
  <c r="CD94" i="1"/>
  <c r="CE94" i="1"/>
  <c r="CF94" i="1"/>
  <c r="CG94" i="1"/>
  <c r="CH94" i="1"/>
  <c r="J95" i="1"/>
  <c r="BX95" i="1"/>
  <c r="BY95" i="1"/>
  <c r="BZ95" i="1"/>
  <c r="CA95" i="1"/>
  <c r="CB95" i="1"/>
  <c r="CC95" i="1"/>
  <c r="CD95" i="1"/>
  <c r="CE95" i="1"/>
  <c r="CF95" i="1"/>
  <c r="CG95" i="1"/>
  <c r="CH95" i="1"/>
  <c r="J96" i="1"/>
  <c r="BX96" i="1"/>
  <c r="BY96" i="1"/>
  <c r="BZ96" i="1"/>
  <c r="CA96" i="1"/>
  <c r="CB96" i="1"/>
  <c r="CC96" i="1"/>
  <c r="CD96" i="1"/>
  <c r="CE96" i="1"/>
  <c r="CF96" i="1"/>
  <c r="CG96" i="1"/>
  <c r="CH96" i="1"/>
  <c r="J97" i="1"/>
  <c r="BX97" i="1"/>
  <c r="BY97" i="1"/>
  <c r="BZ97" i="1"/>
  <c r="CA97" i="1"/>
  <c r="CB97" i="1"/>
  <c r="CC97" i="1"/>
  <c r="CD97" i="1"/>
  <c r="CE97" i="1"/>
  <c r="CF97" i="1"/>
  <c r="CG97" i="1"/>
  <c r="CH97" i="1"/>
  <c r="J98" i="1"/>
  <c r="BX98" i="1"/>
  <c r="BY98" i="1"/>
  <c r="BZ98" i="1"/>
  <c r="CA98" i="1"/>
  <c r="CB98" i="1"/>
  <c r="CC98" i="1"/>
  <c r="CD98" i="1"/>
  <c r="CE98" i="1"/>
  <c r="CF98" i="1"/>
  <c r="CG98" i="1"/>
  <c r="CH98" i="1"/>
  <c r="J99" i="1"/>
  <c r="BX99" i="1"/>
  <c r="BY99" i="1"/>
  <c r="BZ99" i="1"/>
  <c r="CA99" i="1"/>
  <c r="CB99" i="1"/>
  <c r="CC99" i="1"/>
  <c r="CD99" i="1"/>
  <c r="CE99" i="1"/>
  <c r="CF99" i="1"/>
  <c r="CG99" i="1"/>
  <c r="CH99" i="1"/>
  <c r="J100" i="1"/>
  <c r="BX100" i="1"/>
  <c r="BY100" i="1"/>
  <c r="BZ100" i="1"/>
  <c r="CA100" i="1"/>
  <c r="CB100" i="1"/>
  <c r="CC100" i="1"/>
  <c r="CD100" i="1"/>
  <c r="CE100" i="1"/>
  <c r="CF100" i="1"/>
  <c r="CG100" i="1"/>
  <c r="CH100" i="1"/>
  <c r="J101" i="1"/>
  <c r="BX101" i="1"/>
  <c r="BY101" i="1"/>
  <c r="BZ101" i="1"/>
  <c r="CA101" i="1"/>
  <c r="CB101" i="1"/>
  <c r="CC101" i="1"/>
  <c r="CD101" i="1"/>
  <c r="CE101" i="1"/>
  <c r="CF101" i="1"/>
  <c r="CG101" i="1"/>
  <c r="CH101" i="1"/>
  <c r="BX102" i="1"/>
  <c r="BY102" i="1"/>
  <c r="BZ102" i="1"/>
  <c r="CA102" i="1"/>
  <c r="CB102" i="1"/>
  <c r="CC102" i="1"/>
  <c r="CD102" i="1"/>
  <c r="CE102" i="1"/>
  <c r="CF102" i="1"/>
  <c r="CG102" i="1"/>
  <c r="CH102" i="1"/>
  <c r="J103" i="1"/>
  <c r="BX103" i="1"/>
  <c r="BY103" i="1"/>
  <c r="BZ103" i="1"/>
  <c r="CA103" i="1"/>
  <c r="CB103" i="1"/>
  <c r="CC103" i="1"/>
  <c r="CD103" i="1"/>
  <c r="CE103" i="1"/>
  <c r="CF103" i="1"/>
  <c r="CG103" i="1"/>
  <c r="CH103" i="1"/>
  <c r="J104" i="1"/>
  <c r="BX104" i="1"/>
  <c r="BY104" i="1"/>
  <c r="BZ104" i="1"/>
  <c r="CA104" i="1"/>
  <c r="CB104" i="1"/>
  <c r="CC104" i="1"/>
  <c r="CD104" i="1"/>
  <c r="CE104" i="1"/>
  <c r="CF104" i="1"/>
  <c r="CG104" i="1"/>
  <c r="CH104" i="1"/>
  <c r="BX105" i="1"/>
  <c r="BY105" i="1"/>
  <c r="BZ105" i="1"/>
  <c r="CA105" i="1"/>
  <c r="CB105" i="1"/>
  <c r="CC105" i="1"/>
  <c r="CD105" i="1"/>
  <c r="CE105" i="1"/>
  <c r="CF105" i="1"/>
  <c r="CG105" i="1"/>
  <c r="CH105" i="1"/>
  <c r="J106" i="1"/>
  <c r="BX106" i="1"/>
  <c r="BY106" i="1"/>
  <c r="BZ106" i="1"/>
  <c r="CA106" i="1"/>
  <c r="CB106" i="1"/>
  <c r="CC106" i="1"/>
  <c r="CD106" i="1"/>
  <c r="CE106" i="1"/>
  <c r="CF106" i="1"/>
  <c r="CG106" i="1"/>
  <c r="CH106" i="1"/>
  <c r="J107" i="1"/>
  <c r="BX107" i="1"/>
  <c r="BY107" i="1"/>
  <c r="BZ107" i="1"/>
  <c r="CA107" i="1"/>
  <c r="CB107" i="1"/>
  <c r="CC107" i="1"/>
  <c r="CD107" i="1"/>
  <c r="CE107" i="1"/>
  <c r="CF107" i="1"/>
  <c r="CG107" i="1"/>
  <c r="CH107" i="1"/>
  <c r="J108" i="1"/>
  <c r="BX108" i="1"/>
  <c r="BY108" i="1"/>
  <c r="BZ108" i="1"/>
  <c r="CA108" i="1"/>
  <c r="CB108" i="1"/>
  <c r="CC108" i="1"/>
  <c r="CD108" i="1"/>
  <c r="CE108" i="1"/>
  <c r="CF108" i="1"/>
  <c r="CG108" i="1"/>
  <c r="CH108" i="1"/>
  <c r="J109" i="1"/>
  <c r="BX109" i="1"/>
  <c r="BY109" i="1"/>
  <c r="BZ109" i="1"/>
  <c r="CA109" i="1"/>
  <c r="CB109" i="1"/>
  <c r="CC109" i="1"/>
  <c r="CD109" i="1"/>
  <c r="CE109" i="1"/>
  <c r="CF109" i="1"/>
  <c r="CG109" i="1"/>
  <c r="CH109" i="1"/>
  <c r="J110" i="1"/>
  <c r="BX110" i="1"/>
  <c r="BY110" i="1"/>
  <c r="BZ110" i="1"/>
  <c r="CA110" i="1"/>
  <c r="CB110" i="1"/>
  <c r="CC110" i="1"/>
  <c r="CD110" i="1"/>
  <c r="CE110" i="1"/>
  <c r="CF110" i="1"/>
  <c r="CG110" i="1"/>
  <c r="CH110" i="1"/>
  <c r="J111" i="1"/>
  <c r="BX111" i="1"/>
  <c r="BY111" i="1"/>
  <c r="BZ111" i="1"/>
  <c r="CA111" i="1"/>
  <c r="CB111" i="1"/>
  <c r="CC111" i="1"/>
  <c r="CD111" i="1"/>
  <c r="CE111" i="1"/>
  <c r="CF111" i="1"/>
  <c r="CG111" i="1"/>
  <c r="CH111" i="1"/>
  <c r="J112" i="1"/>
  <c r="BX112" i="1"/>
  <c r="BY112" i="1"/>
  <c r="BZ112" i="1"/>
  <c r="CA112" i="1"/>
  <c r="CB112" i="1"/>
  <c r="CC112" i="1"/>
  <c r="CD112" i="1"/>
  <c r="CE112" i="1"/>
  <c r="CF112" i="1"/>
  <c r="CG112" i="1"/>
  <c r="CH112" i="1"/>
  <c r="J113" i="1"/>
  <c r="BX113" i="1"/>
  <c r="BY113" i="1"/>
  <c r="BZ113" i="1"/>
  <c r="CA113" i="1"/>
  <c r="CB113" i="1"/>
  <c r="CC113" i="1"/>
  <c r="CD113" i="1"/>
  <c r="CE113" i="1"/>
  <c r="CF113" i="1"/>
  <c r="CG113" i="1"/>
  <c r="CH113" i="1"/>
  <c r="J114" i="1"/>
  <c r="BX114" i="1"/>
  <c r="BY114" i="1"/>
  <c r="BZ114" i="1"/>
  <c r="CA114" i="1"/>
  <c r="CB114" i="1"/>
  <c r="CC114" i="1"/>
  <c r="CD114" i="1"/>
  <c r="CE114" i="1"/>
  <c r="CF114" i="1"/>
  <c r="CG114" i="1"/>
  <c r="CH114" i="1"/>
  <c r="J115" i="1"/>
  <c r="BX115" i="1"/>
  <c r="BY115" i="1"/>
  <c r="BZ115" i="1"/>
  <c r="CA115" i="1"/>
  <c r="CB115" i="1"/>
  <c r="CC115" i="1"/>
  <c r="CD115" i="1"/>
  <c r="CE115" i="1"/>
  <c r="CF115" i="1"/>
  <c r="CG115" i="1"/>
  <c r="CH115" i="1"/>
  <c r="J116" i="1"/>
  <c r="BX116" i="1"/>
  <c r="BY116" i="1"/>
  <c r="BZ116" i="1"/>
  <c r="CA116" i="1"/>
  <c r="CB116" i="1"/>
  <c r="CC116" i="1"/>
  <c r="CD116" i="1"/>
  <c r="CE116" i="1"/>
  <c r="CF116" i="1"/>
  <c r="CG116" i="1"/>
  <c r="CH116" i="1"/>
  <c r="BX117" i="1"/>
  <c r="BY117" i="1"/>
  <c r="BZ117" i="1"/>
  <c r="CA117" i="1"/>
  <c r="CB117" i="1"/>
  <c r="CC117" i="1"/>
  <c r="CD117" i="1"/>
  <c r="CE117" i="1"/>
  <c r="CF117" i="1"/>
  <c r="CG117" i="1"/>
  <c r="CH117" i="1"/>
  <c r="J118" i="1"/>
  <c r="BX118" i="1"/>
  <c r="BY118" i="1"/>
  <c r="BZ118" i="1"/>
  <c r="CA118" i="1"/>
  <c r="CB118" i="1"/>
  <c r="CC118" i="1"/>
  <c r="CD118" i="1"/>
  <c r="CE118" i="1"/>
  <c r="CF118" i="1"/>
  <c r="CG118" i="1"/>
  <c r="CH118" i="1"/>
  <c r="J119" i="1"/>
  <c r="BX119" i="1"/>
  <c r="BY119" i="1"/>
  <c r="BZ119" i="1"/>
  <c r="CA119" i="1"/>
  <c r="CB119" i="1"/>
  <c r="CC119" i="1"/>
  <c r="CD119" i="1"/>
  <c r="CE119" i="1"/>
  <c r="CF119" i="1"/>
  <c r="CG119" i="1"/>
  <c r="CH119" i="1"/>
  <c r="J120" i="1"/>
  <c r="BX120" i="1"/>
  <c r="BY120" i="1"/>
  <c r="BZ120" i="1"/>
  <c r="CA120" i="1"/>
  <c r="CB120" i="1"/>
  <c r="CC120" i="1"/>
  <c r="CD120" i="1"/>
  <c r="CE120" i="1"/>
  <c r="CF120" i="1"/>
  <c r="CG120" i="1"/>
  <c r="CH120" i="1"/>
  <c r="J121" i="1"/>
  <c r="BX121" i="1"/>
  <c r="BY121" i="1"/>
  <c r="BZ121" i="1"/>
  <c r="CA121" i="1"/>
  <c r="CB121" i="1"/>
  <c r="CC121" i="1"/>
  <c r="CD121" i="1"/>
  <c r="CE121" i="1"/>
  <c r="CF121" i="1"/>
  <c r="CG121" i="1"/>
  <c r="CH121" i="1"/>
  <c r="J122" i="1"/>
  <c r="BX122" i="1"/>
  <c r="BY122" i="1"/>
  <c r="BZ122" i="1"/>
  <c r="CA122" i="1"/>
  <c r="CB122" i="1"/>
  <c r="CC122" i="1"/>
  <c r="CD122" i="1"/>
  <c r="CE122" i="1"/>
  <c r="CF122" i="1"/>
  <c r="CG122" i="1"/>
  <c r="CH122" i="1"/>
  <c r="J123" i="1"/>
  <c r="BX123" i="1"/>
  <c r="BY123" i="1"/>
  <c r="BZ123" i="1"/>
  <c r="CA123" i="1"/>
  <c r="CB123" i="1"/>
  <c r="CC123" i="1"/>
  <c r="CD123" i="1"/>
  <c r="CE123" i="1"/>
  <c r="CF123" i="1"/>
  <c r="CG123" i="1"/>
  <c r="CH123" i="1"/>
  <c r="J124" i="1"/>
  <c r="BX124" i="1"/>
  <c r="BY124" i="1"/>
  <c r="BZ124" i="1"/>
  <c r="CA124" i="1"/>
  <c r="CB124" i="1"/>
  <c r="CC124" i="1"/>
  <c r="CD124" i="1"/>
  <c r="CE124" i="1"/>
  <c r="CF124" i="1"/>
  <c r="CG124" i="1"/>
  <c r="CH124" i="1"/>
  <c r="J125" i="1"/>
  <c r="BX125" i="1"/>
  <c r="BY125" i="1"/>
  <c r="BZ125" i="1"/>
  <c r="CA125" i="1"/>
  <c r="CB125" i="1"/>
  <c r="CC125" i="1"/>
  <c r="CD125" i="1"/>
  <c r="CE125" i="1"/>
  <c r="CF125" i="1"/>
  <c r="CG125" i="1"/>
  <c r="CH125" i="1"/>
  <c r="J126" i="1"/>
  <c r="BX126" i="1"/>
  <c r="BY126" i="1"/>
  <c r="BZ126" i="1"/>
  <c r="CA126" i="1"/>
  <c r="CB126" i="1"/>
  <c r="CC126" i="1"/>
  <c r="CD126" i="1"/>
  <c r="CE126" i="1"/>
  <c r="CF126" i="1"/>
  <c r="CG126" i="1"/>
  <c r="CH126" i="1"/>
  <c r="J127" i="1"/>
  <c r="BX127" i="1"/>
  <c r="BY127" i="1"/>
  <c r="BZ127" i="1"/>
  <c r="CA127" i="1"/>
  <c r="CB127" i="1"/>
  <c r="CC127" i="1"/>
  <c r="CD127" i="1"/>
  <c r="CE127" i="1"/>
  <c r="CF127" i="1"/>
  <c r="CG127" i="1"/>
  <c r="CH127" i="1"/>
  <c r="J128" i="1"/>
  <c r="BX128" i="1"/>
  <c r="BY128" i="1"/>
  <c r="BZ128" i="1"/>
  <c r="CA128" i="1"/>
  <c r="CB128" i="1"/>
  <c r="CC128" i="1"/>
  <c r="CD128" i="1"/>
  <c r="CE128" i="1"/>
  <c r="CF128" i="1"/>
  <c r="CG128" i="1"/>
  <c r="CH128" i="1"/>
  <c r="J129" i="1"/>
  <c r="BX129" i="1"/>
  <c r="BY129" i="1"/>
  <c r="BZ129" i="1"/>
  <c r="CA129" i="1"/>
  <c r="CB129" i="1"/>
  <c r="CC129" i="1"/>
  <c r="CD129" i="1"/>
  <c r="CE129" i="1"/>
  <c r="CF129" i="1"/>
  <c r="CG129" i="1"/>
  <c r="CH129" i="1"/>
  <c r="J130" i="1"/>
  <c r="BX130" i="1"/>
  <c r="BY130" i="1"/>
  <c r="BZ130" i="1"/>
  <c r="CA130" i="1"/>
  <c r="CB130" i="1"/>
  <c r="CC130" i="1"/>
  <c r="CD130" i="1"/>
  <c r="CE130" i="1"/>
  <c r="CF130" i="1"/>
  <c r="CG130" i="1"/>
  <c r="CH130" i="1"/>
  <c r="J131" i="1"/>
  <c r="BX131" i="1"/>
  <c r="BY131" i="1"/>
  <c r="BZ131" i="1"/>
  <c r="CA131" i="1"/>
  <c r="CB131" i="1"/>
  <c r="CC131" i="1"/>
  <c r="CD131" i="1"/>
  <c r="CE131" i="1"/>
  <c r="CF131" i="1"/>
  <c r="CG131" i="1"/>
  <c r="CH131" i="1"/>
  <c r="J132" i="1"/>
  <c r="BX132" i="1"/>
  <c r="BY132" i="1"/>
  <c r="BZ132" i="1"/>
  <c r="CA132" i="1"/>
  <c r="CB132" i="1"/>
  <c r="CC132" i="1"/>
  <c r="CD132" i="1"/>
  <c r="CE132" i="1"/>
  <c r="CF132" i="1"/>
  <c r="CG132" i="1"/>
  <c r="CH132" i="1"/>
  <c r="J133" i="1"/>
  <c r="BX133" i="1"/>
  <c r="BY133" i="1"/>
  <c r="BZ133" i="1"/>
  <c r="CA133" i="1"/>
  <c r="CB133" i="1"/>
  <c r="CC133" i="1"/>
  <c r="CD133" i="1"/>
  <c r="CE133" i="1"/>
  <c r="CF133" i="1"/>
  <c r="CG133" i="1"/>
  <c r="CH133" i="1"/>
  <c r="J134" i="1"/>
  <c r="BX134" i="1"/>
  <c r="BY134" i="1"/>
  <c r="BZ134" i="1"/>
  <c r="CA134" i="1"/>
  <c r="CB134" i="1"/>
  <c r="CC134" i="1"/>
  <c r="CD134" i="1"/>
  <c r="CE134" i="1"/>
  <c r="CF134" i="1"/>
  <c r="CG134" i="1"/>
  <c r="CH134" i="1"/>
  <c r="J135" i="1"/>
  <c r="BX135" i="1"/>
  <c r="BY135" i="1"/>
  <c r="BZ135" i="1"/>
  <c r="CA135" i="1"/>
  <c r="CB135" i="1"/>
  <c r="CC135" i="1"/>
  <c r="CD135" i="1"/>
  <c r="CE135" i="1"/>
  <c r="CF135" i="1"/>
  <c r="CG135" i="1"/>
  <c r="CH135" i="1"/>
  <c r="J136" i="1"/>
  <c r="BX136" i="1"/>
  <c r="BY136" i="1"/>
  <c r="BZ136" i="1"/>
  <c r="CA136" i="1"/>
  <c r="CB136" i="1"/>
  <c r="CC136" i="1"/>
  <c r="CD136" i="1"/>
  <c r="CE136" i="1"/>
  <c r="CF136" i="1"/>
  <c r="CG136" i="1"/>
  <c r="CH136" i="1"/>
  <c r="J137" i="1"/>
  <c r="BX137" i="1"/>
  <c r="BY137" i="1"/>
  <c r="BZ137" i="1"/>
  <c r="CA137" i="1"/>
  <c r="CB137" i="1"/>
  <c r="CC137" i="1"/>
  <c r="CD137" i="1"/>
  <c r="CE137" i="1"/>
  <c r="CF137" i="1"/>
  <c r="CG137" i="1"/>
  <c r="CH137" i="1"/>
  <c r="J138" i="1"/>
  <c r="BX138" i="1"/>
  <c r="BY138" i="1"/>
  <c r="BZ138" i="1"/>
  <c r="CA138" i="1"/>
  <c r="CB138" i="1"/>
  <c r="CC138" i="1"/>
  <c r="CD138" i="1"/>
  <c r="CE138" i="1"/>
  <c r="CF138" i="1"/>
  <c r="CG138" i="1"/>
  <c r="CH138" i="1"/>
  <c r="J139" i="1"/>
  <c r="BX139" i="1"/>
  <c r="BY139" i="1"/>
  <c r="BZ139" i="1"/>
  <c r="CA139" i="1"/>
  <c r="CB139" i="1"/>
  <c r="CC139" i="1"/>
  <c r="CD139" i="1"/>
  <c r="CE139" i="1"/>
  <c r="CF139" i="1"/>
  <c r="CG139" i="1"/>
  <c r="CH139" i="1"/>
  <c r="J140" i="1"/>
  <c r="BX140" i="1"/>
  <c r="BY140" i="1"/>
  <c r="BZ140" i="1"/>
  <c r="CA140" i="1"/>
  <c r="CB140" i="1"/>
  <c r="CC140" i="1"/>
  <c r="CD140" i="1"/>
  <c r="CE140" i="1"/>
  <c r="CF140" i="1"/>
  <c r="CG140" i="1"/>
  <c r="CH140" i="1"/>
  <c r="J141" i="1"/>
  <c r="BX141" i="1"/>
  <c r="BY141" i="1"/>
  <c r="BZ141" i="1"/>
  <c r="CA141" i="1"/>
  <c r="CB141" i="1"/>
  <c r="CC141" i="1"/>
  <c r="CD141" i="1"/>
  <c r="CE141" i="1"/>
  <c r="CF141" i="1"/>
  <c r="CG141" i="1"/>
  <c r="CH141" i="1"/>
  <c r="J142" i="1"/>
  <c r="BX142" i="1"/>
  <c r="BY142" i="1"/>
  <c r="BZ142" i="1"/>
  <c r="CA142" i="1"/>
  <c r="CB142" i="1"/>
  <c r="CC142" i="1"/>
  <c r="CD142" i="1"/>
  <c r="CE142" i="1"/>
  <c r="CF142" i="1"/>
  <c r="CG142" i="1"/>
  <c r="CH142" i="1"/>
  <c r="J143" i="1"/>
  <c r="BX143" i="1"/>
  <c r="BY143" i="1"/>
  <c r="BZ143" i="1"/>
  <c r="CA143" i="1"/>
  <c r="CB143" i="1"/>
  <c r="CC143" i="1"/>
  <c r="CD143" i="1"/>
  <c r="CE143" i="1"/>
  <c r="CF143" i="1"/>
  <c r="CG143" i="1"/>
  <c r="CH143" i="1"/>
  <c r="J144" i="1"/>
  <c r="BX144" i="1"/>
  <c r="BY144" i="1"/>
  <c r="BZ144" i="1"/>
  <c r="CA144" i="1"/>
  <c r="CB144" i="1"/>
  <c r="CC144" i="1"/>
  <c r="CD144" i="1"/>
  <c r="CE144" i="1"/>
  <c r="CF144" i="1"/>
  <c r="CG144" i="1"/>
  <c r="CH144" i="1"/>
  <c r="J145" i="1"/>
  <c r="BX145" i="1"/>
  <c r="BY145" i="1"/>
  <c r="BZ145" i="1"/>
  <c r="CA145" i="1"/>
  <c r="CB145" i="1"/>
  <c r="CC145" i="1"/>
  <c r="CD145" i="1"/>
  <c r="CE145" i="1"/>
  <c r="CF145" i="1"/>
  <c r="CG145" i="1"/>
  <c r="CH145" i="1"/>
  <c r="J146" i="1"/>
  <c r="BX146" i="1"/>
  <c r="BY146" i="1"/>
  <c r="BZ146" i="1"/>
  <c r="CA146" i="1"/>
  <c r="CB146" i="1"/>
  <c r="CC146" i="1"/>
  <c r="CD146" i="1"/>
  <c r="CE146" i="1"/>
  <c r="CF146" i="1"/>
  <c r="CG146" i="1"/>
  <c r="CH146" i="1"/>
  <c r="J147" i="1"/>
  <c r="BX147" i="1"/>
  <c r="BY147" i="1"/>
  <c r="BZ147" i="1"/>
  <c r="CA147" i="1"/>
  <c r="CB147" i="1"/>
  <c r="CC147" i="1"/>
  <c r="CD147" i="1"/>
  <c r="CE147" i="1"/>
  <c r="CF147" i="1"/>
  <c r="CG147" i="1"/>
  <c r="CH147" i="1"/>
  <c r="J148" i="1"/>
  <c r="BX148" i="1"/>
  <c r="BY148" i="1"/>
  <c r="BZ148" i="1"/>
  <c r="CA148" i="1"/>
  <c r="CB148" i="1"/>
  <c r="CC148" i="1"/>
  <c r="CD148" i="1"/>
  <c r="CE148" i="1"/>
  <c r="CF148" i="1"/>
  <c r="CG148" i="1"/>
  <c r="CH148" i="1"/>
  <c r="J149" i="1"/>
  <c r="BX149" i="1"/>
  <c r="BY149" i="1"/>
  <c r="BZ149" i="1"/>
  <c r="CA149" i="1"/>
  <c r="CB149" i="1"/>
  <c r="CC149" i="1"/>
  <c r="CD149" i="1"/>
  <c r="CE149" i="1"/>
  <c r="CF149" i="1"/>
  <c r="CG149" i="1"/>
  <c r="CH149" i="1"/>
  <c r="J150" i="1"/>
  <c r="BX150" i="1"/>
  <c r="BY150" i="1"/>
  <c r="BZ150" i="1"/>
  <c r="CA150" i="1"/>
  <c r="CB150" i="1"/>
  <c r="CC150" i="1"/>
  <c r="CD150" i="1"/>
  <c r="CE150" i="1"/>
  <c r="CF150" i="1"/>
  <c r="CG150" i="1"/>
  <c r="CH150" i="1"/>
  <c r="J151" i="1"/>
  <c r="BX151" i="1"/>
  <c r="BY151" i="1"/>
  <c r="BZ151" i="1"/>
  <c r="CA151" i="1"/>
  <c r="CB151" i="1"/>
  <c r="CC151" i="1"/>
  <c r="CD151" i="1"/>
  <c r="CE151" i="1"/>
  <c r="CF151" i="1"/>
  <c r="CG151" i="1"/>
  <c r="CH151" i="1"/>
  <c r="J152" i="1"/>
  <c r="BX152" i="1"/>
  <c r="BY152" i="1"/>
  <c r="BZ152" i="1"/>
  <c r="CA152" i="1"/>
  <c r="CB152" i="1"/>
  <c r="CC152" i="1"/>
  <c r="CD152" i="1"/>
  <c r="CE152" i="1"/>
  <c r="CF152" i="1"/>
  <c r="CG152" i="1"/>
  <c r="CH152" i="1"/>
  <c r="J153" i="1"/>
  <c r="BX153" i="1"/>
  <c r="BY153" i="1"/>
  <c r="BZ153" i="1"/>
  <c r="CA153" i="1"/>
  <c r="CB153" i="1"/>
  <c r="CC153" i="1"/>
  <c r="CD153" i="1"/>
  <c r="CE153" i="1"/>
  <c r="CF153" i="1"/>
  <c r="CG153" i="1"/>
  <c r="CH153" i="1"/>
  <c r="J154" i="1"/>
  <c r="BX154" i="1"/>
  <c r="BY154" i="1"/>
  <c r="BZ154" i="1"/>
  <c r="CA154" i="1"/>
  <c r="CB154" i="1"/>
  <c r="CC154" i="1"/>
  <c r="CD154" i="1"/>
  <c r="CE154" i="1"/>
  <c r="CF154" i="1"/>
  <c r="CG154" i="1"/>
  <c r="CH154" i="1"/>
  <c r="J155" i="1"/>
  <c r="BX155" i="1"/>
  <c r="BY155" i="1"/>
  <c r="BZ155" i="1"/>
  <c r="CA155" i="1"/>
  <c r="CB155" i="1"/>
  <c r="CC155" i="1"/>
  <c r="CD155" i="1"/>
  <c r="CE155" i="1"/>
  <c r="CF155" i="1"/>
  <c r="CG155" i="1"/>
  <c r="CH155" i="1"/>
  <c r="BX156" i="1"/>
  <c r="BY156" i="1"/>
  <c r="BZ156" i="1"/>
  <c r="CA156" i="1"/>
  <c r="CB156" i="1"/>
  <c r="CC156" i="1"/>
  <c r="CD156" i="1"/>
  <c r="CE156" i="1"/>
  <c r="CF156" i="1"/>
  <c r="CG156" i="1"/>
  <c r="CH156" i="1"/>
  <c r="J157" i="1"/>
  <c r="BX157" i="1"/>
  <c r="BY157" i="1"/>
  <c r="BZ157" i="1"/>
  <c r="CA157" i="1"/>
  <c r="CB157" i="1"/>
  <c r="CC157" i="1"/>
  <c r="CD157" i="1"/>
  <c r="CE157" i="1"/>
  <c r="CF157" i="1"/>
  <c r="CG157" i="1"/>
  <c r="CH157" i="1"/>
  <c r="J158" i="1"/>
  <c r="BX158" i="1"/>
  <c r="BY158" i="1"/>
  <c r="BZ158" i="1"/>
  <c r="CA158" i="1"/>
  <c r="CB158" i="1"/>
  <c r="CC158" i="1"/>
  <c r="CD158" i="1"/>
  <c r="CE158" i="1"/>
  <c r="CF158" i="1"/>
  <c r="CG158" i="1"/>
  <c r="CH158" i="1"/>
  <c r="J159" i="1"/>
  <c r="BX159" i="1"/>
  <c r="BY159" i="1"/>
  <c r="BZ159" i="1"/>
  <c r="CA159" i="1"/>
  <c r="CB159" i="1"/>
  <c r="CC159" i="1"/>
  <c r="CD159" i="1"/>
  <c r="CE159" i="1"/>
  <c r="CF159" i="1"/>
  <c r="CG159" i="1"/>
  <c r="CH159" i="1"/>
  <c r="J160" i="1"/>
  <c r="BX160" i="1"/>
  <c r="BY160" i="1"/>
  <c r="BZ160" i="1"/>
  <c r="CA160" i="1"/>
  <c r="CB160" i="1"/>
  <c r="CC160" i="1"/>
  <c r="CD160" i="1"/>
  <c r="CE160" i="1"/>
  <c r="CF160" i="1"/>
  <c r="CG160" i="1"/>
  <c r="CH160" i="1"/>
  <c r="J161" i="1"/>
  <c r="BX161" i="1"/>
  <c r="BY161" i="1"/>
  <c r="BZ161" i="1"/>
  <c r="CA161" i="1"/>
  <c r="CB161" i="1"/>
  <c r="CC161" i="1"/>
  <c r="CD161" i="1"/>
  <c r="CE161" i="1"/>
  <c r="CF161" i="1"/>
  <c r="CG161" i="1"/>
  <c r="CH161" i="1"/>
  <c r="J162" i="1"/>
  <c r="BX162" i="1"/>
  <c r="BY162" i="1"/>
  <c r="BZ162" i="1"/>
  <c r="CA162" i="1"/>
  <c r="CB162" i="1"/>
  <c r="CC162" i="1"/>
  <c r="CD162" i="1"/>
  <c r="CE162" i="1"/>
  <c r="CF162" i="1"/>
  <c r="CG162" i="1"/>
  <c r="CH162" i="1"/>
  <c r="J163" i="1"/>
  <c r="BX163" i="1"/>
  <c r="BY163" i="1"/>
  <c r="BZ163" i="1"/>
  <c r="CA163" i="1"/>
  <c r="CB163" i="1"/>
  <c r="CC163" i="1"/>
  <c r="CD163" i="1"/>
  <c r="CE163" i="1"/>
  <c r="CF163" i="1"/>
  <c r="CG163" i="1"/>
  <c r="CH163" i="1"/>
  <c r="J164" i="1"/>
  <c r="BX164" i="1"/>
  <c r="BY164" i="1"/>
  <c r="BZ164" i="1"/>
  <c r="CA164" i="1"/>
  <c r="CB164" i="1"/>
  <c r="CC164" i="1"/>
  <c r="CD164" i="1"/>
  <c r="CE164" i="1"/>
  <c r="CF164" i="1"/>
  <c r="CG164" i="1"/>
  <c r="CH164" i="1"/>
  <c r="J165" i="1"/>
  <c r="BX165" i="1"/>
  <c r="BY165" i="1"/>
  <c r="BZ165" i="1"/>
  <c r="CA165" i="1"/>
  <c r="CB165" i="1"/>
  <c r="CC165" i="1"/>
  <c r="CD165" i="1"/>
  <c r="CE165" i="1"/>
  <c r="CF165" i="1"/>
  <c r="CG165" i="1"/>
  <c r="CH165" i="1"/>
  <c r="J166" i="1"/>
  <c r="BX166" i="1"/>
  <c r="BY166" i="1"/>
  <c r="BZ166" i="1"/>
  <c r="CA166" i="1"/>
  <c r="CB166" i="1"/>
  <c r="CC166" i="1"/>
  <c r="CD166" i="1"/>
  <c r="CE166" i="1"/>
  <c r="CF166" i="1"/>
  <c r="CG166" i="1"/>
  <c r="CH166" i="1"/>
  <c r="J167" i="1"/>
  <c r="BX167" i="1"/>
  <c r="BY167" i="1"/>
  <c r="BZ167" i="1"/>
  <c r="CA167" i="1"/>
  <c r="CB167" i="1"/>
  <c r="CC167" i="1"/>
  <c r="CD167" i="1"/>
  <c r="CE167" i="1"/>
  <c r="CF167" i="1"/>
  <c r="CG167" i="1"/>
  <c r="CH167" i="1"/>
  <c r="J168" i="1"/>
  <c r="BX168" i="1"/>
  <c r="BY168" i="1"/>
  <c r="BZ168" i="1"/>
  <c r="CA168" i="1"/>
  <c r="CB168" i="1"/>
  <c r="CC168" i="1"/>
  <c r="CD168" i="1"/>
  <c r="CE168" i="1"/>
  <c r="CF168" i="1"/>
  <c r="CG168" i="1"/>
  <c r="CH168" i="1"/>
  <c r="J169" i="1"/>
  <c r="BX169" i="1"/>
  <c r="BY169" i="1"/>
  <c r="BZ169" i="1"/>
  <c r="CA169" i="1"/>
  <c r="CB169" i="1"/>
  <c r="CC169" i="1"/>
  <c r="CD169" i="1"/>
  <c r="CE169" i="1"/>
  <c r="CF169" i="1"/>
  <c r="CG169" i="1"/>
  <c r="CH169" i="1"/>
  <c r="J170" i="1"/>
  <c r="BX170" i="1"/>
  <c r="BY170" i="1"/>
  <c r="BZ170" i="1"/>
  <c r="CA170" i="1"/>
  <c r="CB170" i="1"/>
  <c r="CC170" i="1"/>
  <c r="CD170" i="1"/>
  <c r="CE170" i="1"/>
  <c r="CF170" i="1"/>
  <c r="CG170" i="1"/>
  <c r="CH170" i="1"/>
  <c r="J171" i="1"/>
  <c r="BX171" i="1"/>
  <c r="BY171" i="1"/>
  <c r="BZ171" i="1"/>
  <c r="CA171" i="1"/>
  <c r="CB171" i="1"/>
  <c r="CC171" i="1"/>
  <c r="CD171" i="1"/>
  <c r="CE171" i="1"/>
  <c r="CF171" i="1"/>
  <c r="CG171" i="1"/>
  <c r="CH171" i="1"/>
  <c r="J172" i="1"/>
  <c r="BX172" i="1"/>
  <c r="BY172" i="1"/>
  <c r="BZ172" i="1"/>
  <c r="CA172" i="1"/>
  <c r="CB172" i="1"/>
  <c r="CC172" i="1"/>
  <c r="CD172" i="1"/>
  <c r="CE172" i="1"/>
  <c r="CF172" i="1"/>
  <c r="CG172" i="1"/>
  <c r="CH172" i="1"/>
  <c r="J173" i="1"/>
  <c r="BX173" i="1"/>
  <c r="BY173" i="1"/>
  <c r="BZ173" i="1"/>
  <c r="CA173" i="1"/>
  <c r="CB173" i="1"/>
  <c r="CC173" i="1"/>
  <c r="CD173" i="1"/>
  <c r="CE173" i="1"/>
  <c r="CF173" i="1"/>
  <c r="CG173" i="1"/>
  <c r="CH173" i="1"/>
  <c r="J174" i="1"/>
  <c r="BX174" i="1"/>
  <c r="BY174" i="1"/>
  <c r="BZ174" i="1"/>
  <c r="CA174" i="1"/>
  <c r="CB174" i="1"/>
  <c r="CC174" i="1"/>
  <c r="CD174" i="1"/>
  <c r="CE174" i="1"/>
  <c r="CF174" i="1"/>
  <c r="CG174" i="1"/>
  <c r="CH174" i="1"/>
  <c r="J175" i="1"/>
  <c r="BX175" i="1"/>
  <c r="BY175" i="1"/>
  <c r="BZ175" i="1"/>
  <c r="CA175" i="1"/>
  <c r="CB175" i="1"/>
  <c r="CC175" i="1"/>
  <c r="CD175" i="1"/>
  <c r="CE175" i="1"/>
  <c r="CF175" i="1"/>
  <c r="CG175" i="1"/>
  <c r="CH175" i="1"/>
  <c r="J176" i="1"/>
  <c r="BX176" i="1"/>
  <c r="BY176" i="1"/>
  <c r="BZ176" i="1"/>
  <c r="CA176" i="1"/>
  <c r="CB176" i="1"/>
  <c r="CC176" i="1"/>
  <c r="CD176" i="1"/>
  <c r="CE176" i="1"/>
  <c r="CF176" i="1"/>
  <c r="CG176" i="1"/>
  <c r="CH176" i="1"/>
  <c r="J177" i="1"/>
  <c r="BX177" i="1"/>
  <c r="BY177" i="1"/>
  <c r="BZ177" i="1"/>
  <c r="CA177" i="1"/>
  <c r="CB177" i="1"/>
  <c r="CC177" i="1"/>
  <c r="CD177" i="1"/>
  <c r="CE177" i="1"/>
  <c r="CF177" i="1"/>
  <c r="CG177" i="1"/>
  <c r="CH177" i="1"/>
  <c r="J178" i="1"/>
  <c r="BX178" i="1"/>
  <c r="BY178" i="1"/>
  <c r="BZ178" i="1"/>
  <c r="CA178" i="1"/>
  <c r="CB178" i="1"/>
  <c r="CC178" i="1"/>
  <c r="CD178" i="1"/>
  <c r="CE178" i="1"/>
  <c r="CF178" i="1"/>
  <c r="CG178" i="1"/>
  <c r="CH178" i="1"/>
  <c r="J179" i="1"/>
  <c r="BX179" i="1"/>
  <c r="BY179" i="1"/>
  <c r="BZ179" i="1"/>
  <c r="CA179" i="1"/>
  <c r="CB179" i="1"/>
  <c r="CC179" i="1"/>
  <c r="CD179" i="1"/>
  <c r="CE179" i="1"/>
  <c r="CF179" i="1"/>
  <c r="CG179" i="1"/>
  <c r="CH179" i="1"/>
  <c r="J180" i="1"/>
  <c r="BX180" i="1"/>
  <c r="BY180" i="1"/>
  <c r="BZ180" i="1"/>
  <c r="CA180" i="1"/>
  <c r="CB180" i="1"/>
  <c r="CC180" i="1"/>
  <c r="CD180" i="1"/>
  <c r="CE180" i="1"/>
  <c r="CF180" i="1"/>
  <c r="CG180" i="1"/>
  <c r="CH180" i="1"/>
  <c r="J181" i="1"/>
  <c r="BX181" i="1"/>
  <c r="BY181" i="1"/>
  <c r="BZ181" i="1"/>
  <c r="CA181" i="1"/>
  <c r="CB181" i="1"/>
  <c r="CC181" i="1"/>
  <c r="CD181" i="1"/>
  <c r="CE181" i="1"/>
  <c r="CF181" i="1"/>
  <c r="CG181" i="1"/>
  <c r="CH181" i="1"/>
  <c r="J182" i="1"/>
  <c r="BX182" i="1"/>
  <c r="BY182" i="1"/>
  <c r="BZ182" i="1"/>
  <c r="CA182" i="1"/>
  <c r="CB182" i="1"/>
  <c r="CC182" i="1"/>
  <c r="CD182" i="1"/>
  <c r="CE182" i="1"/>
  <c r="CF182" i="1"/>
  <c r="CG182" i="1"/>
  <c r="CH182" i="1"/>
  <c r="J183" i="1"/>
  <c r="BX183" i="1"/>
  <c r="BY183" i="1"/>
  <c r="BZ183" i="1"/>
  <c r="CA183" i="1"/>
  <c r="CB183" i="1"/>
  <c r="CC183" i="1"/>
  <c r="CD183" i="1"/>
  <c r="CE183" i="1"/>
  <c r="CF183" i="1"/>
  <c r="CG183" i="1"/>
  <c r="CH183" i="1"/>
  <c r="J184" i="1"/>
  <c r="BX184" i="1"/>
  <c r="BY184" i="1"/>
  <c r="BZ184" i="1"/>
  <c r="CA184" i="1"/>
  <c r="CB184" i="1"/>
  <c r="CC184" i="1"/>
  <c r="CD184" i="1"/>
  <c r="CE184" i="1"/>
  <c r="CF184" i="1"/>
  <c r="CG184" i="1"/>
  <c r="CH184" i="1"/>
  <c r="J185" i="1"/>
  <c r="BX185" i="1"/>
  <c r="BY185" i="1"/>
  <c r="BZ185" i="1"/>
  <c r="CA185" i="1"/>
  <c r="CB185" i="1"/>
  <c r="CC185" i="1"/>
  <c r="CD185" i="1"/>
  <c r="CE185" i="1"/>
  <c r="CF185" i="1"/>
  <c r="CG185" i="1"/>
  <c r="CH185" i="1"/>
  <c r="J186" i="1"/>
  <c r="BX186" i="1"/>
  <c r="BY186" i="1"/>
  <c r="BZ186" i="1"/>
  <c r="CA186" i="1"/>
  <c r="CB186" i="1"/>
  <c r="CC186" i="1"/>
  <c r="CD186" i="1"/>
  <c r="CE186" i="1"/>
  <c r="CF186" i="1"/>
  <c r="CG186" i="1"/>
  <c r="CH186" i="1"/>
  <c r="J187" i="1"/>
  <c r="BX187" i="1"/>
  <c r="BY187" i="1"/>
  <c r="BZ187" i="1"/>
  <c r="CA187" i="1"/>
  <c r="CB187" i="1"/>
  <c r="CC187" i="1"/>
  <c r="CD187" i="1"/>
  <c r="CE187" i="1"/>
  <c r="CF187" i="1"/>
  <c r="CG187" i="1"/>
  <c r="CH187" i="1"/>
  <c r="J188" i="1"/>
  <c r="BX188" i="1"/>
  <c r="BY188" i="1"/>
  <c r="BZ188" i="1"/>
  <c r="CA188" i="1"/>
  <c r="CB188" i="1"/>
  <c r="CC188" i="1"/>
  <c r="CD188" i="1"/>
  <c r="CE188" i="1"/>
  <c r="CF188" i="1"/>
  <c r="CG188" i="1"/>
  <c r="CH188" i="1"/>
  <c r="J189" i="1"/>
  <c r="BX189" i="1"/>
  <c r="BY189" i="1"/>
  <c r="BZ189" i="1"/>
  <c r="CA189" i="1"/>
  <c r="CB189" i="1"/>
  <c r="CC189" i="1"/>
  <c r="CD189" i="1"/>
  <c r="CE189" i="1"/>
  <c r="CF189" i="1"/>
  <c r="CG189" i="1"/>
  <c r="CH189" i="1"/>
  <c r="J190" i="1"/>
  <c r="BX190" i="1"/>
  <c r="BY190" i="1"/>
  <c r="BZ190" i="1"/>
  <c r="CA190" i="1"/>
  <c r="CB190" i="1"/>
  <c r="CC190" i="1"/>
  <c r="CD190" i="1"/>
  <c r="CE190" i="1"/>
  <c r="CF190" i="1"/>
  <c r="CG190" i="1"/>
  <c r="CH190" i="1"/>
  <c r="J191" i="1"/>
  <c r="BX191" i="1"/>
  <c r="BY191" i="1"/>
  <c r="BZ191" i="1"/>
  <c r="CA191" i="1"/>
  <c r="CB191" i="1"/>
  <c r="CC191" i="1"/>
  <c r="CD191" i="1"/>
  <c r="CE191" i="1"/>
  <c r="CF191" i="1"/>
  <c r="CG191" i="1"/>
  <c r="CH191" i="1"/>
  <c r="J192" i="1"/>
  <c r="BX192" i="1"/>
  <c r="BY192" i="1"/>
  <c r="BZ192" i="1"/>
  <c r="CA192" i="1"/>
  <c r="CB192" i="1"/>
  <c r="CC192" i="1"/>
  <c r="CD192" i="1"/>
  <c r="CE192" i="1"/>
  <c r="CF192" i="1"/>
  <c r="CG192" i="1"/>
  <c r="CH192" i="1"/>
  <c r="J193" i="1"/>
  <c r="BX193" i="1"/>
  <c r="BY193" i="1"/>
  <c r="BZ193" i="1"/>
  <c r="CA193" i="1"/>
  <c r="CB193" i="1"/>
  <c r="CC193" i="1"/>
  <c r="CD193" i="1"/>
  <c r="CE193" i="1"/>
  <c r="CF193" i="1"/>
  <c r="CG193" i="1"/>
  <c r="CH193" i="1"/>
  <c r="J194" i="1"/>
  <c r="BX194" i="1"/>
  <c r="BY194" i="1"/>
  <c r="BZ194" i="1"/>
  <c r="CA194" i="1"/>
  <c r="CB194" i="1"/>
  <c r="CC194" i="1"/>
  <c r="CD194" i="1"/>
  <c r="CE194" i="1"/>
  <c r="CF194" i="1"/>
  <c r="CG194" i="1"/>
  <c r="CH194" i="1"/>
  <c r="J195" i="1"/>
  <c r="BX195" i="1"/>
  <c r="BY195" i="1"/>
  <c r="BZ195" i="1"/>
  <c r="CA195" i="1"/>
  <c r="CB195" i="1"/>
  <c r="CC195" i="1"/>
  <c r="CD195" i="1"/>
  <c r="CE195" i="1"/>
  <c r="CF195" i="1"/>
  <c r="CG195" i="1"/>
  <c r="CH195" i="1"/>
  <c r="J196" i="1"/>
  <c r="BX196" i="1"/>
  <c r="BY196" i="1"/>
  <c r="BZ196" i="1"/>
  <c r="CA196" i="1"/>
  <c r="CB196" i="1"/>
  <c r="CC196" i="1"/>
  <c r="CD196" i="1"/>
  <c r="CE196" i="1"/>
  <c r="CF196" i="1"/>
  <c r="CG196" i="1"/>
  <c r="CH196" i="1"/>
  <c r="J197" i="1"/>
  <c r="BX197" i="1"/>
  <c r="BY197" i="1"/>
  <c r="BZ197" i="1"/>
  <c r="CA197" i="1"/>
  <c r="CB197" i="1"/>
  <c r="CC197" i="1"/>
  <c r="CD197" i="1"/>
  <c r="CE197" i="1"/>
  <c r="CF197" i="1"/>
  <c r="CG197" i="1"/>
  <c r="CH197" i="1"/>
  <c r="J198" i="1"/>
  <c r="BX198" i="1"/>
  <c r="BY198" i="1"/>
  <c r="BZ198" i="1"/>
  <c r="CA198" i="1"/>
  <c r="CB198" i="1"/>
  <c r="CC198" i="1"/>
  <c r="CD198" i="1"/>
  <c r="CE198" i="1"/>
  <c r="CF198" i="1"/>
  <c r="CG198" i="1"/>
  <c r="CH198" i="1"/>
  <c r="J199" i="1"/>
  <c r="BX199" i="1"/>
  <c r="BY199" i="1"/>
  <c r="BZ199" i="1"/>
  <c r="CA199" i="1"/>
  <c r="CB199" i="1"/>
  <c r="CC199" i="1"/>
  <c r="CD199" i="1"/>
  <c r="CE199" i="1"/>
  <c r="CF199" i="1"/>
  <c r="CG199" i="1"/>
  <c r="CH199" i="1"/>
  <c r="J200" i="1"/>
  <c r="BX200" i="1"/>
  <c r="BY200" i="1"/>
  <c r="BZ200" i="1"/>
  <c r="CA200" i="1"/>
  <c r="CB200" i="1"/>
  <c r="CC200" i="1"/>
  <c r="CD200" i="1"/>
  <c r="CE200" i="1"/>
  <c r="CF200" i="1"/>
  <c r="CG200" i="1"/>
  <c r="CH200" i="1"/>
  <c r="J201" i="1"/>
  <c r="BX201" i="1"/>
  <c r="BY201" i="1"/>
  <c r="BZ201" i="1"/>
  <c r="CA201" i="1"/>
  <c r="CB201" i="1"/>
  <c r="CC201" i="1"/>
  <c r="CD201" i="1"/>
  <c r="CE201" i="1"/>
  <c r="CF201" i="1"/>
  <c r="CG201" i="1"/>
  <c r="CH201" i="1"/>
  <c r="J202" i="1"/>
  <c r="BX202" i="1"/>
  <c r="BY202" i="1"/>
  <c r="BZ202" i="1"/>
  <c r="CA202" i="1"/>
  <c r="CB202" i="1"/>
  <c r="CC202" i="1"/>
  <c r="CD202" i="1"/>
  <c r="CE202" i="1"/>
  <c r="CF202" i="1"/>
  <c r="CG202" i="1"/>
  <c r="CH202" i="1"/>
  <c r="J203" i="1"/>
  <c r="BX203" i="1"/>
  <c r="BY203" i="1"/>
  <c r="BZ203" i="1"/>
  <c r="CA203" i="1"/>
  <c r="CB203" i="1"/>
  <c r="CC203" i="1"/>
  <c r="CD203" i="1"/>
  <c r="CE203" i="1"/>
  <c r="CF203" i="1"/>
  <c r="CG203" i="1"/>
  <c r="CH203" i="1"/>
  <c r="J204" i="1"/>
  <c r="BX204" i="1"/>
  <c r="BY204" i="1"/>
  <c r="BZ204" i="1"/>
  <c r="CA204" i="1"/>
  <c r="CB204" i="1"/>
  <c r="CC204" i="1"/>
  <c r="CD204" i="1"/>
  <c r="CE204" i="1"/>
  <c r="CF204" i="1"/>
  <c r="CG204" i="1"/>
  <c r="CH204" i="1"/>
  <c r="J205" i="1"/>
  <c r="BX205" i="1"/>
  <c r="BY205" i="1"/>
  <c r="BZ205" i="1"/>
  <c r="CA205" i="1"/>
  <c r="CB205" i="1"/>
  <c r="CC205" i="1"/>
  <c r="CD205" i="1"/>
  <c r="CE205" i="1"/>
  <c r="CF205" i="1"/>
  <c r="CG205" i="1"/>
  <c r="CH205" i="1"/>
  <c r="J206" i="1"/>
  <c r="BX206" i="1"/>
  <c r="BY206" i="1"/>
  <c r="BZ206" i="1"/>
  <c r="CA206" i="1"/>
  <c r="CB206" i="1"/>
  <c r="CC206" i="1"/>
  <c r="CD206" i="1"/>
  <c r="CE206" i="1"/>
  <c r="CF206" i="1"/>
  <c r="CG206" i="1"/>
  <c r="CH206" i="1"/>
  <c r="J207" i="1"/>
  <c r="BX207" i="1"/>
  <c r="BY207" i="1"/>
  <c r="BZ207" i="1"/>
  <c r="CA207" i="1"/>
  <c r="CB207" i="1"/>
  <c r="CC207" i="1"/>
  <c r="CD207" i="1"/>
  <c r="CE207" i="1"/>
  <c r="CF207" i="1"/>
  <c r="CG207" i="1"/>
  <c r="CH207" i="1"/>
  <c r="J208" i="1"/>
  <c r="BX208" i="1"/>
  <c r="BY208" i="1"/>
  <c r="BZ208" i="1"/>
  <c r="CA208" i="1"/>
  <c r="CB208" i="1"/>
  <c r="CC208" i="1"/>
  <c r="CD208" i="1"/>
  <c r="CE208" i="1"/>
  <c r="CF208" i="1"/>
  <c r="CG208" i="1"/>
  <c r="CH208" i="1"/>
  <c r="J209" i="1"/>
  <c r="BX209" i="1"/>
  <c r="BY209" i="1"/>
  <c r="BZ209" i="1"/>
  <c r="CA209" i="1"/>
  <c r="CB209" i="1"/>
  <c r="CC209" i="1"/>
  <c r="CD209" i="1"/>
  <c r="CE209" i="1"/>
  <c r="CF209" i="1"/>
  <c r="CG209" i="1"/>
  <c r="CH209" i="1"/>
  <c r="J210" i="1"/>
  <c r="BX210" i="1"/>
  <c r="BY210" i="1"/>
  <c r="BZ210" i="1"/>
  <c r="CA210" i="1"/>
  <c r="CB210" i="1"/>
  <c r="CC210" i="1"/>
  <c r="CD210" i="1"/>
  <c r="CE210" i="1"/>
  <c r="CF210" i="1"/>
  <c r="CG210" i="1"/>
  <c r="CH210" i="1"/>
  <c r="J211" i="1"/>
  <c r="BX211" i="1"/>
  <c r="BY211" i="1"/>
  <c r="BZ211" i="1"/>
  <c r="CA211" i="1"/>
  <c r="CB211" i="1"/>
  <c r="CC211" i="1"/>
  <c r="CD211" i="1"/>
  <c r="CE211" i="1"/>
  <c r="CF211" i="1"/>
  <c r="CG211" i="1"/>
  <c r="CH211" i="1"/>
  <c r="J212" i="1"/>
  <c r="BX212" i="1"/>
  <c r="BY212" i="1"/>
  <c r="BZ212" i="1"/>
  <c r="CA212" i="1"/>
  <c r="CB212" i="1"/>
  <c r="CC212" i="1"/>
  <c r="CD212" i="1"/>
  <c r="CE212" i="1"/>
  <c r="CF212" i="1"/>
  <c r="CG212" i="1"/>
  <c r="CH212" i="1"/>
  <c r="J213" i="1"/>
  <c r="BX213" i="1"/>
  <c r="BY213" i="1"/>
  <c r="BZ213" i="1"/>
  <c r="CA213" i="1"/>
  <c r="CB213" i="1"/>
  <c r="CC213" i="1"/>
  <c r="CD213" i="1"/>
  <c r="CE213" i="1"/>
  <c r="CF213" i="1"/>
  <c r="CG213" i="1"/>
  <c r="CH213" i="1"/>
  <c r="J214" i="1"/>
  <c r="BX214" i="1"/>
  <c r="BY214" i="1"/>
  <c r="BZ214" i="1"/>
  <c r="CA214" i="1"/>
  <c r="CB214" i="1"/>
  <c r="CC214" i="1"/>
  <c r="CD214" i="1"/>
  <c r="CE214" i="1"/>
  <c r="CF214" i="1"/>
  <c r="CG214" i="1"/>
  <c r="CH214" i="1"/>
  <c r="J215" i="1"/>
  <c r="BX215" i="1"/>
  <c r="BY215" i="1"/>
  <c r="BZ215" i="1"/>
  <c r="CA215" i="1"/>
  <c r="CB215" i="1"/>
  <c r="CC215" i="1"/>
  <c r="CD215" i="1"/>
  <c r="CE215" i="1"/>
  <c r="CF215" i="1"/>
  <c r="CG215" i="1"/>
  <c r="CH215" i="1"/>
  <c r="J216" i="1"/>
  <c r="BX216" i="1"/>
  <c r="BY216" i="1"/>
  <c r="BZ216" i="1"/>
  <c r="CA216" i="1"/>
  <c r="CB216" i="1"/>
  <c r="CC216" i="1"/>
  <c r="CD216" i="1"/>
  <c r="CE216" i="1"/>
  <c r="CF216" i="1"/>
  <c r="CG216" i="1"/>
  <c r="CH216" i="1"/>
  <c r="J217" i="1"/>
  <c r="BX217" i="1"/>
  <c r="BY217" i="1"/>
  <c r="BZ217" i="1"/>
  <c r="CA217" i="1"/>
  <c r="CB217" i="1"/>
  <c r="CC217" i="1"/>
  <c r="CD217" i="1"/>
  <c r="CE217" i="1"/>
  <c r="CF217" i="1"/>
  <c r="CG217" i="1"/>
  <c r="CH217" i="1"/>
  <c r="J218" i="1"/>
  <c r="BX218" i="1"/>
  <c r="BY218" i="1"/>
  <c r="BZ218" i="1"/>
  <c r="CA218" i="1"/>
  <c r="CB218" i="1"/>
  <c r="CC218" i="1"/>
  <c r="CD218" i="1"/>
  <c r="CE218" i="1"/>
  <c r="CF218" i="1"/>
  <c r="CG218" i="1"/>
  <c r="CH218" i="1"/>
  <c r="J219" i="1"/>
  <c r="BX219" i="1"/>
  <c r="BY219" i="1"/>
  <c r="BZ219" i="1"/>
  <c r="CA219" i="1"/>
  <c r="CB219" i="1"/>
  <c r="CC219" i="1"/>
  <c r="CD219" i="1"/>
  <c r="CE219" i="1"/>
  <c r="CF219" i="1"/>
  <c r="CG219" i="1"/>
  <c r="CH219" i="1"/>
  <c r="J220" i="1"/>
  <c r="BX220" i="1"/>
  <c r="BY220" i="1"/>
  <c r="BZ220" i="1"/>
  <c r="CA220" i="1"/>
  <c r="CB220" i="1"/>
  <c r="CC220" i="1"/>
  <c r="CD220" i="1"/>
  <c r="CE220" i="1"/>
  <c r="CF220" i="1"/>
  <c r="CG220" i="1"/>
  <c r="CH220" i="1"/>
  <c r="J221" i="1"/>
  <c r="BX221" i="1"/>
  <c r="BY221" i="1"/>
  <c r="BZ221" i="1"/>
  <c r="CA221" i="1"/>
  <c r="CB221" i="1"/>
  <c r="CC221" i="1"/>
  <c r="CD221" i="1"/>
  <c r="CE221" i="1"/>
  <c r="CF221" i="1"/>
  <c r="CG221" i="1"/>
  <c r="CH221" i="1"/>
  <c r="J222" i="1"/>
  <c r="BX222" i="1"/>
  <c r="BY222" i="1"/>
  <c r="BZ222" i="1"/>
  <c r="CA222" i="1"/>
  <c r="CB222" i="1"/>
  <c r="CC222" i="1"/>
  <c r="CD222" i="1"/>
  <c r="CE222" i="1"/>
  <c r="CF222" i="1"/>
  <c r="CG222" i="1"/>
  <c r="CH222" i="1"/>
  <c r="J223" i="1"/>
  <c r="BX223" i="1"/>
  <c r="BY223" i="1"/>
  <c r="BZ223" i="1"/>
  <c r="CA223" i="1"/>
  <c r="CB223" i="1"/>
  <c r="CC223" i="1"/>
  <c r="CD223" i="1"/>
  <c r="CE223" i="1"/>
  <c r="CF223" i="1"/>
  <c r="CG223" i="1"/>
  <c r="CH223" i="1"/>
  <c r="J224" i="1"/>
  <c r="BX224" i="1"/>
  <c r="BY224" i="1"/>
  <c r="BZ224" i="1"/>
  <c r="CA224" i="1"/>
  <c r="CB224" i="1"/>
  <c r="CC224" i="1"/>
  <c r="CD224" i="1"/>
  <c r="CE224" i="1"/>
  <c r="CF224" i="1"/>
  <c r="CG224" i="1"/>
  <c r="CH224" i="1"/>
  <c r="J225" i="1"/>
  <c r="BX225" i="1"/>
  <c r="BY225" i="1"/>
  <c r="BZ225" i="1"/>
  <c r="CA225" i="1"/>
  <c r="CB225" i="1"/>
  <c r="CC225" i="1"/>
  <c r="CD225" i="1"/>
  <c r="CE225" i="1"/>
  <c r="CF225" i="1"/>
  <c r="CG225" i="1"/>
  <c r="CH225" i="1"/>
  <c r="J226" i="1"/>
  <c r="BX226" i="1"/>
  <c r="BY226" i="1"/>
  <c r="BZ226" i="1"/>
  <c r="CA226" i="1"/>
  <c r="CB226" i="1"/>
  <c r="CC226" i="1"/>
  <c r="CD226" i="1"/>
  <c r="CE226" i="1"/>
  <c r="CF226" i="1"/>
  <c r="CG226" i="1"/>
  <c r="CH226" i="1"/>
  <c r="J227" i="1"/>
  <c r="BX227" i="1"/>
  <c r="BY227" i="1"/>
  <c r="BZ227" i="1"/>
  <c r="CA227" i="1"/>
  <c r="CB227" i="1"/>
  <c r="CC227" i="1"/>
  <c r="CD227" i="1"/>
  <c r="CE227" i="1"/>
  <c r="CF227" i="1"/>
  <c r="CG227" i="1"/>
  <c r="CH227" i="1"/>
  <c r="J228" i="1"/>
  <c r="BX228" i="1"/>
  <c r="BY228" i="1"/>
  <c r="BZ228" i="1"/>
  <c r="CA228" i="1"/>
  <c r="CB228" i="1"/>
  <c r="CC228" i="1"/>
  <c r="CD228" i="1"/>
  <c r="CE228" i="1"/>
  <c r="CF228" i="1"/>
  <c r="CG228" i="1"/>
  <c r="CH228" i="1"/>
  <c r="J229" i="1"/>
  <c r="BX229" i="1"/>
  <c r="BY229" i="1"/>
  <c r="BZ229" i="1"/>
  <c r="CA229" i="1"/>
  <c r="CB229" i="1"/>
  <c r="CC229" i="1"/>
  <c r="CD229" i="1"/>
  <c r="CE229" i="1"/>
  <c r="CF229" i="1"/>
  <c r="CG229" i="1"/>
  <c r="CH229" i="1"/>
  <c r="J230" i="1"/>
  <c r="BX230" i="1"/>
  <c r="BY230" i="1"/>
  <c r="BZ230" i="1"/>
  <c r="CA230" i="1"/>
  <c r="CB230" i="1"/>
  <c r="CC230" i="1"/>
  <c r="CD230" i="1"/>
  <c r="CE230" i="1"/>
  <c r="CF230" i="1"/>
  <c r="CG230" i="1"/>
  <c r="CH230" i="1"/>
  <c r="J231" i="1"/>
  <c r="BX231" i="1"/>
  <c r="BY231" i="1"/>
  <c r="BZ231" i="1"/>
  <c r="CA231" i="1"/>
  <c r="CB231" i="1"/>
  <c r="CC231" i="1"/>
  <c r="CD231" i="1"/>
  <c r="CE231" i="1"/>
  <c r="CF231" i="1"/>
  <c r="CG231" i="1"/>
  <c r="CH231" i="1"/>
  <c r="J232" i="1"/>
  <c r="BX232" i="1"/>
  <c r="BY232" i="1"/>
  <c r="BZ232" i="1"/>
  <c r="CA232" i="1"/>
  <c r="CB232" i="1"/>
  <c r="CC232" i="1"/>
  <c r="CD232" i="1"/>
  <c r="CE232" i="1"/>
  <c r="CF232" i="1"/>
  <c r="CG232" i="1"/>
  <c r="CH232" i="1"/>
  <c r="J233" i="1"/>
  <c r="BX233" i="1"/>
  <c r="BY233" i="1"/>
  <c r="BZ233" i="1"/>
  <c r="CA233" i="1"/>
  <c r="CB233" i="1"/>
  <c r="CC233" i="1"/>
  <c r="CD233" i="1"/>
  <c r="CE233" i="1"/>
  <c r="CF233" i="1"/>
  <c r="CG233" i="1"/>
  <c r="CH233" i="1"/>
  <c r="J234" i="1"/>
  <c r="BX234" i="1"/>
  <c r="BY234" i="1"/>
  <c r="BZ234" i="1"/>
  <c r="CA234" i="1"/>
  <c r="CB234" i="1"/>
  <c r="CC234" i="1"/>
  <c r="CD234" i="1"/>
  <c r="CE234" i="1"/>
  <c r="CF234" i="1"/>
  <c r="CG234" i="1"/>
  <c r="CH234" i="1"/>
  <c r="J235" i="1"/>
  <c r="BX235" i="1"/>
  <c r="BY235" i="1"/>
  <c r="BZ235" i="1"/>
  <c r="CA235" i="1"/>
  <c r="CB235" i="1"/>
  <c r="CC235" i="1"/>
  <c r="CD235" i="1"/>
  <c r="CE235" i="1"/>
  <c r="CF235" i="1"/>
  <c r="CG235" i="1"/>
  <c r="CH235" i="1"/>
  <c r="J236" i="1"/>
  <c r="BX236" i="1"/>
  <c r="BY236" i="1"/>
  <c r="BZ236" i="1"/>
  <c r="CA236" i="1"/>
  <c r="CB236" i="1"/>
  <c r="CC236" i="1"/>
  <c r="CD236" i="1"/>
  <c r="CE236" i="1"/>
  <c r="CF236" i="1"/>
  <c r="CG236" i="1"/>
  <c r="CH236" i="1"/>
  <c r="J237" i="1"/>
  <c r="BX237" i="1"/>
  <c r="BY237" i="1"/>
  <c r="BZ237" i="1"/>
  <c r="CA237" i="1"/>
  <c r="CB237" i="1"/>
  <c r="CC237" i="1"/>
  <c r="CD237" i="1"/>
  <c r="CE237" i="1"/>
  <c r="CF237" i="1"/>
  <c r="CG237" i="1"/>
  <c r="CH237" i="1"/>
  <c r="J238" i="1"/>
  <c r="BX238" i="1"/>
  <c r="BY238" i="1"/>
  <c r="BZ238" i="1"/>
  <c r="CA238" i="1"/>
  <c r="CB238" i="1"/>
  <c r="CC238" i="1"/>
  <c r="CD238" i="1"/>
  <c r="CE238" i="1"/>
  <c r="CF238" i="1"/>
  <c r="CG238" i="1"/>
  <c r="CH238" i="1"/>
  <c r="BX239" i="1"/>
  <c r="BY239" i="1"/>
  <c r="BZ239" i="1"/>
  <c r="CA239" i="1"/>
  <c r="CB239" i="1"/>
  <c r="CC239" i="1"/>
  <c r="CD239" i="1"/>
  <c r="CE239" i="1"/>
  <c r="CF239" i="1"/>
  <c r="CG239" i="1"/>
  <c r="CH239" i="1"/>
  <c r="BX240" i="1"/>
  <c r="BY240" i="1"/>
  <c r="BZ240" i="1"/>
  <c r="CA240" i="1"/>
  <c r="CB240" i="1"/>
  <c r="CC240" i="1"/>
  <c r="CD240" i="1"/>
  <c r="CE240" i="1"/>
  <c r="CF240" i="1"/>
  <c r="CG240" i="1"/>
  <c r="CH240" i="1"/>
  <c r="J241" i="1"/>
  <c r="BX241" i="1"/>
  <c r="BY241" i="1"/>
  <c r="BZ241" i="1"/>
  <c r="CA241" i="1"/>
  <c r="CB241" i="1"/>
  <c r="CC241" i="1"/>
  <c r="CD241" i="1"/>
  <c r="CE241" i="1"/>
  <c r="CF241" i="1"/>
  <c r="CG241" i="1"/>
  <c r="CH241" i="1"/>
  <c r="J242" i="1"/>
  <c r="BX242" i="1"/>
  <c r="BY242" i="1"/>
  <c r="BZ242" i="1"/>
  <c r="CA242" i="1"/>
  <c r="CB242" i="1"/>
  <c r="CC242" i="1"/>
  <c r="CD242" i="1"/>
  <c r="CE242" i="1"/>
  <c r="CF242" i="1"/>
  <c r="CG242" i="1"/>
  <c r="CH242" i="1"/>
  <c r="J243" i="1"/>
  <c r="BX243" i="1"/>
  <c r="BY243" i="1"/>
  <c r="BZ243" i="1"/>
  <c r="CA243" i="1"/>
  <c r="CB243" i="1"/>
  <c r="CC243" i="1"/>
  <c r="CD243" i="1"/>
  <c r="CE243" i="1"/>
  <c r="CF243" i="1"/>
  <c r="CG243" i="1"/>
  <c r="CH243" i="1"/>
  <c r="J244" i="1"/>
  <c r="BX244" i="1"/>
  <c r="BY244" i="1"/>
  <c r="BZ244" i="1"/>
  <c r="CA244" i="1"/>
  <c r="CB244" i="1"/>
  <c r="CC244" i="1"/>
  <c r="CD244" i="1"/>
  <c r="CE244" i="1"/>
  <c r="CF244" i="1"/>
  <c r="CG244" i="1"/>
  <c r="CH244" i="1"/>
  <c r="J245" i="1"/>
  <c r="BX245" i="1"/>
  <c r="BY245" i="1"/>
  <c r="BZ245" i="1"/>
  <c r="CA245" i="1"/>
  <c r="CB245" i="1"/>
  <c r="CC245" i="1"/>
  <c r="CD245" i="1"/>
  <c r="CE245" i="1"/>
  <c r="CF245" i="1"/>
  <c r="CG245" i="1"/>
  <c r="CH245" i="1"/>
  <c r="J246" i="1"/>
  <c r="BX246" i="1"/>
  <c r="BY246" i="1"/>
  <c r="BZ246" i="1"/>
  <c r="CA246" i="1"/>
  <c r="CB246" i="1"/>
  <c r="CC246" i="1"/>
  <c r="CD246" i="1"/>
  <c r="CE246" i="1"/>
  <c r="CF246" i="1"/>
  <c r="CG246" i="1"/>
  <c r="CH246" i="1"/>
  <c r="J247" i="1"/>
  <c r="BX247" i="1"/>
  <c r="BY247" i="1"/>
  <c r="BZ247" i="1"/>
  <c r="CA247" i="1"/>
  <c r="CB247" i="1"/>
  <c r="CC247" i="1"/>
  <c r="CD247" i="1"/>
  <c r="CE247" i="1"/>
  <c r="CF247" i="1"/>
  <c r="CG247" i="1"/>
  <c r="CH247" i="1"/>
  <c r="J248" i="1"/>
  <c r="BX248" i="1"/>
  <c r="BY248" i="1"/>
  <c r="BZ248" i="1"/>
  <c r="CA248" i="1"/>
  <c r="CB248" i="1"/>
  <c r="CC248" i="1"/>
  <c r="CD248" i="1"/>
  <c r="CE248" i="1"/>
  <c r="CF248" i="1"/>
  <c r="CG248" i="1"/>
  <c r="CH248" i="1"/>
  <c r="J249" i="1"/>
  <c r="BX249" i="1"/>
  <c r="BY249" i="1"/>
  <c r="BZ249" i="1"/>
  <c r="CA249" i="1"/>
  <c r="CB249" i="1"/>
  <c r="CC249" i="1"/>
  <c r="CD249" i="1"/>
  <c r="CE249" i="1"/>
  <c r="CF249" i="1"/>
  <c r="CG249" i="1"/>
  <c r="CH249" i="1"/>
  <c r="J250" i="1"/>
  <c r="BX250" i="1"/>
  <c r="BY250" i="1"/>
  <c r="BZ250" i="1"/>
  <c r="CA250" i="1"/>
  <c r="CB250" i="1"/>
  <c r="CC250" i="1"/>
  <c r="CD250" i="1"/>
  <c r="CE250" i="1"/>
  <c r="CF250" i="1"/>
  <c r="CG250" i="1"/>
  <c r="CH250" i="1"/>
  <c r="J251" i="1"/>
  <c r="BX251" i="1"/>
  <c r="BY251" i="1"/>
  <c r="BZ251" i="1"/>
  <c r="CA251" i="1"/>
  <c r="CB251" i="1"/>
  <c r="CC251" i="1"/>
  <c r="CD251" i="1"/>
  <c r="CE251" i="1"/>
  <c r="CF251" i="1"/>
  <c r="CG251" i="1"/>
  <c r="CH251" i="1"/>
  <c r="BX252" i="1"/>
  <c r="BY252" i="1"/>
  <c r="BZ252" i="1"/>
  <c r="CA252" i="1"/>
  <c r="CB252" i="1"/>
  <c r="CC252" i="1"/>
  <c r="CD252" i="1"/>
  <c r="CE252" i="1"/>
  <c r="CF252" i="1"/>
  <c r="CG252" i="1"/>
  <c r="CH252" i="1"/>
  <c r="J253" i="1"/>
  <c r="BX253" i="1"/>
  <c r="BY253" i="1"/>
  <c r="BZ253" i="1"/>
  <c r="CA253" i="1"/>
  <c r="CB253" i="1"/>
  <c r="CC253" i="1"/>
  <c r="CD253" i="1"/>
  <c r="CE253" i="1"/>
  <c r="CF253" i="1"/>
  <c r="CG253" i="1"/>
  <c r="CH253" i="1"/>
  <c r="J254" i="1"/>
  <c r="BX254" i="1"/>
  <c r="BY254" i="1"/>
  <c r="BZ254" i="1"/>
  <c r="CA254" i="1"/>
  <c r="CB254" i="1"/>
  <c r="CC254" i="1"/>
  <c r="CD254" i="1"/>
  <c r="CE254" i="1"/>
  <c r="CF254" i="1"/>
  <c r="CG254" i="1"/>
  <c r="CH254" i="1"/>
  <c r="J255" i="1"/>
  <c r="BX255" i="1"/>
  <c r="BY255" i="1"/>
  <c r="BZ255" i="1"/>
  <c r="CA255" i="1"/>
  <c r="CB255" i="1"/>
  <c r="CC255" i="1"/>
  <c r="CD255" i="1"/>
  <c r="CE255" i="1"/>
  <c r="CF255" i="1"/>
  <c r="CG255" i="1"/>
  <c r="CH255" i="1"/>
  <c r="J256" i="1"/>
  <c r="BX256" i="1"/>
  <c r="BY256" i="1"/>
  <c r="BZ256" i="1"/>
  <c r="CA256" i="1"/>
  <c r="CB256" i="1"/>
  <c r="CC256" i="1"/>
  <c r="CD256" i="1"/>
  <c r="CE256" i="1"/>
  <c r="CF256" i="1"/>
  <c r="CG256" i="1"/>
  <c r="CH256" i="1"/>
  <c r="J257" i="1"/>
  <c r="BX257" i="1"/>
  <c r="BY257" i="1"/>
  <c r="BZ257" i="1"/>
  <c r="CA257" i="1"/>
  <c r="CB257" i="1"/>
  <c r="CC257" i="1"/>
  <c r="CD257" i="1"/>
  <c r="CE257" i="1"/>
  <c r="CF257" i="1"/>
  <c r="CG257" i="1"/>
  <c r="CH257" i="1"/>
  <c r="J258" i="1"/>
  <c r="BX258" i="1"/>
  <c r="BY258" i="1"/>
  <c r="BZ258" i="1"/>
  <c r="CA258" i="1"/>
  <c r="CB258" i="1"/>
  <c r="CC258" i="1"/>
  <c r="CD258" i="1"/>
  <c r="CE258" i="1"/>
  <c r="CF258" i="1"/>
  <c r="CG258" i="1"/>
  <c r="CH258" i="1"/>
  <c r="J259" i="1"/>
  <c r="BX259" i="1"/>
  <c r="BY259" i="1"/>
  <c r="BZ259" i="1"/>
  <c r="CA259" i="1"/>
  <c r="CB259" i="1"/>
  <c r="CC259" i="1"/>
  <c r="CD259" i="1"/>
  <c r="CE259" i="1"/>
  <c r="CF259" i="1"/>
  <c r="CG259" i="1"/>
  <c r="CH259" i="1"/>
  <c r="J260" i="1"/>
  <c r="BX260" i="1"/>
  <c r="BY260" i="1"/>
  <c r="BZ260" i="1"/>
  <c r="CA260" i="1"/>
  <c r="CB260" i="1"/>
  <c r="CC260" i="1"/>
  <c r="CD260" i="1"/>
  <c r="CE260" i="1"/>
  <c r="CF260" i="1"/>
  <c r="CG260" i="1"/>
  <c r="CH260" i="1"/>
  <c r="J261" i="1"/>
  <c r="BX261" i="1"/>
  <c r="BY261" i="1"/>
  <c r="BZ261" i="1"/>
  <c r="CA261" i="1"/>
  <c r="CB261" i="1"/>
  <c r="CC261" i="1"/>
  <c r="CD261" i="1"/>
  <c r="CE261" i="1"/>
  <c r="CF261" i="1"/>
  <c r="CG261" i="1"/>
  <c r="CH261" i="1"/>
  <c r="J262" i="1"/>
  <c r="BX262" i="1"/>
  <c r="BY262" i="1"/>
  <c r="BZ262" i="1"/>
  <c r="CA262" i="1"/>
  <c r="CB262" i="1"/>
  <c r="CC262" i="1"/>
  <c r="CD262" i="1"/>
  <c r="CE262" i="1"/>
  <c r="CF262" i="1"/>
  <c r="CG262" i="1"/>
  <c r="CH262" i="1"/>
  <c r="J263" i="1"/>
  <c r="BX263" i="1"/>
  <c r="BY263" i="1"/>
  <c r="BZ263" i="1"/>
  <c r="CA263" i="1"/>
  <c r="CB263" i="1"/>
  <c r="CC263" i="1"/>
  <c r="CD263" i="1"/>
  <c r="CE263" i="1"/>
  <c r="CF263" i="1"/>
  <c r="CG263" i="1"/>
  <c r="CH263" i="1"/>
  <c r="J264" i="1"/>
  <c r="BX264" i="1"/>
  <c r="BY264" i="1"/>
  <c r="BZ264" i="1"/>
  <c r="CA264" i="1"/>
  <c r="CB264" i="1"/>
  <c r="CC264" i="1"/>
  <c r="CD264" i="1"/>
  <c r="CE264" i="1"/>
  <c r="CF264" i="1"/>
  <c r="CG264" i="1"/>
  <c r="CH264" i="1"/>
  <c r="J265" i="1"/>
  <c r="BX265" i="1"/>
  <c r="BY265" i="1"/>
  <c r="BZ265" i="1"/>
  <c r="CA265" i="1"/>
  <c r="CB265" i="1"/>
  <c r="CC265" i="1"/>
  <c r="CD265" i="1"/>
  <c r="CE265" i="1"/>
  <c r="CF265" i="1"/>
  <c r="CG265" i="1"/>
  <c r="CH265" i="1"/>
  <c r="J266" i="1"/>
  <c r="BX266" i="1"/>
  <c r="BY266" i="1"/>
  <c r="BZ266" i="1"/>
  <c r="CA266" i="1"/>
  <c r="CB266" i="1"/>
  <c r="CC266" i="1"/>
  <c r="CD266" i="1"/>
  <c r="CE266" i="1"/>
  <c r="CF266" i="1"/>
  <c r="CG266" i="1"/>
  <c r="CH266" i="1"/>
  <c r="J267" i="1"/>
  <c r="BX267" i="1"/>
  <c r="BY267" i="1"/>
  <c r="BZ267" i="1"/>
  <c r="CA267" i="1"/>
  <c r="CB267" i="1"/>
  <c r="CC267" i="1"/>
  <c r="CD267" i="1"/>
  <c r="CE267" i="1"/>
  <c r="CF267" i="1"/>
  <c r="CG267" i="1"/>
  <c r="CH267" i="1"/>
  <c r="J268" i="1"/>
  <c r="BX268" i="1"/>
  <c r="BY268" i="1"/>
  <c r="BZ268" i="1"/>
  <c r="CA268" i="1"/>
  <c r="CB268" i="1"/>
  <c r="CC268" i="1"/>
  <c r="CD268" i="1"/>
  <c r="CE268" i="1"/>
  <c r="CF268" i="1"/>
  <c r="CG268" i="1"/>
  <c r="CH268" i="1"/>
  <c r="J269" i="1"/>
  <c r="BX269" i="1"/>
  <c r="BY269" i="1"/>
  <c r="BZ269" i="1"/>
  <c r="CA269" i="1"/>
  <c r="CB269" i="1"/>
  <c r="CC269" i="1"/>
  <c r="CD269" i="1"/>
  <c r="CE269" i="1"/>
  <c r="CF269" i="1"/>
  <c r="CG269" i="1"/>
  <c r="CH269" i="1"/>
  <c r="J270" i="1"/>
  <c r="BX270" i="1"/>
  <c r="BY270" i="1"/>
  <c r="BZ270" i="1"/>
  <c r="CA270" i="1"/>
  <c r="CB270" i="1"/>
  <c r="CC270" i="1"/>
  <c r="CD270" i="1"/>
  <c r="CE270" i="1"/>
  <c r="CF270" i="1"/>
  <c r="CG270" i="1"/>
  <c r="CH270" i="1"/>
  <c r="J271" i="1"/>
  <c r="BX271" i="1"/>
  <c r="BY271" i="1"/>
  <c r="BZ271" i="1"/>
  <c r="CA271" i="1"/>
  <c r="CB271" i="1"/>
  <c r="CC271" i="1"/>
  <c r="CD271" i="1"/>
  <c r="CE271" i="1"/>
  <c r="CF271" i="1"/>
  <c r="CG271" i="1"/>
  <c r="CH271" i="1"/>
  <c r="J272" i="1"/>
  <c r="BX272" i="1"/>
  <c r="BY272" i="1"/>
  <c r="BZ272" i="1"/>
  <c r="CA272" i="1"/>
  <c r="CB272" i="1"/>
  <c r="CC272" i="1"/>
  <c r="CD272" i="1"/>
  <c r="CE272" i="1"/>
  <c r="CF272" i="1"/>
  <c r="CG272" i="1"/>
  <c r="CH272" i="1"/>
  <c r="J273" i="1"/>
  <c r="BX273" i="1"/>
  <c r="BY273" i="1"/>
  <c r="BZ273" i="1"/>
  <c r="CA273" i="1"/>
  <c r="CB273" i="1"/>
  <c r="CC273" i="1"/>
  <c r="CD273" i="1"/>
  <c r="CE273" i="1"/>
  <c r="CF273" i="1"/>
  <c r="CG273" i="1"/>
  <c r="CH273" i="1"/>
  <c r="J274" i="1"/>
  <c r="BX274" i="1"/>
  <c r="BY274" i="1"/>
  <c r="BZ274" i="1"/>
  <c r="CA274" i="1"/>
  <c r="CB274" i="1"/>
  <c r="CC274" i="1"/>
  <c r="CD274" i="1"/>
  <c r="CE274" i="1"/>
  <c r="CF274" i="1"/>
  <c r="CG274" i="1"/>
  <c r="CH274" i="1"/>
  <c r="J275" i="1"/>
  <c r="BX275" i="1"/>
  <c r="BY275" i="1"/>
  <c r="BZ275" i="1"/>
  <c r="CA275" i="1"/>
  <c r="CB275" i="1"/>
  <c r="CC275" i="1"/>
  <c r="CD275" i="1"/>
  <c r="CE275" i="1"/>
  <c r="CF275" i="1"/>
  <c r="CG275" i="1"/>
  <c r="CH275" i="1"/>
  <c r="J276" i="1"/>
  <c r="BX276" i="1"/>
  <c r="BY276" i="1"/>
  <c r="BZ276" i="1"/>
  <c r="CA276" i="1"/>
  <c r="CB276" i="1"/>
  <c r="CC276" i="1"/>
  <c r="CD276" i="1"/>
  <c r="CE276" i="1"/>
  <c r="CF276" i="1"/>
  <c r="CG276" i="1"/>
  <c r="CH276" i="1"/>
  <c r="J277" i="1"/>
  <c r="BX277" i="1"/>
  <c r="BY277" i="1"/>
  <c r="BZ277" i="1"/>
  <c r="CA277" i="1"/>
  <c r="CB277" i="1"/>
  <c r="CC277" i="1"/>
  <c r="CD277" i="1"/>
  <c r="CE277" i="1"/>
  <c r="CF277" i="1"/>
  <c r="CG277" i="1"/>
  <c r="CH277" i="1"/>
  <c r="J278" i="1"/>
  <c r="BX278" i="1"/>
  <c r="BY278" i="1"/>
  <c r="BZ278" i="1"/>
  <c r="CA278" i="1"/>
  <c r="CB278" i="1"/>
  <c r="CC278" i="1"/>
  <c r="CD278" i="1"/>
  <c r="CE278" i="1"/>
  <c r="CF278" i="1"/>
  <c r="CG278" i="1"/>
  <c r="CH278" i="1"/>
  <c r="J279" i="1"/>
  <c r="BX279" i="1"/>
  <c r="BY279" i="1"/>
  <c r="BZ279" i="1"/>
  <c r="CA279" i="1"/>
  <c r="CB279" i="1"/>
  <c r="CC279" i="1"/>
  <c r="CD279" i="1"/>
  <c r="CE279" i="1"/>
  <c r="CF279" i="1"/>
  <c r="CG279" i="1"/>
  <c r="CH279" i="1"/>
  <c r="J280" i="1"/>
  <c r="BX280" i="1"/>
  <c r="BY280" i="1"/>
  <c r="BZ280" i="1"/>
  <c r="CA280" i="1"/>
  <c r="CB280" i="1"/>
  <c r="CC280" i="1"/>
  <c r="CD280" i="1"/>
  <c r="CE280" i="1"/>
  <c r="CF280" i="1"/>
  <c r="CG280" i="1"/>
  <c r="CH280" i="1"/>
  <c r="J281" i="1"/>
  <c r="BX281" i="1"/>
  <c r="BY281" i="1"/>
  <c r="BZ281" i="1"/>
  <c r="CA281" i="1"/>
  <c r="CB281" i="1"/>
  <c r="CC281" i="1"/>
  <c r="CD281" i="1"/>
  <c r="CE281" i="1"/>
  <c r="CF281" i="1"/>
  <c r="CG281" i="1"/>
  <c r="CH281" i="1"/>
  <c r="J282" i="1"/>
  <c r="BX282" i="1"/>
  <c r="BY282" i="1"/>
  <c r="BZ282" i="1"/>
  <c r="CA282" i="1"/>
  <c r="CB282" i="1"/>
  <c r="CC282" i="1"/>
  <c r="CD282" i="1"/>
  <c r="CE282" i="1"/>
  <c r="CF282" i="1"/>
  <c r="CG282" i="1"/>
  <c r="CH282" i="1"/>
  <c r="BX283" i="1"/>
  <c r="BY283" i="1"/>
  <c r="BZ283" i="1"/>
  <c r="CA283" i="1"/>
  <c r="CB283" i="1"/>
  <c r="CC283" i="1"/>
  <c r="CD283" i="1"/>
  <c r="CE283" i="1"/>
  <c r="CF283" i="1"/>
  <c r="CG283" i="1"/>
  <c r="CH283" i="1"/>
  <c r="J284" i="1"/>
  <c r="BX284" i="1"/>
  <c r="BY284" i="1"/>
  <c r="BZ284" i="1"/>
  <c r="CA284" i="1"/>
  <c r="CB284" i="1"/>
  <c r="CC284" i="1"/>
  <c r="CD284" i="1"/>
  <c r="CE284" i="1"/>
  <c r="CF284" i="1"/>
  <c r="CG284" i="1"/>
  <c r="CH284" i="1"/>
  <c r="J285" i="1"/>
  <c r="BX285" i="1"/>
  <c r="BY285" i="1"/>
  <c r="BZ285" i="1"/>
  <c r="CA285" i="1"/>
  <c r="CB285" i="1"/>
  <c r="CC285" i="1"/>
  <c r="CD285" i="1"/>
  <c r="CE285" i="1"/>
  <c r="CF285" i="1"/>
  <c r="CG285" i="1"/>
  <c r="CH285" i="1"/>
  <c r="J286" i="1"/>
  <c r="BX286" i="1"/>
  <c r="BY286" i="1"/>
  <c r="BZ286" i="1"/>
  <c r="CA286" i="1"/>
  <c r="CB286" i="1"/>
  <c r="CC286" i="1"/>
  <c r="CD286" i="1"/>
  <c r="CE286" i="1"/>
  <c r="CF286" i="1"/>
  <c r="CG286" i="1"/>
  <c r="CH286" i="1"/>
  <c r="J287" i="1"/>
  <c r="BX287" i="1"/>
  <c r="BY287" i="1"/>
  <c r="BZ287" i="1"/>
  <c r="CA287" i="1"/>
  <c r="CB287" i="1"/>
  <c r="CC287" i="1"/>
  <c r="CD287" i="1"/>
  <c r="CE287" i="1"/>
  <c r="CF287" i="1"/>
  <c r="CG287" i="1"/>
  <c r="CH287" i="1"/>
  <c r="J288" i="1"/>
  <c r="BX288" i="1"/>
  <c r="BY288" i="1"/>
  <c r="BZ288" i="1"/>
  <c r="CA288" i="1"/>
  <c r="CB288" i="1"/>
  <c r="CC288" i="1"/>
  <c r="CD288" i="1"/>
  <c r="CE288" i="1"/>
  <c r="CF288" i="1"/>
  <c r="CG288" i="1"/>
  <c r="CH288" i="1"/>
  <c r="J289" i="1"/>
  <c r="BX289" i="1"/>
  <c r="BY289" i="1"/>
  <c r="BZ289" i="1"/>
  <c r="CA289" i="1"/>
  <c r="CB289" i="1"/>
  <c r="CC289" i="1"/>
  <c r="CD289" i="1"/>
  <c r="CE289" i="1"/>
  <c r="CF289" i="1"/>
  <c r="CG289" i="1"/>
  <c r="CH289" i="1"/>
  <c r="J290" i="1"/>
  <c r="BX290" i="1"/>
  <c r="BY290" i="1"/>
  <c r="BZ290" i="1"/>
  <c r="CA290" i="1"/>
  <c r="CB290" i="1"/>
  <c r="CC290" i="1"/>
  <c r="CD290" i="1"/>
  <c r="CE290" i="1"/>
  <c r="CF290" i="1"/>
  <c r="CG290" i="1"/>
  <c r="CH290" i="1"/>
  <c r="J291" i="1"/>
  <c r="BX291" i="1"/>
  <c r="BY291" i="1"/>
  <c r="BZ291" i="1"/>
  <c r="CA291" i="1"/>
  <c r="CB291" i="1"/>
  <c r="CC291" i="1"/>
  <c r="CD291" i="1"/>
  <c r="CE291" i="1"/>
  <c r="CF291" i="1"/>
  <c r="CG291" i="1"/>
  <c r="CH291" i="1"/>
  <c r="J292" i="1"/>
  <c r="BX292" i="1"/>
  <c r="BY292" i="1"/>
  <c r="BZ292" i="1"/>
  <c r="CA292" i="1"/>
  <c r="CB292" i="1"/>
  <c r="CC292" i="1"/>
  <c r="CD292" i="1"/>
  <c r="CE292" i="1"/>
  <c r="CF292" i="1"/>
  <c r="CG292" i="1"/>
  <c r="CH292" i="1"/>
  <c r="J293" i="1"/>
  <c r="BX293" i="1"/>
  <c r="BY293" i="1"/>
  <c r="BZ293" i="1"/>
  <c r="CA293" i="1"/>
  <c r="CB293" i="1"/>
  <c r="CC293" i="1"/>
  <c r="CD293" i="1"/>
  <c r="CE293" i="1"/>
  <c r="CF293" i="1"/>
  <c r="CG293" i="1"/>
  <c r="CH293" i="1"/>
  <c r="BX294" i="1"/>
  <c r="BY294" i="1"/>
  <c r="BZ294" i="1"/>
  <c r="CA294" i="1"/>
  <c r="CB294" i="1"/>
  <c r="CC294" i="1"/>
  <c r="CD294" i="1"/>
  <c r="CE294" i="1"/>
  <c r="CF294" i="1"/>
  <c r="CG294" i="1"/>
  <c r="CH294" i="1"/>
  <c r="J295" i="1"/>
  <c r="BX295" i="1"/>
  <c r="BY295" i="1"/>
  <c r="BZ295" i="1"/>
  <c r="CA295" i="1"/>
  <c r="CB295" i="1"/>
  <c r="CC295" i="1"/>
  <c r="CD295" i="1"/>
  <c r="CE295" i="1"/>
  <c r="CF295" i="1"/>
  <c r="CG295" i="1"/>
  <c r="CH295" i="1"/>
  <c r="J296" i="1"/>
  <c r="BX296" i="1"/>
  <c r="BY296" i="1"/>
  <c r="BZ296" i="1"/>
  <c r="CA296" i="1"/>
  <c r="CB296" i="1"/>
  <c r="CC296" i="1"/>
  <c r="CD296" i="1"/>
  <c r="CE296" i="1"/>
  <c r="CF296" i="1"/>
  <c r="CG296" i="1"/>
  <c r="CH296" i="1"/>
  <c r="BX297" i="1"/>
  <c r="BY297" i="1"/>
  <c r="BZ297" i="1"/>
  <c r="CA297" i="1"/>
  <c r="CB297" i="1"/>
  <c r="CC297" i="1"/>
  <c r="CD297" i="1"/>
  <c r="CE297" i="1"/>
  <c r="CF297" i="1"/>
  <c r="CG297" i="1"/>
  <c r="CH297" i="1"/>
  <c r="J298" i="1"/>
  <c r="BX298" i="1"/>
  <c r="BY298" i="1"/>
  <c r="BZ298" i="1"/>
  <c r="CA298" i="1"/>
  <c r="CB298" i="1"/>
  <c r="CC298" i="1"/>
  <c r="CD298" i="1"/>
  <c r="CE298" i="1"/>
  <c r="CF298" i="1"/>
  <c r="CG298" i="1"/>
  <c r="CH298" i="1"/>
  <c r="J299" i="1"/>
  <c r="BX299" i="1"/>
  <c r="BY299" i="1"/>
  <c r="BZ299" i="1"/>
  <c r="CA299" i="1"/>
  <c r="CB299" i="1"/>
  <c r="CC299" i="1"/>
  <c r="CD299" i="1"/>
  <c r="CE299" i="1"/>
  <c r="CF299" i="1"/>
  <c r="CG299" i="1"/>
  <c r="CH299" i="1"/>
  <c r="J300" i="1"/>
  <c r="BX300" i="1"/>
  <c r="BY300" i="1"/>
  <c r="BZ300" i="1"/>
  <c r="CA300" i="1"/>
  <c r="CB300" i="1"/>
  <c r="CC300" i="1"/>
  <c r="CD300" i="1"/>
  <c r="CE300" i="1"/>
  <c r="CF300" i="1"/>
  <c r="CG300" i="1"/>
  <c r="CH300" i="1"/>
  <c r="J301" i="1"/>
  <c r="BX301" i="1"/>
  <c r="BY301" i="1"/>
  <c r="BZ301" i="1"/>
  <c r="CA301" i="1"/>
  <c r="CB301" i="1"/>
  <c r="CC301" i="1"/>
  <c r="CD301" i="1"/>
  <c r="CE301" i="1"/>
  <c r="CF301" i="1"/>
  <c r="CG301" i="1"/>
  <c r="CH301" i="1"/>
  <c r="J302" i="1"/>
  <c r="BX302" i="1"/>
  <c r="BY302" i="1"/>
  <c r="BZ302" i="1"/>
  <c r="CA302" i="1"/>
  <c r="CB302" i="1"/>
  <c r="CC302" i="1"/>
  <c r="CD302" i="1"/>
  <c r="CE302" i="1"/>
  <c r="CF302" i="1"/>
  <c r="CG302" i="1"/>
  <c r="CH302" i="1"/>
  <c r="J303" i="1"/>
  <c r="BX303" i="1"/>
  <c r="BY303" i="1"/>
  <c r="BZ303" i="1"/>
  <c r="CA303" i="1"/>
  <c r="CB303" i="1"/>
  <c r="CC303" i="1"/>
  <c r="CD303" i="1"/>
  <c r="CE303" i="1"/>
  <c r="CF303" i="1"/>
  <c r="CG303" i="1"/>
  <c r="CH303" i="1"/>
  <c r="J304" i="1"/>
  <c r="BX304" i="1"/>
  <c r="BY304" i="1"/>
  <c r="BZ304" i="1"/>
  <c r="CA304" i="1"/>
  <c r="CB304" i="1"/>
  <c r="CC304" i="1"/>
  <c r="CD304" i="1"/>
  <c r="CE304" i="1"/>
  <c r="CF304" i="1"/>
  <c r="CG304" i="1"/>
  <c r="CH304" i="1"/>
  <c r="J305" i="1"/>
  <c r="BX305" i="1"/>
  <c r="BY305" i="1"/>
  <c r="BZ305" i="1"/>
  <c r="CA305" i="1"/>
  <c r="CB305" i="1"/>
  <c r="CC305" i="1"/>
  <c r="CD305" i="1"/>
  <c r="CE305" i="1"/>
  <c r="CF305" i="1"/>
  <c r="CG305" i="1"/>
  <c r="CH305" i="1"/>
  <c r="J306" i="1"/>
  <c r="BX306" i="1"/>
  <c r="BY306" i="1"/>
  <c r="BZ306" i="1"/>
  <c r="CA306" i="1"/>
  <c r="CB306" i="1"/>
  <c r="CC306" i="1"/>
  <c r="CD306" i="1"/>
  <c r="CE306" i="1"/>
  <c r="CF306" i="1"/>
  <c r="CG306" i="1"/>
  <c r="CH306" i="1"/>
  <c r="J307" i="1"/>
  <c r="BX307" i="1"/>
  <c r="BY307" i="1"/>
  <c r="BZ307" i="1"/>
  <c r="CA307" i="1"/>
  <c r="CB307" i="1"/>
  <c r="CC307" i="1"/>
  <c r="CD307" i="1"/>
  <c r="CE307" i="1"/>
  <c r="CF307" i="1"/>
  <c r="CG307" i="1"/>
  <c r="CH307" i="1"/>
  <c r="BX308" i="1"/>
  <c r="BY308" i="1"/>
  <c r="BZ308" i="1"/>
  <c r="CA308" i="1"/>
  <c r="CB308" i="1"/>
  <c r="CC308" i="1"/>
  <c r="CD308" i="1"/>
  <c r="CE308" i="1"/>
  <c r="CF308" i="1"/>
  <c r="CG308" i="1"/>
  <c r="CH308" i="1"/>
  <c r="BX309" i="1"/>
  <c r="BY309" i="1"/>
  <c r="BZ309" i="1"/>
  <c r="CA309" i="1"/>
  <c r="CB309" i="1"/>
  <c r="CC309" i="1"/>
  <c r="CD309" i="1"/>
  <c r="CE309" i="1"/>
  <c r="CF309" i="1"/>
  <c r="CG309" i="1"/>
  <c r="CH309" i="1"/>
  <c r="BX310" i="1"/>
  <c r="BY310" i="1"/>
  <c r="BZ310" i="1"/>
  <c r="CA310" i="1"/>
  <c r="CB310" i="1"/>
  <c r="CC310" i="1"/>
  <c r="CD310" i="1"/>
  <c r="CE310" i="1"/>
  <c r="CF310" i="1"/>
  <c r="CG310" i="1"/>
  <c r="CH310" i="1"/>
  <c r="BX311" i="1"/>
  <c r="BY311" i="1"/>
  <c r="BZ311" i="1"/>
  <c r="CA311" i="1"/>
  <c r="CB311" i="1"/>
  <c r="CC311" i="1"/>
  <c r="CD311" i="1"/>
  <c r="CE311" i="1"/>
  <c r="CF311" i="1"/>
  <c r="CG311" i="1"/>
  <c r="CH311" i="1"/>
  <c r="J312" i="1"/>
  <c r="BX312" i="1"/>
  <c r="BY312" i="1"/>
  <c r="BZ312" i="1"/>
  <c r="CA312" i="1"/>
  <c r="CB312" i="1"/>
  <c r="CC312" i="1"/>
  <c r="CD312" i="1"/>
  <c r="CE312" i="1"/>
  <c r="CF312" i="1"/>
  <c r="CG312" i="1"/>
  <c r="CH312" i="1"/>
  <c r="BX313" i="1"/>
  <c r="BY313" i="1"/>
  <c r="BZ313" i="1"/>
  <c r="CA313" i="1"/>
  <c r="CB313" i="1"/>
  <c r="CC313" i="1"/>
  <c r="CD313" i="1"/>
  <c r="CE313" i="1"/>
  <c r="CF313" i="1"/>
  <c r="CG313" i="1"/>
  <c r="CH313" i="1"/>
  <c r="J314" i="1"/>
  <c r="BX314" i="1"/>
  <c r="BY314" i="1"/>
  <c r="BZ314" i="1"/>
  <c r="CA314" i="1"/>
  <c r="CB314" i="1"/>
  <c r="CC314" i="1"/>
  <c r="CD314" i="1"/>
  <c r="CE314" i="1"/>
  <c r="CF314" i="1"/>
  <c r="CG314" i="1"/>
  <c r="CH314" i="1"/>
  <c r="BX315" i="1"/>
  <c r="BY315" i="1"/>
  <c r="BZ315" i="1"/>
  <c r="CA315" i="1"/>
  <c r="CB315" i="1"/>
  <c r="CC315" i="1"/>
  <c r="CD315" i="1"/>
  <c r="CE315" i="1"/>
  <c r="CF315" i="1"/>
  <c r="CG315" i="1"/>
  <c r="CH315" i="1"/>
  <c r="J316" i="1"/>
  <c r="BX316" i="1"/>
  <c r="BY316" i="1"/>
  <c r="BZ316" i="1"/>
  <c r="CA316" i="1"/>
  <c r="CB316" i="1"/>
  <c r="CC316" i="1"/>
  <c r="CD316" i="1"/>
  <c r="CE316" i="1"/>
  <c r="CF316" i="1"/>
  <c r="CG316" i="1"/>
  <c r="CH316" i="1"/>
  <c r="J317" i="1"/>
  <c r="BX317" i="1"/>
  <c r="BY317" i="1"/>
  <c r="BZ317" i="1"/>
  <c r="CA317" i="1"/>
  <c r="CB317" i="1"/>
  <c r="CC317" i="1"/>
  <c r="CD317" i="1"/>
  <c r="CE317" i="1"/>
  <c r="CF317" i="1"/>
  <c r="CG317" i="1"/>
  <c r="CH317" i="1"/>
  <c r="J318" i="1"/>
  <c r="BX318" i="1"/>
  <c r="BY318" i="1"/>
  <c r="BZ318" i="1"/>
  <c r="CA318" i="1"/>
  <c r="CB318" i="1"/>
  <c r="CC318" i="1"/>
  <c r="CD318" i="1"/>
  <c r="CE318" i="1"/>
  <c r="CF318" i="1"/>
  <c r="CG318" i="1"/>
  <c r="CH318" i="1"/>
  <c r="J319" i="1"/>
  <c r="BX319" i="1"/>
  <c r="BY319" i="1"/>
  <c r="BZ319" i="1"/>
  <c r="CA319" i="1"/>
  <c r="CB319" i="1"/>
  <c r="CC319" i="1"/>
  <c r="CD319" i="1"/>
  <c r="CE319" i="1"/>
  <c r="CF319" i="1"/>
  <c r="CG319" i="1"/>
  <c r="CH319" i="1"/>
  <c r="BX320" i="1"/>
  <c r="BY320" i="1"/>
  <c r="BZ320" i="1"/>
  <c r="CA320" i="1"/>
  <c r="CB320" i="1"/>
  <c r="CC320" i="1"/>
  <c r="CD320" i="1"/>
  <c r="CE320" i="1"/>
  <c r="CF320" i="1"/>
  <c r="CG320" i="1"/>
  <c r="CH320" i="1"/>
  <c r="J321" i="1"/>
  <c r="BX321" i="1"/>
  <c r="BY321" i="1"/>
  <c r="BZ321" i="1"/>
  <c r="CA321" i="1"/>
  <c r="CB321" i="1"/>
  <c r="CC321" i="1"/>
  <c r="CD321" i="1"/>
  <c r="CE321" i="1"/>
  <c r="CF321" i="1"/>
  <c r="CG321" i="1"/>
  <c r="CH321" i="1"/>
  <c r="J322" i="1"/>
  <c r="BX322" i="1"/>
  <c r="BY322" i="1"/>
  <c r="BZ322" i="1"/>
  <c r="CA322" i="1"/>
  <c r="CB322" i="1"/>
  <c r="CC322" i="1"/>
  <c r="CD322" i="1"/>
  <c r="CE322" i="1"/>
  <c r="CF322" i="1"/>
  <c r="CG322" i="1"/>
  <c r="CH322" i="1"/>
  <c r="J323" i="1"/>
  <c r="BX323" i="1"/>
  <c r="BY323" i="1"/>
  <c r="BZ323" i="1"/>
  <c r="CA323" i="1"/>
  <c r="CB323" i="1"/>
  <c r="CC323" i="1"/>
  <c r="CD323" i="1"/>
  <c r="CE323" i="1"/>
  <c r="CF323" i="1"/>
  <c r="CG323" i="1"/>
  <c r="CH323" i="1"/>
  <c r="J324" i="1"/>
  <c r="BX324" i="1"/>
  <c r="BY324" i="1"/>
  <c r="BZ324" i="1"/>
  <c r="CA324" i="1"/>
  <c r="CB324" i="1"/>
  <c r="CC324" i="1"/>
  <c r="CD324" i="1"/>
  <c r="CE324" i="1"/>
  <c r="CF324" i="1"/>
  <c r="CG324" i="1"/>
  <c r="CH324" i="1"/>
  <c r="J325" i="1"/>
  <c r="BX325" i="1"/>
  <c r="BY325" i="1"/>
  <c r="BZ325" i="1"/>
  <c r="CA325" i="1"/>
  <c r="CB325" i="1"/>
  <c r="CC325" i="1"/>
  <c r="CD325" i="1"/>
  <c r="CE325" i="1"/>
  <c r="CF325" i="1"/>
  <c r="CG325" i="1"/>
  <c r="CH325" i="1"/>
  <c r="J326" i="1"/>
  <c r="BX326" i="1"/>
  <c r="BY326" i="1"/>
  <c r="BZ326" i="1"/>
  <c r="CA326" i="1"/>
  <c r="CB326" i="1"/>
  <c r="CC326" i="1"/>
  <c r="CD326" i="1"/>
  <c r="CE326" i="1"/>
  <c r="CF326" i="1"/>
  <c r="CG326" i="1"/>
  <c r="CH326" i="1"/>
  <c r="J327" i="1"/>
  <c r="BX327" i="1"/>
  <c r="BY327" i="1"/>
  <c r="BZ327" i="1"/>
  <c r="CA327" i="1"/>
  <c r="CB327" i="1"/>
  <c r="CC327" i="1"/>
  <c r="CD327" i="1"/>
  <c r="CE327" i="1"/>
  <c r="CF327" i="1"/>
  <c r="CG327" i="1"/>
  <c r="CH327" i="1"/>
  <c r="J328" i="1"/>
  <c r="BX328" i="1"/>
  <c r="BY328" i="1"/>
  <c r="BZ328" i="1"/>
  <c r="CA328" i="1"/>
  <c r="CB328" i="1"/>
  <c r="CC328" i="1"/>
  <c r="CD328" i="1"/>
  <c r="CE328" i="1"/>
  <c r="CF328" i="1"/>
  <c r="CG328" i="1"/>
  <c r="CH328" i="1"/>
  <c r="J329" i="1"/>
  <c r="BX329" i="1"/>
  <c r="BY329" i="1"/>
  <c r="BZ329" i="1"/>
  <c r="CA329" i="1"/>
  <c r="CB329" i="1"/>
  <c r="CC329" i="1"/>
  <c r="CD329" i="1"/>
  <c r="CE329" i="1"/>
  <c r="CF329" i="1"/>
  <c r="CG329" i="1"/>
  <c r="CH329" i="1"/>
  <c r="J330" i="1"/>
  <c r="BX330" i="1"/>
  <c r="BY330" i="1"/>
  <c r="BZ330" i="1"/>
  <c r="CA330" i="1"/>
  <c r="CB330" i="1"/>
  <c r="CC330" i="1"/>
  <c r="CD330" i="1"/>
  <c r="CE330" i="1"/>
  <c r="CF330" i="1"/>
  <c r="CG330" i="1"/>
  <c r="CH330" i="1"/>
  <c r="J331" i="1"/>
  <c r="BX331" i="1"/>
  <c r="BY331" i="1"/>
  <c r="BZ331" i="1"/>
  <c r="CA331" i="1"/>
  <c r="CB331" i="1"/>
  <c r="CC331" i="1"/>
  <c r="CD331" i="1"/>
  <c r="CE331" i="1"/>
  <c r="CF331" i="1"/>
  <c r="CG331" i="1"/>
  <c r="CH331" i="1"/>
  <c r="J332" i="1"/>
  <c r="BX332" i="1"/>
  <c r="BY332" i="1"/>
  <c r="BZ332" i="1"/>
  <c r="CA332" i="1"/>
  <c r="CB332" i="1"/>
  <c r="CC332" i="1"/>
  <c r="CD332" i="1"/>
  <c r="CE332" i="1"/>
  <c r="CF332" i="1"/>
  <c r="CG332" i="1"/>
  <c r="CH332" i="1"/>
  <c r="J333" i="1"/>
  <c r="BX333" i="1"/>
  <c r="BY333" i="1"/>
  <c r="BZ333" i="1"/>
  <c r="CA333" i="1"/>
  <c r="CB333" i="1"/>
  <c r="CC333" i="1"/>
  <c r="CD333" i="1"/>
  <c r="CE333" i="1"/>
  <c r="CF333" i="1"/>
  <c r="CG333" i="1"/>
  <c r="CH333" i="1"/>
  <c r="J334" i="1"/>
  <c r="BX334" i="1"/>
  <c r="BY334" i="1"/>
  <c r="BZ334" i="1"/>
  <c r="CA334" i="1"/>
  <c r="CB334" i="1"/>
  <c r="CC334" i="1"/>
  <c r="CD334" i="1"/>
  <c r="CE334" i="1"/>
  <c r="CF334" i="1"/>
  <c r="CG334" i="1"/>
  <c r="CH334" i="1"/>
  <c r="J335" i="1"/>
  <c r="BX335" i="1"/>
  <c r="BY335" i="1"/>
  <c r="BZ335" i="1"/>
  <c r="CA335" i="1"/>
  <c r="CB335" i="1"/>
  <c r="CC335" i="1"/>
  <c r="CD335" i="1"/>
  <c r="CE335" i="1"/>
  <c r="CF335" i="1"/>
  <c r="CG335" i="1"/>
  <c r="CH335" i="1"/>
  <c r="J336" i="1"/>
  <c r="BX336" i="1"/>
  <c r="BY336" i="1"/>
  <c r="BZ336" i="1"/>
  <c r="CA336" i="1"/>
  <c r="CB336" i="1"/>
  <c r="CC336" i="1"/>
  <c r="CD336" i="1"/>
  <c r="CE336" i="1"/>
  <c r="CF336" i="1"/>
  <c r="CG336" i="1"/>
  <c r="CH336" i="1"/>
  <c r="J337" i="1"/>
  <c r="BX337" i="1"/>
  <c r="BY337" i="1"/>
  <c r="BZ337" i="1"/>
  <c r="CA337" i="1"/>
  <c r="CB337" i="1"/>
  <c r="CC337" i="1"/>
  <c r="CD337" i="1"/>
  <c r="CE337" i="1"/>
  <c r="CF337" i="1"/>
  <c r="CG337" i="1"/>
  <c r="CH337" i="1"/>
  <c r="J338" i="1"/>
  <c r="BX338" i="1"/>
  <c r="BY338" i="1"/>
  <c r="BZ338" i="1"/>
  <c r="CA338" i="1"/>
  <c r="CB338" i="1"/>
  <c r="CC338" i="1"/>
  <c r="CD338" i="1"/>
  <c r="CE338" i="1"/>
  <c r="CF338" i="1"/>
  <c r="CG338" i="1"/>
  <c r="CH338" i="1"/>
  <c r="J339" i="1"/>
  <c r="BX339" i="1"/>
  <c r="BY339" i="1"/>
  <c r="BZ339" i="1"/>
  <c r="CA339" i="1"/>
  <c r="CB339" i="1"/>
  <c r="CC339" i="1"/>
  <c r="CD339" i="1"/>
  <c r="CE339" i="1"/>
  <c r="CF339" i="1"/>
  <c r="CG339" i="1"/>
  <c r="CH339" i="1"/>
  <c r="J340" i="1"/>
  <c r="BX340" i="1"/>
  <c r="BY340" i="1"/>
  <c r="BZ340" i="1"/>
  <c r="CA340" i="1"/>
  <c r="CB340" i="1"/>
  <c r="CC340" i="1"/>
  <c r="CD340" i="1"/>
  <c r="CE340" i="1"/>
  <c r="CF340" i="1"/>
  <c r="CG340" i="1"/>
  <c r="CH340" i="1"/>
  <c r="J341" i="1"/>
  <c r="BX341" i="1"/>
  <c r="BY341" i="1"/>
  <c r="BZ341" i="1"/>
  <c r="CA341" i="1"/>
  <c r="CB341" i="1"/>
  <c r="CC341" i="1"/>
  <c r="CD341" i="1"/>
  <c r="CE341" i="1"/>
  <c r="CF341" i="1"/>
  <c r="CG341" i="1"/>
  <c r="CH341" i="1"/>
  <c r="J342" i="1"/>
  <c r="BX342" i="1"/>
  <c r="BY342" i="1"/>
  <c r="BZ342" i="1"/>
  <c r="CA342" i="1"/>
  <c r="CB342" i="1"/>
  <c r="CC342" i="1"/>
  <c r="CD342" i="1"/>
  <c r="CE342" i="1"/>
  <c r="CF342" i="1"/>
  <c r="CG342" i="1"/>
  <c r="CH342" i="1"/>
  <c r="J343" i="1"/>
  <c r="BX343" i="1"/>
  <c r="BY343" i="1"/>
  <c r="BZ343" i="1"/>
  <c r="CA343" i="1"/>
  <c r="CB343" i="1"/>
  <c r="CC343" i="1"/>
  <c r="CD343" i="1"/>
  <c r="CE343" i="1"/>
  <c r="CF343" i="1"/>
  <c r="CG343" i="1"/>
  <c r="CH343" i="1"/>
  <c r="J344" i="1"/>
  <c r="BX344" i="1"/>
  <c r="BY344" i="1"/>
  <c r="BZ344" i="1"/>
  <c r="CA344" i="1"/>
  <c r="CB344" i="1"/>
  <c r="CC344" i="1"/>
  <c r="CD344" i="1"/>
  <c r="CE344" i="1"/>
  <c r="CF344" i="1"/>
  <c r="CG344" i="1"/>
  <c r="CH344" i="1"/>
  <c r="J345" i="1"/>
  <c r="BX345" i="1"/>
  <c r="BY345" i="1"/>
  <c r="BZ345" i="1"/>
  <c r="CA345" i="1"/>
  <c r="CB345" i="1"/>
  <c r="CC345" i="1"/>
  <c r="CD345" i="1"/>
  <c r="CE345" i="1"/>
  <c r="CF345" i="1"/>
  <c r="CG345" i="1"/>
  <c r="CH345" i="1"/>
  <c r="J346" i="1"/>
  <c r="BX346" i="1"/>
  <c r="BY346" i="1"/>
  <c r="BZ346" i="1"/>
  <c r="CA346" i="1"/>
  <c r="CB346" i="1"/>
  <c r="CC346" i="1"/>
  <c r="CD346" i="1"/>
  <c r="CE346" i="1"/>
  <c r="CF346" i="1"/>
  <c r="CG346" i="1"/>
  <c r="CH346" i="1"/>
  <c r="J347" i="1"/>
  <c r="BX347" i="1"/>
  <c r="BY347" i="1"/>
  <c r="BZ347" i="1"/>
  <c r="CA347" i="1"/>
  <c r="CB347" i="1"/>
  <c r="CC347" i="1"/>
  <c r="CD347" i="1"/>
  <c r="CE347" i="1"/>
  <c r="CF347" i="1"/>
  <c r="CG347" i="1"/>
  <c r="CH347" i="1"/>
  <c r="J348" i="1"/>
  <c r="BX348" i="1"/>
  <c r="BY348" i="1"/>
  <c r="BZ348" i="1"/>
  <c r="CA348" i="1"/>
  <c r="CB348" i="1"/>
  <c r="CC348" i="1"/>
  <c r="CD348" i="1"/>
  <c r="CE348" i="1"/>
  <c r="CF348" i="1"/>
  <c r="CG348" i="1"/>
  <c r="CH348" i="1"/>
  <c r="J349" i="1"/>
  <c r="BX349" i="1"/>
  <c r="BY349" i="1"/>
  <c r="BZ349" i="1"/>
  <c r="CA349" i="1"/>
  <c r="CB349" i="1"/>
  <c r="CC349" i="1"/>
  <c r="CD349" i="1"/>
  <c r="CE349" i="1"/>
  <c r="CF349" i="1"/>
  <c r="CG349" i="1"/>
  <c r="CH349" i="1"/>
  <c r="J350" i="1"/>
  <c r="BX350" i="1"/>
  <c r="BY350" i="1"/>
  <c r="BZ350" i="1"/>
  <c r="CA350" i="1"/>
  <c r="CB350" i="1"/>
  <c r="CC350" i="1"/>
  <c r="CD350" i="1"/>
  <c r="CE350" i="1"/>
  <c r="CF350" i="1"/>
  <c r="CG350" i="1"/>
  <c r="CH350" i="1"/>
  <c r="J351" i="1"/>
  <c r="BX351" i="1"/>
  <c r="BY351" i="1"/>
  <c r="BZ351" i="1"/>
  <c r="CA351" i="1"/>
  <c r="CB351" i="1"/>
  <c r="CC351" i="1"/>
  <c r="CD351" i="1"/>
  <c r="CE351" i="1"/>
  <c r="CF351" i="1"/>
  <c r="CG351" i="1"/>
  <c r="CH351" i="1"/>
  <c r="J352" i="1"/>
  <c r="BX352" i="1"/>
  <c r="BY352" i="1"/>
  <c r="BZ352" i="1"/>
  <c r="CA352" i="1"/>
  <c r="CB352" i="1"/>
  <c r="CC352" i="1"/>
  <c r="CD352" i="1"/>
  <c r="CE352" i="1"/>
  <c r="CF352" i="1"/>
  <c r="CG352" i="1"/>
  <c r="CH352" i="1"/>
  <c r="J353" i="1"/>
  <c r="BX353" i="1"/>
  <c r="BY353" i="1"/>
  <c r="BZ353" i="1"/>
  <c r="CA353" i="1"/>
  <c r="CB353" i="1"/>
  <c r="CC353" i="1"/>
  <c r="CD353" i="1"/>
  <c r="CE353" i="1"/>
  <c r="CF353" i="1"/>
  <c r="CG353" i="1"/>
  <c r="CH353" i="1"/>
  <c r="J354" i="1"/>
  <c r="BX354" i="1"/>
  <c r="BY354" i="1"/>
  <c r="BZ354" i="1"/>
  <c r="CA354" i="1"/>
  <c r="CB354" i="1"/>
  <c r="CC354" i="1"/>
  <c r="CD354" i="1"/>
  <c r="CE354" i="1"/>
  <c r="CF354" i="1"/>
  <c r="CG354" i="1"/>
  <c r="CH354" i="1"/>
  <c r="J355" i="1"/>
  <c r="BX355" i="1"/>
  <c r="BY355" i="1"/>
  <c r="BZ355" i="1"/>
  <c r="CA355" i="1"/>
  <c r="CB355" i="1"/>
  <c r="CC355" i="1"/>
  <c r="CD355" i="1"/>
  <c r="CE355" i="1"/>
  <c r="CF355" i="1"/>
  <c r="CG355" i="1"/>
  <c r="CH355" i="1"/>
  <c r="J356" i="1"/>
  <c r="BX356" i="1"/>
  <c r="BY356" i="1"/>
  <c r="BZ356" i="1"/>
  <c r="CA356" i="1"/>
  <c r="CB356" i="1"/>
  <c r="CC356" i="1"/>
  <c r="CD356" i="1"/>
  <c r="CE356" i="1"/>
  <c r="CF356" i="1"/>
  <c r="CG356" i="1"/>
  <c r="CH356" i="1"/>
  <c r="J357" i="1"/>
  <c r="BX357" i="1"/>
  <c r="BY357" i="1"/>
  <c r="BZ357" i="1"/>
  <c r="CA357" i="1"/>
  <c r="CB357" i="1"/>
  <c r="CC357" i="1"/>
  <c r="CD357" i="1"/>
  <c r="CE357" i="1"/>
  <c r="CF357" i="1"/>
  <c r="CG357" i="1"/>
  <c r="CH357" i="1"/>
  <c r="J358" i="1"/>
  <c r="BX358" i="1"/>
  <c r="BY358" i="1"/>
  <c r="BZ358" i="1"/>
  <c r="CA358" i="1"/>
  <c r="CB358" i="1"/>
  <c r="CC358" i="1"/>
  <c r="CD358" i="1"/>
  <c r="CE358" i="1"/>
  <c r="CF358" i="1"/>
  <c r="CG358" i="1"/>
  <c r="CH358" i="1"/>
  <c r="J359" i="1"/>
  <c r="BX359" i="1"/>
  <c r="BY359" i="1"/>
  <c r="BZ359" i="1"/>
  <c r="CA359" i="1"/>
  <c r="CB359" i="1"/>
  <c r="CC359" i="1"/>
  <c r="CD359" i="1"/>
  <c r="CE359" i="1"/>
  <c r="CF359" i="1"/>
  <c r="CG359" i="1"/>
  <c r="CH359" i="1"/>
  <c r="J360" i="1"/>
  <c r="BX360" i="1"/>
  <c r="BY360" i="1"/>
  <c r="BZ360" i="1"/>
  <c r="CA360" i="1"/>
  <c r="CB360" i="1"/>
  <c r="CC360" i="1"/>
  <c r="CD360" i="1"/>
  <c r="CE360" i="1"/>
  <c r="CF360" i="1"/>
  <c r="CG360" i="1"/>
  <c r="CH360" i="1"/>
  <c r="J361" i="1"/>
  <c r="BX361" i="1"/>
  <c r="BY361" i="1"/>
  <c r="BZ361" i="1"/>
  <c r="CA361" i="1"/>
  <c r="CB361" i="1"/>
  <c r="CC361" i="1"/>
  <c r="CD361" i="1"/>
  <c r="CE361" i="1"/>
  <c r="CF361" i="1"/>
  <c r="CG361" i="1"/>
  <c r="CH361" i="1"/>
  <c r="J362" i="1"/>
  <c r="BX362" i="1"/>
  <c r="BY362" i="1"/>
  <c r="BZ362" i="1"/>
  <c r="CA362" i="1"/>
  <c r="CB362" i="1"/>
  <c r="CC362" i="1"/>
  <c r="CD362" i="1"/>
  <c r="CE362" i="1"/>
  <c r="CF362" i="1"/>
  <c r="CG362" i="1"/>
  <c r="CH362" i="1"/>
  <c r="J363" i="1"/>
  <c r="BX363" i="1"/>
  <c r="BY363" i="1"/>
  <c r="BZ363" i="1"/>
  <c r="CA363" i="1"/>
  <c r="CB363" i="1"/>
  <c r="CC363" i="1"/>
  <c r="CD363" i="1"/>
  <c r="CE363" i="1"/>
  <c r="CF363" i="1"/>
  <c r="CG363" i="1"/>
  <c r="CH363" i="1"/>
  <c r="J364" i="1"/>
  <c r="BX364" i="1"/>
  <c r="BY364" i="1"/>
  <c r="BZ364" i="1"/>
  <c r="CA364" i="1"/>
  <c r="CB364" i="1"/>
  <c r="CC364" i="1"/>
  <c r="CD364" i="1"/>
  <c r="CE364" i="1"/>
  <c r="CF364" i="1"/>
  <c r="CG364" i="1"/>
  <c r="CH364" i="1"/>
  <c r="J365" i="1"/>
  <c r="BX365" i="1"/>
  <c r="BY365" i="1"/>
  <c r="BZ365" i="1"/>
  <c r="CA365" i="1"/>
  <c r="CB365" i="1"/>
  <c r="CC365" i="1"/>
  <c r="CD365" i="1"/>
  <c r="CE365" i="1"/>
  <c r="CF365" i="1"/>
  <c r="CG365" i="1"/>
  <c r="CH365" i="1"/>
  <c r="J366" i="1"/>
  <c r="BX366" i="1"/>
  <c r="BY366" i="1"/>
  <c r="BZ366" i="1"/>
  <c r="CA366" i="1"/>
  <c r="CB366" i="1"/>
  <c r="CC366" i="1"/>
  <c r="CD366" i="1"/>
  <c r="CE366" i="1"/>
  <c r="CF366" i="1"/>
  <c r="CG366" i="1"/>
  <c r="CH366" i="1"/>
  <c r="J367" i="1"/>
  <c r="BX367" i="1"/>
  <c r="BY367" i="1"/>
  <c r="BZ367" i="1"/>
  <c r="CA367" i="1"/>
  <c r="CB367" i="1"/>
  <c r="CC367" i="1"/>
  <c r="CD367" i="1"/>
  <c r="CE367" i="1"/>
  <c r="CF367" i="1"/>
  <c r="CG367" i="1"/>
  <c r="CH367" i="1"/>
  <c r="J368" i="1"/>
  <c r="BX368" i="1"/>
  <c r="BY368" i="1"/>
  <c r="BZ368" i="1"/>
  <c r="CA368" i="1"/>
  <c r="CB368" i="1"/>
  <c r="CC368" i="1"/>
  <c r="CD368" i="1"/>
  <c r="CE368" i="1"/>
  <c r="CF368" i="1"/>
  <c r="CG368" i="1"/>
  <c r="CH368" i="1"/>
  <c r="J369" i="1"/>
  <c r="BX369" i="1"/>
  <c r="BY369" i="1"/>
  <c r="BZ369" i="1"/>
  <c r="CA369" i="1"/>
  <c r="CB369" i="1"/>
  <c r="CC369" i="1"/>
  <c r="CD369" i="1"/>
  <c r="CE369" i="1"/>
  <c r="CF369" i="1"/>
  <c r="CG369" i="1"/>
  <c r="CH369" i="1"/>
  <c r="J370" i="1"/>
  <c r="BX370" i="1"/>
  <c r="BY370" i="1"/>
  <c r="BZ370" i="1"/>
  <c r="CA370" i="1"/>
  <c r="CB370" i="1"/>
  <c r="CC370" i="1"/>
  <c r="CD370" i="1"/>
  <c r="CE370" i="1"/>
  <c r="CF370" i="1"/>
  <c r="CG370" i="1"/>
  <c r="CH370" i="1"/>
  <c r="J371" i="1"/>
  <c r="BX371" i="1"/>
  <c r="BY371" i="1"/>
  <c r="BZ371" i="1"/>
  <c r="CA371" i="1"/>
  <c r="CB371" i="1"/>
  <c r="CC371" i="1"/>
  <c r="CD371" i="1"/>
  <c r="CE371" i="1"/>
  <c r="CF371" i="1"/>
  <c r="CG371" i="1"/>
  <c r="CH371" i="1"/>
  <c r="J372" i="1"/>
  <c r="BX372" i="1"/>
  <c r="BY372" i="1"/>
  <c r="BZ372" i="1"/>
  <c r="CA372" i="1"/>
  <c r="CB372" i="1"/>
  <c r="CC372" i="1"/>
  <c r="CD372" i="1"/>
  <c r="CE372" i="1"/>
  <c r="CF372" i="1"/>
  <c r="CG372" i="1"/>
  <c r="CH372" i="1"/>
  <c r="J373" i="1"/>
  <c r="BX373" i="1"/>
  <c r="BY373" i="1"/>
  <c r="BZ373" i="1"/>
  <c r="CA373" i="1"/>
  <c r="CB373" i="1"/>
  <c r="CC373" i="1"/>
  <c r="CD373" i="1"/>
  <c r="CE373" i="1"/>
  <c r="CF373" i="1"/>
  <c r="CG373" i="1"/>
  <c r="CH373" i="1"/>
  <c r="J374" i="1"/>
  <c r="BX374" i="1"/>
  <c r="BY374" i="1"/>
  <c r="BZ374" i="1"/>
  <c r="CA374" i="1"/>
  <c r="CB374" i="1"/>
  <c r="CC374" i="1"/>
  <c r="CD374" i="1"/>
  <c r="CE374" i="1"/>
  <c r="CF374" i="1"/>
  <c r="CG374" i="1"/>
  <c r="CH374" i="1"/>
  <c r="J375" i="1"/>
  <c r="BX375" i="1"/>
  <c r="BY375" i="1"/>
  <c r="BZ375" i="1"/>
  <c r="CA375" i="1"/>
  <c r="CB375" i="1"/>
  <c r="CC375" i="1"/>
  <c r="CD375" i="1"/>
  <c r="CE375" i="1"/>
  <c r="CF375" i="1"/>
  <c r="CG375" i="1"/>
  <c r="CH375" i="1"/>
  <c r="J376" i="1"/>
  <c r="BX376" i="1"/>
  <c r="BY376" i="1"/>
  <c r="BZ376" i="1"/>
  <c r="CA376" i="1"/>
  <c r="CB376" i="1"/>
  <c r="CC376" i="1"/>
  <c r="CD376" i="1"/>
  <c r="CE376" i="1"/>
  <c r="CF376" i="1"/>
  <c r="CG376" i="1"/>
  <c r="CH376" i="1"/>
  <c r="J377" i="1"/>
  <c r="BX377" i="1"/>
  <c r="BY377" i="1"/>
  <c r="BZ377" i="1"/>
  <c r="CA377" i="1"/>
  <c r="CB377" i="1"/>
  <c r="CC377" i="1"/>
  <c r="CD377" i="1"/>
  <c r="CE377" i="1"/>
  <c r="CF377" i="1"/>
  <c r="CG377" i="1"/>
  <c r="CH377" i="1"/>
  <c r="J378" i="1"/>
  <c r="BX378" i="1"/>
  <c r="BY378" i="1"/>
  <c r="BZ378" i="1"/>
  <c r="CA378" i="1"/>
  <c r="CB378" i="1"/>
  <c r="CC378" i="1"/>
  <c r="CD378" i="1"/>
  <c r="CE378" i="1"/>
  <c r="CF378" i="1"/>
  <c r="CG378" i="1"/>
  <c r="CH378" i="1"/>
  <c r="J379" i="1"/>
  <c r="BX379" i="1"/>
  <c r="BY379" i="1"/>
  <c r="BZ379" i="1"/>
  <c r="CA379" i="1"/>
  <c r="CB379" i="1"/>
  <c r="CC379" i="1"/>
  <c r="CD379" i="1"/>
  <c r="CE379" i="1"/>
  <c r="CF379" i="1"/>
  <c r="CG379" i="1"/>
  <c r="CH379" i="1"/>
  <c r="J380" i="1"/>
  <c r="BX380" i="1"/>
  <c r="BY380" i="1"/>
  <c r="BZ380" i="1"/>
  <c r="CA380" i="1"/>
  <c r="CB380" i="1"/>
  <c r="CC380" i="1"/>
  <c r="CD380" i="1"/>
  <c r="CE380" i="1"/>
  <c r="CF380" i="1"/>
  <c r="CG380" i="1"/>
  <c r="CH380" i="1"/>
  <c r="J381" i="1"/>
  <c r="BX381" i="1"/>
  <c r="BY381" i="1"/>
  <c r="BZ381" i="1"/>
  <c r="CA381" i="1"/>
  <c r="CB381" i="1"/>
  <c r="CC381" i="1"/>
  <c r="CD381" i="1"/>
  <c r="CE381" i="1"/>
  <c r="CF381" i="1"/>
  <c r="CG381" i="1"/>
  <c r="CH381" i="1"/>
  <c r="J382" i="1"/>
  <c r="BX382" i="1"/>
  <c r="BY382" i="1"/>
  <c r="BZ382" i="1"/>
  <c r="CA382" i="1"/>
  <c r="CB382" i="1"/>
  <c r="CC382" i="1"/>
  <c r="CD382" i="1"/>
  <c r="CE382" i="1"/>
  <c r="CF382" i="1"/>
  <c r="CG382" i="1"/>
  <c r="CH382" i="1"/>
  <c r="J383" i="1"/>
  <c r="BX383" i="1"/>
  <c r="BY383" i="1"/>
  <c r="BZ383" i="1"/>
  <c r="CA383" i="1"/>
  <c r="CB383" i="1"/>
  <c r="CC383" i="1"/>
  <c r="CD383" i="1"/>
  <c r="CE383" i="1"/>
  <c r="CF383" i="1"/>
  <c r="CG383" i="1"/>
  <c r="CH383" i="1"/>
  <c r="J384" i="1"/>
  <c r="BX384" i="1"/>
  <c r="BY384" i="1"/>
  <c r="BZ384" i="1"/>
  <c r="CA384" i="1"/>
  <c r="CB384" i="1"/>
  <c r="CC384" i="1"/>
  <c r="CD384" i="1"/>
  <c r="CE384" i="1"/>
  <c r="CF384" i="1"/>
  <c r="CG384" i="1"/>
  <c r="CH384" i="1"/>
  <c r="J385" i="1"/>
  <c r="BX385" i="1"/>
  <c r="BY385" i="1"/>
  <c r="BZ385" i="1"/>
  <c r="CA385" i="1"/>
  <c r="CB385" i="1"/>
  <c r="CC385" i="1"/>
  <c r="CD385" i="1"/>
  <c r="CE385" i="1"/>
  <c r="CF385" i="1"/>
  <c r="CG385" i="1"/>
  <c r="CH385" i="1"/>
  <c r="J386" i="1"/>
  <c r="BX386" i="1"/>
  <c r="BY386" i="1"/>
  <c r="BZ386" i="1"/>
  <c r="CA386" i="1"/>
  <c r="CB386" i="1"/>
  <c r="CC386" i="1"/>
  <c r="CD386" i="1"/>
  <c r="CE386" i="1"/>
  <c r="CF386" i="1"/>
  <c r="CG386" i="1"/>
  <c r="CH386" i="1"/>
  <c r="J387" i="1"/>
  <c r="BX387" i="1"/>
  <c r="BY387" i="1"/>
  <c r="BZ387" i="1"/>
  <c r="CA387" i="1"/>
  <c r="CB387" i="1"/>
  <c r="CC387" i="1"/>
  <c r="CD387" i="1"/>
  <c r="CE387" i="1"/>
  <c r="CF387" i="1"/>
  <c r="CG387" i="1"/>
  <c r="CH387" i="1"/>
  <c r="J388" i="1"/>
  <c r="BX388" i="1"/>
  <c r="BY388" i="1"/>
  <c r="BZ388" i="1"/>
  <c r="CA388" i="1"/>
  <c r="CB388" i="1"/>
  <c r="CC388" i="1"/>
  <c r="CD388" i="1"/>
  <c r="CE388" i="1"/>
  <c r="CF388" i="1"/>
  <c r="CG388" i="1"/>
  <c r="CH388" i="1"/>
  <c r="J389" i="1"/>
  <c r="BX389" i="1"/>
  <c r="BY389" i="1"/>
  <c r="BZ389" i="1"/>
  <c r="CA389" i="1"/>
  <c r="CB389" i="1"/>
  <c r="CC389" i="1"/>
  <c r="CD389" i="1"/>
  <c r="CE389" i="1"/>
  <c r="CF389" i="1"/>
  <c r="CG389" i="1"/>
  <c r="CH389" i="1"/>
  <c r="J390" i="1"/>
  <c r="BX390" i="1"/>
  <c r="BY390" i="1"/>
  <c r="BZ390" i="1"/>
  <c r="CA390" i="1"/>
  <c r="CB390" i="1"/>
  <c r="CC390" i="1"/>
  <c r="CD390" i="1"/>
  <c r="CE390" i="1"/>
  <c r="CF390" i="1"/>
  <c r="CG390" i="1"/>
  <c r="CH390" i="1"/>
  <c r="J391" i="1"/>
  <c r="BX391" i="1"/>
  <c r="BY391" i="1"/>
  <c r="BZ391" i="1"/>
  <c r="CA391" i="1"/>
  <c r="CB391" i="1"/>
  <c r="CC391" i="1"/>
  <c r="CD391" i="1"/>
  <c r="CE391" i="1"/>
  <c r="CF391" i="1"/>
  <c r="CG391" i="1"/>
  <c r="CH391" i="1"/>
  <c r="J392" i="1"/>
  <c r="BX392" i="1"/>
  <c r="BY392" i="1"/>
  <c r="BZ392" i="1"/>
  <c r="CA392" i="1"/>
  <c r="CB392" i="1"/>
  <c r="CC392" i="1"/>
  <c r="CD392" i="1"/>
  <c r="CE392" i="1"/>
  <c r="CF392" i="1"/>
  <c r="CG392" i="1"/>
  <c r="CH392" i="1"/>
  <c r="J393" i="1"/>
  <c r="BX393" i="1"/>
  <c r="BY393" i="1"/>
  <c r="BZ393" i="1"/>
  <c r="CA393" i="1"/>
  <c r="CB393" i="1"/>
  <c r="CC393" i="1"/>
  <c r="CD393" i="1"/>
  <c r="CE393" i="1"/>
  <c r="CF393" i="1"/>
  <c r="CG393" i="1"/>
  <c r="CH393" i="1"/>
  <c r="J394" i="1"/>
  <c r="BX394" i="1"/>
  <c r="BY394" i="1"/>
  <c r="BZ394" i="1"/>
  <c r="CA394" i="1"/>
  <c r="CB394" i="1"/>
  <c r="CC394" i="1"/>
  <c r="CD394" i="1"/>
  <c r="CE394" i="1"/>
  <c r="CF394" i="1"/>
  <c r="CG394" i="1"/>
  <c r="CH394" i="1"/>
  <c r="J395" i="1"/>
  <c r="BX395" i="1"/>
  <c r="BY395" i="1"/>
  <c r="BZ395" i="1"/>
  <c r="CA395" i="1"/>
  <c r="CB395" i="1"/>
  <c r="CC395" i="1"/>
  <c r="CD395" i="1"/>
  <c r="CE395" i="1"/>
  <c r="CF395" i="1"/>
  <c r="CG395" i="1"/>
  <c r="CH395" i="1"/>
  <c r="J396" i="1"/>
  <c r="BX396" i="1"/>
  <c r="BY396" i="1"/>
  <c r="BZ396" i="1"/>
  <c r="CA396" i="1"/>
  <c r="CB396" i="1"/>
  <c r="CC396" i="1"/>
  <c r="CD396" i="1"/>
  <c r="CE396" i="1"/>
  <c r="CF396" i="1"/>
  <c r="CG396" i="1"/>
  <c r="CH396" i="1"/>
  <c r="J397" i="1"/>
  <c r="BX397" i="1"/>
  <c r="BY397" i="1"/>
  <c r="BZ397" i="1"/>
  <c r="CA397" i="1"/>
  <c r="CB397" i="1"/>
  <c r="CC397" i="1"/>
  <c r="CD397" i="1"/>
  <c r="CE397" i="1"/>
  <c r="CF397" i="1"/>
  <c r="CG397" i="1"/>
  <c r="CH397" i="1"/>
  <c r="J398" i="1"/>
  <c r="BX398" i="1"/>
  <c r="BY398" i="1"/>
  <c r="BZ398" i="1"/>
  <c r="CA398" i="1"/>
  <c r="CB398" i="1"/>
  <c r="CC398" i="1"/>
  <c r="CD398" i="1"/>
  <c r="CE398" i="1"/>
  <c r="CF398" i="1"/>
  <c r="CG398" i="1"/>
  <c r="CH398" i="1"/>
  <c r="J399" i="1"/>
  <c r="BX399" i="1"/>
  <c r="BY399" i="1"/>
  <c r="BZ399" i="1"/>
  <c r="CA399" i="1"/>
  <c r="CB399" i="1"/>
  <c r="CC399" i="1"/>
  <c r="CD399" i="1"/>
  <c r="CE399" i="1"/>
  <c r="CF399" i="1"/>
  <c r="CG399" i="1"/>
  <c r="CH399" i="1"/>
  <c r="J400" i="1"/>
  <c r="BX400" i="1"/>
  <c r="BY400" i="1"/>
  <c r="BZ400" i="1"/>
  <c r="CA400" i="1"/>
  <c r="CB400" i="1"/>
  <c r="CC400" i="1"/>
  <c r="CD400" i="1"/>
  <c r="CE400" i="1"/>
  <c r="CF400" i="1"/>
  <c r="CG400" i="1"/>
  <c r="CH400" i="1"/>
  <c r="J401" i="1"/>
  <c r="BX401" i="1"/>
  <c r="BY401" i="1"/>
  <c r="BZ401" i="1"/>
  <c r="CA401" i="1"/>
  <c r="CB401" i="1"/>
  <c r="CC401" i="1"/>
  <c r="CD401" i="1"/>
  <c r="CE401" i="1"/>
  <c r="CF401" i="1"/>
  <c r="CG401" i="1"/>
  <c r="CH401" i="1"/>
  <c r="J402" i="1"/>
  <c r="BX402" i="1"/>
  <c r="BY402" i="1"/>
  <c r="BZ402" i="1"/>
  <c r="CA402" i="1"/>
  <c r="CB402" i="1"/>
  <c r="CC402" i="1"/>
  <c r="CD402" i="1"/>
  <c r="CE402" i="1"/>
  <c r="CF402" i="1"/>
  <c r="CG402" i="1"/>
  <c r="CH402" i="1"/>
  <c r="J403" i="1"/>
  <c r="BX403" i="1"/>
  <c r="BY403" i="1"/>
  <c r="BZ403" i="1"/>
  <c r="CA403" i="1"/>
  <c r="CB403" i="1"/>
  <c r="CC403" i="1"/>
  <c r="CD403" i="1"/>
  <c r="CE403" i="1"/>
  <c r="CF403" i="1"/>
  <c r="CG403" i="1"/>
  <c r="CH403" i="1"/>
  <c r="J404" i="1"/>
  <c r="BX404" i="1"/>
  <c r="BY404" i="1"/>
  <c r="BZ404" i="1"/>
  <c r="CA404" i="1"/>
  <c r="CB404" i="1"/>
  <c r="CC404" i="1"/>
  <c r="CD404" i="1"/>
  <c r="CE404" i="1"/>
  <c r="CF404" i="1"/>
  <c r="CG404" i="1"/>
  <c r="CH404" i="1"/>
  <c r="J405" i="1"/>
  <c r="BX405" i="1"/>
  <c r="BY405" i="1"/>
  <c r="BZ405" i="1"/>
  <c r="CA405" i="1"/>
  <c r="CB405" i="1"/>
  <c r="CC405" i="1"/>
  <c r="CD405" i="1"/>
  <c r="CE405" i="1"/>
  <c r="CF405" i="1"/>
  <c r="CG405" i="1"/>
  <c r="CH405" i="1"/>
  <c r="J406" i="1"/>
  <c r="BX406" i="1"/>
  <c r="BY406" i="1"/>
  <c r="BZ406" i="1"/>
  <c r="CA406" i="1"/>
  <c r="CB406" i="1"/>
  <c r="CC406" i="1"/>
  <c r="CD406" i="1"/>
  <c r="CE406" i="1"/>
  <c r="CF406" i="1"/>
  <c r="CG406" i="1"/>
  <c r="CH406" i="1"/>
  <c r="J407" i="1"/>
  <c r="BX407" i="1"/>
  <c r="BY407" i="1"/>
  <c r="BZ407" i="1"/>
  <c r="CA407" i="1"/>
  <c r="CB407" i="1"/>
  <c r="CC407" i="1"/>
  <c r="CD407" i="1"/>
  <c r="CE407" i="1"/>
  <c r="CF407" i="1"/>
  <c r="CG407" i="1"/>
  <c r="CH407" i="1"/>
  <c r="J408" i="1"/>
  <c r="BX408" i="1"/>
  <c r="BY408" i="1"/>
  <c r="BZ408" i="1"/>
  <c r="CA408" i="1"/>
  <c r="CB408" i="1"/>
  <c r="CC408" i="1"/>
  <c r="CD408" i="1"/>
  <c r="CE408" i="1"/>
  <c r="CF408" i="1"/>
  <c r="CG408" i="1"/>
  <c r="CH408" i="1"/>
  <c r="J409" i="1"/>
  <c r="BX409" i="1"/>
  <c r="BY409" i="1"/>
  <c r="BZ409" i="1"/>
  <c r="CA409" i="1"/>
  <c r="CB409" i="1"/>
  <c r="CC409" i="1"/>
  <c r="CD409" i="1"/>
  <c r="CE409" i="1"/>
  <c r="CF409" i="1"/>
  <c r="CG409" i="1"/>
  <c r="CH409" i="1"/>
  <c r="J410" i="1"/>
  <c r="BX410" i="1"/>
  <c r="BY410" i="1"/>
  <c r="BZ410" i="1"/>
  <c r="CA410" i="1"/>
  <c r="CB410" i="1"/>
  <c r="CC410" i="1"/>
  <c r="CD410" i="1"/>
  <c r="CE410" i="1"/>
  <c r="CF410" i="1"/>
  <c r="CG410" i="1"/>
  <c r="CH410" i="1"/>
  <c r="J411" i="1"/>
  <c r="BX411" i="1"/>
  <c r="BY411" i="1"/>
  <c r="BZ411" i="1"/>
  <c r="CA411" i="1"/>
  <c r="CB411" i="1"/>
  <c r="CC411" i="1"/>
  <c r="CD411" i="1"/>
  <c r="CE411" i="1"/>
  <c r="CF411" i="1"/>
  <c r="CG411" i="1"/>
  <c r="CH411" i="1"/>
  <c r="J412" i="1"/>
  <c r="BX412" i="1"/>
  <c r="BY412" i="1"/>
  <c r="BZ412" i="1"/>
  <c r="CA412" i="1"/>
  <c r="CB412" i="1"/>
  <c r="CC412" i="1"/>
  <c r="CD412" i="1"/>
  <c r="CE412" i="1"/>
  <c r="CF412" i="1"/>
  <c r="CG412" i="1"/>
  <c r="CH412" i="1"/>
  <c r="J413" i="1"/>
  <c r="BX413" i="1"/>
  <c r="BY413" i="1"/>
  <c r="BZ413" i="1"/>
  <c r="CA413" i="1"/>
  <c r="CB413" i="1"/>
  <c r="CC413" i="1"/>
  <c r="CD413" i="1"/>
  <c r="CE413" i="1"/>
  <c r="CF413" i="1"/>
  <c r="CG413" i="1"/>
  <c r="CH413" i="1"/>
  <c r="J414" i="1"/>
  <c r="BX414" i="1"/>
  <c r="BY414" i="1"/>
  <c r="BZ414" i="1"/>
  <c r="CA414" i="1"/>
  <c r="CB414" i="1"/>
  <c r="CC414" i="1"/>
  <c r="CD414" i="1"/>
  <c r="CE414" i="1"/>
  <c r="CF414" i="1"/>
  <c r="CG414" i="1"/>
  <c r="CH414" i="1"/>
  <c r="J415" i="1"/>
  <c r="BX415" i="1"/>
  <c r="BY415" i="1"/>
  <c r="BZ415" i="1"/>
  <c r="CA415" i="1"/>
  <c r="CB415" i="1"/>
  <c r="CC415" i="1"/>
  <c r="CD415" i="1"/>
  <c r="CE415" i="1"/>
  <c r="CF415" i="1"/>
  <c r="CG415" i="1"/>
  <c r="CH415" i="1"/>
  <c r="J416" i="1"/>
  <c r="BX416" i="1"/>
  <c r="BY416" i="1"/>
  <c r="BZ416" i="1"/>
  <c r="CA416" i="1"/>
  <c r="CB416" i="1"/>
  <c r="CC416" i="1"/>
  <c r="CD416" i="1"/>
  <c r="CE416" i="1"/>
  <c r="CF416" i="1"/>
  <c r="CG416" i="1"/>
  <c r="CH416" i="1"/>
  <c r="J417" i="1"/>
  <c r="BX417" i="1"/>
  <c r="BY417" i="1"/>
  <c r="BZ417" i="1"/>
  <c r="CA417" i="1"/>
  <c r="CB417" i="1"/>
  <c r="CC417" i="1"/>
  <c r="CD417" i="1"/>
  <c r="CE417" i="1"/>
  <c r="CF417" i="1"/>
  <c r="CG417" i="1"/>
  <c r="CH417" i="1"/>
  <c r="J418" i="1"/>
  <c r="BX418" i="1"/>
  <c r="BY418" i="1"/>
  <c r="BZ418" i="1"/>
  <c r="CA418" i="1"/>
  <c r="CB418" i="1"/>
  <c r="CC418" i="1"/>
  <c r="CD418" i="1"/>
  <c r="CE418" i="1"/>
  <c r="CF418" i="1"/>
  <c r="CG418" i="1"/>
  <c r="CH418" i="1"/>
  <c r="J419" i="1"/>
  <c r="BX419" i="1"/>
  <c r="BY419" i="1"/>
  <c r="BZ419" i="1"/>
  <c r="CA419" i="1"/>
  <c r="CB419" i="1"/>
  <c r="CC419" i="1"/>
  <c r="CD419" i="1"/>
  <c r="CE419" i="1"/>
  <c r="CF419" i="1"/>
  <c r="CG419" i="1"/>
  <c r="CH419" i="1"/>
  <c r="J420" i="1"/>
  <c r="BX420" i="1"/>
  <c r="BY420" i="1"/>
  <c r="BZ420" i="1"/>
  <c r="CA420" i="1"/>
  <c r="CB420" i="1"/>
  <c r="CC420" i="1"/>
  <c r="CD420" i="1"/>
  <c r="CE420" i="1"/>
  <c r="CF420" i="1"/>
  <c r="CG420" i="1"/>
  <c r="CH420" i="1"/>
  <c r="J421" i="1"/>
  <c r="BX421" i="1"/>
  <c r="BY421" i="1"/>
  <c r="BZ421" i="1"/>
  <c r="CA421" i="1"/>
  <c r="CB421" i="1"/>
  <c r="CC421" i="1"/>
  <c r="CD421" i="1"/>
  <c r="CE421" i="1"/>
  <c r="CF421" i="1"/>
  <c r="CG421" i="1"/>
  <c r="CH421" i="1"/>
  <c r="J422" i="1"/>
  <c r="BX422" i="1"/>
  <c r="BY422" i="1"/>
  <c r="BZ422" i="1"/>
  <c r="CA422" i="1"/>
  <c r="CB422" i="1"/>
  <c r="CC422" i="1"/>
  <c r="CD422" i="1"/>
  <c r="CE422" i="1"/>
  <c r="CF422" i="1"/>
  <c r="CG422" i="1"/>
  <c r="CH422" i="1"/>
  <c r="J423" i="1"/>
  <c r="BX423" i="1"/>
  <c r="BY423" i="1"/>
  <c r="BZ423" i="1"/>
  <c r="CA423" i="1"/>
  <c r="CB423" i="1"/>
  <c r="CC423" i="1"/>
  <c r="CD423" i="1"/>
  <c r="CE423" i="1"/>
  <c r="CF423" i="1"/>
  <c r="CG423" i="1"/>
  <c r="CH423" i="1"/>
  <c r="J424" i="1"/>
  <c r="BX424" i="1"/>
  <c r="BY424" i="1"/>
  <c r="BZ424" i="1"/>
  <c r="CA424" i="1"/>
  <c r="CB424" i="1"/>
  <c r="CC424" i="1"/>
  <c r="CD424" i="1"/>
  <c r="CE424" i="1"/>
  <c r="CF424" i="1"/>
  <c r="CG424" i="1"/>
  <c r="CH424" i="1"/>
  <c r="J425" i="1"/>
  <c r="BX425" i="1"/>
  <c r="BY425" i="1"/>
  <c r="BZ425" i="1"/>
  <c r="CA425" i="1"/>
  <c r="CB425" i="1"/>
  <c r="CC425" i="1"/>
  <c r="CD425" i="1"/>
  <c r="CE425" i="1"/>
  <c r="CF425" i="1"/>
  <c r="CG425" i="1"/>
  <c r="CH425" i="1"/>
  <c r="J426" i="1"/>
  <c r="BX426" i="1"/>
  <c r="BY426" i="1"/>
  <c r="BZ426" i="1"/>
  <c r="CA426" i="1"/>
  <c r="CB426" i="1"/>
  <c r="CC426" i="1"/>
  <c r="CD426" i="1"/>
  <c r="CE426" i="1"/>
  <c r="CF426" i="1"/>
  <c r="CG426" i="1"/>
  <c r="CH426" i="1"/>
  <c r="J427" i="1"/>
  <c r="BX427" i="1"/>
  <c r="BY427" i="1"/>
  <c r="BZ427" i="1"/>
  <c r="CA427" i="1"/>
  <c r="CB427" i="1"/>
  <c r="CC427" i="1"/>
  <c r="CD427" i="1"/>
  <c r="CE427" i="1"/>
  <c r="CF427" i="1"/>
  <c r="CG427" i="1"/>
  <c r="CH427" i="1"/>
  <c r="J428" i="1"/>
  <c r="BX428" i="1"/>
  <c r="BY428" i="1"/>
  <c r="BZ428" i="1"/>
  <c r="CA428" i="1"/>
  <c r="CB428" i="1"/>
  <c r="CC428" i="1"/>
  <c r="CD428" i="1"/>
  <c r="CE428" i="1"/>
  <c r="CF428" i="1"/>
  <c r="CG428" i="1"/>
  <c r="CH428" i="1"/>
  <c r="J429" i="1"/>
  <c r="BX429" i="1"/>
  <c r="BY429" i="1"/>
  <c r="BZ429" i="1"/>
  <c r="CA429" i="1"/>
  <c r="CB429" i="1"/>
  <c r="CC429" i="1"/>
  <c r="CD429" i="1"/>
  <c r="CE429" i="1"/>
  <c r="CF429" i="1"/>
  <c r="CG429" i="1"/>
  <c r="CH429" i="1"/>
  <c r="J430" i="1"/>
  <c r="BX430" i="1"/>
  <c r="BY430" i="1"/>
  <c r="BZ430" i="1"/>
  <c r="CA430" i="1"/>
  <c r="CB430" i="1"/>
  <c r="CC430" i="1"/>
  <c r="CD430" i="1"/>
  <c r="CE430" i="1"/>
  <c r="CF430" i="1"/>
  <c r="CG430" i="1"/>
  <c r="CH430" i="1"/>
  <c r="J431" i="1"/>
  <c r="BX431" i="1"/>
  <c r="BY431" i="1"/>
  <c r="BZ431" i="1"/>
  <c r="CA431" i="1"/>
  <c r="CB431" i="1"/>
  <c r="CC431" i="1"/>
  <c r="CD431" i="1"/>
  <c r="CE431" i="1"/>
  <c r="CF431" i="1"/>
  <c r="CG431" i="1"/>
  <c r="CH431" i="1"/>
  <c r="J432" i="1"/>
  <c r="BX432" i="1"/>
  <c r="BY432" i="1"/>
  <c r="BZ432" i="1"/>
  <c r="CA432" i="1"/>
  <c r="CB432" i="1"/>
  <c r="CC432" i="1"/>
  <c r="CD432" i="1"/>
  <c r="CE432" i="1"/>
  <c r="CF432" i="1"/>
  <c r="CG432" i="1"/>
  <c r="CH432" i="1"/>
  <c r="J433" i="1"/>
  <c r="BX433" i="1"/>
  <c r="BY433" i="1"/>
  <c r="BZ433" i="1"/>
  <c r="CA433" i="1"/>
  <c r="CB433" i="1"/>
  <c r="CC433" i="1"/>
  <c r="CD433" i="1"/>
  <c r="CE433" i="1"/>
  <c r="CF433" i="1"/>
  <c r="CG433" i="1"/>
  <c r="CH433" i="1"/>
  <c r="J434" i="1"/>
  <c r="BX434" i="1"/>
  <c r="BY434" i="1"/>
  <c r="BZ434" i="1"/>
  <c r="CA434" i="1"/>
  <c r="CB434" i="1"/>
  <c r="CC434" i="1"/>
  <c r="CD434" i="1"/>
  <c r="CE434" i="1"/>
  <c r="CF434" i="1"/>
  <c r="CG434" i="1"/>
  <c r="CH434" i="1"/>
  <c r="J435" i="1"/>
  <c r="BX435" i="1"/>
  <c r="BY435" i="1"/>
  <c r="BZ435" i="1"/>
  <c r="CA435" i="1"/>
  <c r="CB435" i="1"/>
  <c r="CC435" i="1"/>
  <c r="CD435" i="1"/>
  <c r="CE435" i="1"/>
  <c r="CF435" i="1"/>
  <c r="CG435" i="1"/>
  <c r="CH435" i="1"/>
  <c r="J436" i="1"/>
  <c r="BX436" i="1"/>
  <c r="BY436" i="1"/>
  <c r="BZ436" i="1"/>
  <c r="CA436" i="1"/>
  <c r="CB436" i="1"/>
  <c r="CC436" i="1"/>
  <c r="CD436" i="1"/>
  <c r="CE436" i="1"/>
  <c r="CF436" i="1"/>
  <c r="CG436" i="1"/>
  <c r="CH436" i="1"/>
  <c r="J437" i="1"/>
  <c r="BX437" i="1"/>
  <c r="BY437" i="1"/>
  <c r="BZ437" i="1"/>
  <c r="CA437" i="1"/>
  <c r="CB437" i="1"/>
  <c r="CC437" i="1"/>
  <c r="CD437" i="1"/>
  <c r="CE437" i="1"/>
  <c r="CF437" i="1"/>
  <c r="CG437" i="1"/>
  <c r="CH437" i="1"/>
  <c r="J438" i="1"/>
  <c r="BX438" i="1"/>
  <c r="BY438" i="1"/>
  <c r="BZ438" i="1"/>
  <c r="CA438" i="1"/>
  <c r="CB438" i="1"/>
  <c r="CC438" i="1"/>
  <c r="CD438" i="1"/>
  <c r="CE438" i="1"/>
  <c r="CF438" i="1"/>
  <c r="CG438" i="1"/>
  <c r="CH438" i="1"/>
  <c r="J439" i="1"/>
  <c r="BX439" i="1"/>
  <c r="BY439" i="1"/>
  <c r="BZ439" i="1"/>
  <c r="CA439" i="1"/>
  <c r="CB439" i="1"/>
  <c r="CC439" i="1"/>
  <c r="CD439" i="1"/>
  <c r="CE439" i="1"/>
  <c r="CF439" i="1"/>
  <c r="CG439" i="1"/>
  <c r="CH439" i="1"/>
  <c r="J440" i="1"/>
  <c r="BX440" i="1"/>
  <c r="BY440" i="1"/>
  <c r="BZ440" i="1"/>
  <c r="CA440" i="1"/>
  <c r="CB440" i="1"/>
  <c r="CC440" i="1"/>
  <c r="CD440" i="1"/>
  <c r="CE440" i="1"/>
  <c r="CF440" i="1"/>
  <c r="CG440" i="1"/>
  <c r="CH440" i="1"/>
  <c r="J441" i="1"/>
  <c r="BX441" i="1"/>
  <c r="BY441" i="1"/>
  <c r="BZ441" i="1"/>
  <c r="CA441" i="1"/>
  <c r="CB441" i="1"/>
  <c r="CC441" i="1"/>
  <c r="CD441" i="1"/>
  <c r="CE441" i="1"/>
  <c r="CF441" i="1"/>
  <c r="CG441" i="1"/>
  <c r="CH441" i="1"/>
  <c r="J442" i="1"/>
  <c r="BX442" i="1"/>
  <c r="BY442" i="1"/>
  <c r="BZ442" i="1"/>
  <c r="CA442" i="1"/>
  <c r="CB442" i="1"/>
  <c r="CC442" i="1"/>
  <c r="CD442" i="1"/>
  <c r="CE442" i="1"/>
  <c r="CF442" i="1"/>
  <c r="CG442" i="1"/>
  <c r="CH442" i="1"/>
  <c r="J443" i="1"/>
  <c r="BX443" i="1"/>
  <c r="BY443" i="1"/>
  <c r="BZ443" i="1"/>
  <c r="CA443" i="1"/>
  <c r="CB443" i="1"/>
  <c r="CC443" i="1"/>
  <c r="CD443" i="1"/>
  <c r="CE443" i="1"/>
  <c r="CF443" i="1"/>
  <c r="CG443" i="1"/>
  <c r="CH443" i="1"/>
  <c r="J444" i="1"/>
  <c r="BX444" i="1"/>
  <c r="BY444" i="1"/>
  <c r="BZ444" i="1"/>
  <c r="CA444" i="1"/>
  <c r="CB444" i="1"/>
  <c r="CC444" i="1"/>
  <c r="CD444" i="1"/>
  <c r="CE444" i="1"/>
  <c r="CF444" i="1"/>
  <c r="CG444" i="1"/>
  <c r="CH444" i="1"/>
  <c r="J445" i="1"/>
  <c r="BX445" i="1"/>
  <c r="BY445" i="1"/>
  <c r="BZ445" i="1"/>
  <c r="CA445" i="1"/>
  <c r="CB445" i="1"/>
  <c r="CC445" i="1"/>
  <c r="CD445" i="1"/>
  <c r="CE445" i="1"/>
  <c r="CF445" i="1"/>
  <c r="CG445" i="1"/>
  <c r="CH445" i="1"/>
  <c r="J446" i="1"/>
  <c r="BX446" i="1"/>
  <c r="BY446" i="1"/>
  <c r="BZ446" i="1"/>
  <c r="CA446" i="1"/>
  <c r="CB446" i="1"/>
  <c r="CC446" i="1"/>
  <c r="CD446" i="1"/>
  <c r="CE446" i="1"/>
  <c r="CF446" i="1"/>
  <c r="CG446" i="1"/>
  <c r="CH446" i="1"/>
  <c r="J447" i="1"/>
  <c r="BX447" i="1"/>
  <c r="BY447" i="1"/>
  <c r="BZ447" i="1"/>
  <c r="CA447" i="1"/>
  <c r="CB447" i="1"/>
  <c r="CC447" i="1"/>
  <c r="CD447" i="1"/>
  <c r="CE447" i="1"/>
  <c r="CF447" i="1"/>
  <c r="CG447" i="1"/>
  <c r="CH447" i="1"/>
  <c r="J448" i="1"/>
  <c r="BX448" i="1"/>
  <c r="BY448" i="1"/>
  <c r="BZ448" i="1"/>
  <c r="CA448" i="1"/>
  <c r="CB448" i="1"/>
  <c r="CC448" i="1"/>
  <c r="CD448" i="1"/>
  <c r="CE448" i="1"/>
  <c r="CF448" i="1"/>
  <c r="CG448" i="1"/>
  <c r="CH448" i="1"/>
  <c r="J449" i="1"/>
  <c r="BX449" i="1"/>
  <c r="BY449" i="1"/>
  <c r="BZ449" i="1"/>
  <c r="CA449" i="1"/>
  <c r="CB449" i="1"/>
  <c r="CC449" i="1"/>
  <c r="CD449" i="1"/>
  <c r="CE449" i="1"/>
  <c r="CF449" i="1"/>
  <c r="CG449" i="1"/>
  <c r="CH449" i="1"/>
  <c r="J450" i="1"/>
  <c r="BX450" i="1"/>
  <c r="BY450" i="1"/>
  <c r="BZ450" i="1"/>
  <c r="CA450" i="1"/>
  <c r="CB450" i="1"/>
  <c r="CC450" i="1"/>
  <c r="CD450" i="1"/>
  <c r="CE450" i="1"/>
  <c r="CF450" i="1"/>
  <c r="CG450" i="1"/>
  <c r="CH450" i="1"/>
  <c r="J451" i="1"/>
  <c r="BX451" i="1"/>
  <c r="BY451" i="1"/>
  <c r="BZ451" i="1"/>
  <c r="CA451" i="1"/>
  <c r="CB451" i="1"/>
  <c r="CC451" i="1"/>
  <c r="CD451" i="1"/>
  <c r="CE451" i="1"/>
  <c r="CF451" i="1"/>
  <c r="CG451" i="1"/>
  <c r="CH451" i="1"/>
  <c r="J452" i="1"/>
  <c r="BX452" i="1"/>
  <c r="BY452" i="1"/>
  <c r="BZ452" i="1"/>
  <c r="CA452" i="1"/>
  <c r="CB452" i="1"/>
  <c r="CC452" i="1"/>
  <c r="CD452" i="1"/>
  <c r="CE452" i="1"/>
  <c r="CF452" i="1"/>
  <c r="CG452" i="1"/>
  <c r="CH452" i="1"/>
  <c r="J453" i="1"/>
  <c r="BX453" i="1"/>
  <c r="BY453" i="1"/>
  <c r="BZ453" i="1"/>
  <c r="CA453" i="1"/>
  <c r="CB453" i="1"/>
  <c r="CC453" i="1"/>
  <c r="CD453" i="1"/>
  <c r="CE453" i="1"/>
  <c r="CF453" i="1"/>
  <c r="CG453" i="1"/>
  <c r="CH453" i="1"/>
  <c r="J454" i="1"/>
  <c r="BX454" i="1"/>
  <c r="BY454" i="1"/>
  <c r="BZ454" i="1"/>
  <c r="CA454" i="1"/>
  <c r="CB454" i="1"/>
  <c r="CC454" i="1"/>
  <c r="CD454" i="1"/>
  <c r="CE454" i="1"/>
  <c r="CF454" i="1"/>
  <c r="CG454" i="1"/>
  <c r="CH454" i="1"/>
  <c r="J455" i="1"/>
  <c r="BX455" i="1"/>
  <c r="BY455" i="1"/>
  <c r="BZ455" i="1"/>
  <c r="CA455" i="1"/>
  <c r="CB455" i="1"/>
  <c r="CC455" i="1"/>
  <c r="CD455" i="1"/>
  <c r="CE455" i="1"/>
  <c r="CF455" i="1"/>
  <c r="CG455" i="1"/>
  <c r="CH455" i="1"/>
  <c r="J456" i="1"/>
  <c r="BX456" i="1"/>
  <c r="BY456" i="1"/>
  <c r="BZ456" i="1"/>
  <c r="CA456" i="1"/>
  <c r="CB456" i="1"/>
  <c r="CC456" i="1"/>
  <c r="CD456" i="1"/>
  <c r="CE456" i="1"/>
  <c r="CF456" i="1"/>
  <c r="CG456" i="1"/>
  <c r="CH456" i="1"/>
  <c r="J457" i="1"/>
  <c r="BX457" i="1"/>
  <c r="BY457" i="1"/>
  <c r="BZ457" i="1"/>
  <c r="CA457" i="1"/>
  <c r="CB457" i="1"/>
  <c r="CC457" i="1"/>
  <c r="CD457" i="1"/>
  <c r="CE457" i="1"/>
  <c r="CF457" i="1"/>
  <c r="CG457" i="1"/>
  <c r="CH457" i="1"/>
  <c r="J458" i="1"/>
  <c r="BX458" i="1"/>
  <c r="BY458" i="1"/>
  <c r="BZ458" i="1"/>
  <c r="CA458" i="1"/>
  <c r="CB458" i="1"/>
  <c r="CC458" i="1"/>
  <c r="CD458" i="1"/>
  <c r="CE458" i="1"/>
  <c r="CF458" i="1"/>
  <c r="CG458" i="1"/>
  <c r="CH458" i="1"/>
  <c r="J459" i="1"/>
  <c r="BX459" i="1"/>
  <c r="BY459" i="1"/>
  <c r="BZ459" i="1"/>
  <c r="CA459" i="1"/>
  <c r="CB459" i="1"/>
  <c r="CC459" i="1"/>
  <c r="CD459" i="1"/>
  <c r="CE459" i="1"/>
  <c r="CF459" i="1"/>
  <c r="CG459" i="1"/>
  <c r="CH459" i="1"/>
  <c r="J460" i="1"/>
  <c r="BX460" i="1"/>
  <c r="BY460" i="1"/>
  <c r="BZ460" i="1"/>
  <c r="CA460" i="1"/>
  <c r="CB460" i="1"/>
  <c r="CC460" i="1"/>
  <c r="CD460" i="1"/>
  <c r="CE460" i="1"/>
  <c r="CF460" i="1"/>
  <c r="CG460" i="1"/>
  <c r="CH460" i="1"/>
  <c r="J461" i="1"/>
  <c r="BX461" i="1"/>
  <c r="BY461" i="1"/>
  <c r="BZ461" i="1"/>
  <c r="CA461" i="1"/>
  <c r="CB461" i="1"/>
  <c r="CC461" i="1"/>
  <c r="CD461" i="1"/>
  <c r="CE461" i="1"/>
  <c r="CF461" i="1"/>
  <c r="CG461" i="1"/>
  <c r="CH461" i="1"/>
  <c r="J462" i="1"/>
  <c r="BX462" i="1"/>
  <c r="BY462" i="1"/>
  <c r="BZ462" i="1"/>
  <c r="CA462" i="1"/>
  <c r="CB462" i="1"/>
  <c r="CC462" i="1"/>
  <c r="CD462" i="1"/>
  <c r="CE462" i="1"/>
  <c r="CF462" i="1"/>
  <c r="CG462" i="1"/>
  <c r="CH462" i="1"/>
  <c r="J463" i="1"/>
  <c r="BX463" i="1"/>
  <c r="BY463" i="1"/>
  <c r="BZ463" i="1"/>
  <c r="CA463" i="1"/>
  <c r="CB463" i="1"/>
  <c r="CC463" i="1"/>
  <c r="CD463" i="1"/>
  <c r="CE463" i="1"/>
  <c r="CF463" i="1"/>
  <c r="CG463" i="1"/>
  <c r="CH463" i="1"/>
  <c r="J464" i="1"/>
  <c r="BX464" i="1"/>
  <c r="BY464" i="1"/>
  <c r="BZ464" i="1"/>
  <c r="CA464" i="1"/>
  <c r="CB464" i="1"/>
  <c r="CC464" i="1"/>
  <c r="CD464" i="1"/>
  <c r="CE464" i="1"/>
  <c r="CF464" i="1"/>
  <c r="CG464" i="1"/>
  <c r="CH464" i="1"/>
  <c r="J465" i="1"/>
  <c r="BX465" i="1"/>
  <c r="BY465" i="1"/>
  <c r="BZ465" i="1"/>
  <c r="CA465" i="1"/>
  <c r="CB465" i="1"/>
  <c r="CC465" i="1"/>
  <c r="CD465" i="1"/>
  <c r="CE465" i="1"/>
  <c r="CF465" i="1"/>
  <c r="CG465" i="1"/>
  <c r="CH465" i="1"/>
  <c r="J466" i="1"/>
  <c r="BX466" i="1"/>
  <c r="BY466" i="1"/>
  <c r="BZ466" i="1"/>
  <c r="CA466" i="1"/>
  <c r="CB466" i="1"/>
  <c r="CC466" i="1"/>
  <c r="CD466" i="1"/>
  <c r="CE466" i="1"/>
  <c r="CF466" i="1"/>
  <c r="CG466" i="1"/>
  <c r="CH466" i="1"/>
  <c r="J467" i="1"/>
  <c r="BX467" i="1"/>
  <c r="BY467" i="1"/>
  <c r="BZ467" i="1"/>
  <c r="CA467" i="1"/>
  <c r="CB467" i="1"/>
  <c r="CC467" i="1"/>
  <c r="CD467" i="1"/>
  <c r="CE467" i="1"/>
  <c r="CF467" i="1"/>
  <c r="CG467" i="1"/>
  <c r="CH467" i="1"/>
  <c r="J468" i="1"/>
  <c r="BX468" i="1"/>
  <c r="BY468" i="1"/>
  <c r="BZ468" i="1"/>
  <c r="CA468" i="1"/>
  <c r="CB468" i="1"/>
  <c r="CC468" i="1"/>
  <c r="CD468" i="1"/>
  <c r="CE468" i="1"/>
  <c r="CF468" i="1"/>
  <c r="CG468" i="1"/>
  <c r="CH468" i="1"/>
  <c r="J469" i="1"/>
  <c r="BX469" i="1"/>
  <c r="BY469" i="1"/>
  <c r="BZ469" i="1"/>
  <c r="CA469" i="1"/>
  <c r="CB469" i="1"/>
  <c r="CC469" i="1"/>
  <c r="CD469" i="1"/>
  <c r="CE469" i="1"/>
  <c r="CF469" i="1"/>
  <c r="CG469" i="1"/>
  <c r="CH469" i="1"/>
  <c r="J470" i="1"/>
  <c r="BX470" i="1"/>
  <c r="BY470" i="1"/>
  <c r="BZ470" i="1"/>
  <c r="CA470" i="1"/>
  <c r="CB470" i="1"/>
  <c r="CC470" i="1"/>
  <c r="CD470" i="1"/>
  <c r="CE470" i="1"/>
  <c r="CF470" i="1"/>
  <c r="CG470" i="1"/>
  <c r="CH470" i="1"/>
  <c r="J471" i="1"/>
  <c r="BX471" i="1"/>
  <c r="BY471" i="1"/>
  <c r="BZ471" i="1"/>
  <c r="CA471" i="1"/>
  <c r="CB471" i="1"/>
  <c r="CC471" i="1"/>
  <c r="CD471" i="1"/>
  <c r="CE471" i="1"/>
  <c r="CF471" i="1"/>
  <c r="CG471" i="1"/>
  <c r="CH471" i="1"/>
  <c r="J472" i="1"/>
  <c r="BX472" i="1"/>
  <c r="BY472" i="1"/>
  <c r="BZ472" i="1"/>
  <c r="CA472" i="1"/>
  <c r="CB472" i="1"/>
  <c r="CC472" i="1"/>
  <c r="CD472" i="1"/>
  <c r="CE472" i="1"/>
  <c r="CF472" i="1"/>
  <c r="CG472" i="1"/>
  <c r="CH472" i="1"/>
  <c r="J473" i="1"/>
  <c r="BX473" i="1"/>
  <c r="BY473" i="1"/>
  <c r="BZ473" i="1"/>
  <c r="CA473" i="1"/>
  <c r="CB473" i="1"/>
  <c r="CC473" i="1"/>
  <c r="CD473" i="1"/>
  <c r="CE473" i="1"/>
  <c r="CF473" i="1"/>
  <c r="CG473" i="1"/>
  <c r="CH473" i="1"/>
  <c r="J474" i="1"/>
  <c r="BX474" i="1"/>
  <c r="BY474" i="1"/>
  <c r="BZ474" i="1"/>
  <c r="CA474" i="1"/>
  <c r="CB474" i="1"/>
  <c r="CC474" i="1"/>
  <c r="CD474" i="1"/>
  <c r="CE474" i="1"/>
  <c r="CF474" i="1"/>
  <c r="CG474" i="1"/>
  <c r="CH474" i="1"/>
  <c r="J475" i="1"/>
  <c r="BX475" i="1"/>
  <c r="BY475" i="1"/>
  <c r="BZ475" i="1"/>
  <c r="CA475" i="1"/>
  <c r="CB475" i="1"/>
  <c r="CC475" i="1"/>
  <c r="CD475" i="1"/>
  <c r="CE475" i="1"/>
  <c r="CF475" i="1"/>
  <c r="CG475" i="1"/>
  <c r="CH475" i="1"/>
  <c r="J476" i="1"/>
  <c r="BX476" i="1"/>
  <c r="BY476" i="1"/>
  <c r="BZ476" i="1"/>
  <c r="CA476" i="1"/>
  <c r="CB476" i="1"/>
  <c r="CC476" i="1"/>
  <c r="CD476" i="1"/>
  <c r="CE476" i="1"/>
  <c r="CF476" i="1"/>
  <c r="CG476" i="1"/>
  <c r="CH476" i="1"/>
  <c r="J477" i="1"/>
  <c r="BX477" i="1"/>
  <c r="BY477" i="1"/>
  <c r="BZ477" i="1"/>
  <c r="CA477" i="1"/>
  <c r="CB477" i="1"/>
  <c r="CC477" i="1"/>
  <c r="CD477" i="1"/>
  <c r="CE477" i="1"/>
  <c r="CF477" i="1"/>
  <c r="CG477" i="1"/>
  <c r="CH477" i="1"/>
  <c r="J478" i="1"/>
  <c r="BX478" i="1"/>
  <c r="BY478" i="1"/>
  <c r="BZ478" i="1"/>
  <c r="CA478" i="1"/>
  <c r="CB478" i="1"/>
  <c r="CC478" i="1"/>
  <c r="CD478" i="1"/>
  <c r="CE478" i="1"/>
  <c r="CF478" i="1"/>
  <c r="CG478" i="1"/>
  <c r="CH478" i="1"/>
  <c r="J479" i="1"/>
  <c r="BX479" i="1"/>
  <c r="BY479" i="1"/>
  <c r="BZ479" i="1"/>
  <c r="CA479" i="1"/>
  <c r="CB479" i="1"/>
  <c r="CC479" i="1"/>
  <c r="CD479" i="1"/>
  <c r="CE479" i="1"/>
  <c r="CF479" i="1"/>
  <c r="CG479" i="1"/>
  <c r="CH479" i="1"/>
  <c r="J480" i="1"/>
  <c r="BX480" i="1"/>
  <c r="BY480" i="1"/>
  <c r="BZ480" i="1"/>
  <c r="CA480" i="1"/>
  <c r="CB480" i="1"/>
  <c r="CC480" i="1"/>
  <c r="CD480" i="1"/>
  <c r="CE480" i="1"/>
  <c r="CF480" i="1"/>
  <c r="CG480" i="1"/>
  <c r="CH480" i="1"/>
  <c r="J481" i="1"/>
  <c r="BX481" i="1"/>
  <c r="BY481" i="1"/>
  <c r="BZ481" i="1"/>
  <c r="CA481" i="1"/>
  <c r="CB481" i="1"/>
  <c r="CC481" i="1"/>
  <c r="CD481" i="1"/>
  <c r="CE481" i="1"/>
  <c r="CF481" i="1"/>
  <c r="CG481" i="1"/>
  <c r="CH481" i="1"/>
  <c r="J482" i="1"/>
  <c r="BX482" i="1"/>
  <c r="BY482" i="1"/>
  <c r="BZ482" i="1"/>
  <c r="CA482" i="1"/>
  <c r="CB482" i="1"/>
  <c r="CC482" i="1"/>
  <c r="CD482" i="1"/>
  <c r="CE482" i="1"/>
  <c r="CF482" i="1"/>
  <c r="CG482" i="1"/>
  <c r="CH482" i="1"/>
  <c r="J483" i="1"/>
  <c r="BX483" i="1"/>
  <c r="BY483" i="1"/>
  <c r="BZ483" i="1"/>
  <c r="CA483" i="1"/>
  <c r="CB483" i="1"/>
  <c r="CC483" i="1"/>
  <c r="CD483" i="1"/>
  <c r="CE483" i="1"/>
  <c r="CF483" i="1"/>
  <c r="CG483" i="1"/>
  <c r="CH483" i="1"/>
  <c r="J484" i="1"/>
  <c r="BX484" i="1"/>
  <c r="BY484" i="1"/>
  <c r="BZ484" i="1"/>
  <c r="CA484" i="1"/>
  <c r="CB484" i="1"/>
  <c r="CC484" i="1"/>
  <c r="CD484" i="1"/>
  <c r="CE484" i="1"/>
  <c r="CF484" i="1"/>
  <c r="CG484" i="1"/>
  <c r="CH484" i="1"/>
  <c r="J485" i="1"/>
  <c r="BX485" i="1"/>
  <c r="BY485" i="1"/>
  <c r="BZ485" i="1"/>
  <c r="CA485" i="1"/>
  <c r="CB485" i="1"/>
  <c r="CC485" i="1"/>
  <c r="CD485" i="1"/>
  <c r="CE485" i="1"/>
  <c r="CF485" i="1"/>
  <c r="CG485" i="1"/>
  <c r="CH485" i="1"/>
  <c r="J486" i="1"/>
  <c r="BX486" i="1"/>
  <c r="BY486" i="1"/>
  <c r="BZ486" i="1"/>
  <c r="CA486" i="1"/>
  <c r="CB486" i="1"/>
  <c r="CC486" i="1"/>
  <c r="CD486" i="1"/>
  <c r="CE486" i="1"/>
  <c r="CF486" i="1"/>
  <c r="CG486" i="1"/>
  <c r="CH486" i="1"/>
  <c r="J487" i="1"/>
  <c r="BX487" i="1"/>
  <c r="BY487" i="1"/>
  <c r="BZ487" i="1"/>
  <c r="CA487" i="1"/>
  <c r="CB487" i="1"/>
  <c r="CC487" i="1"/>
  <c r="CD487" i="1"/>
  <c r="CE487" i="1"/>
  <c r="CF487" i="1"/>
  <c r="CG487" i="1"/>
  <c r="CH487" i="1"/>
  <c r="J488" i="1"/>
  <c r="BX488" i="1"/>
  <c r="BY488" i="1"/>
  <c r="BZ488" i="1"/>
  <c r="CA488" i="1"/>
  <c r="CB488" i="1"/>
  <c r="CC488" i="1"/>
  <c r="CD488" i="1"/>
  <c r="CE488" i="1"/>
  <c r="CF488" i="1"/>
  <c r="CG488" i="1"/>
  <c r="CH488" i="1"/>
  <c r="J489" i="1"/>
  <c r="BX489" i="1"/>
  <c r="BY489" i="1"/>
  <c r="BZ489" i="1"/>
  <c r="CA489" i="1"/>
  <c r="CB489" i="1"/>
  <c r="CC489" i="1"/>
  <c r="CD489" i="1"/>
  <c r="CE489" i="1"/>
  <c r="CF489" i="1"/>
  <c r="CG489" i="1"/>
  <c r="CH489" i="1"/>
  <c r="J490" i="1"/>
  <c r="BX490" i="1"/>
  <c r="BY490" i="1"/>
  <c r="BZ490" i="1"/>
  <c r="CA490" i="1"/>
  <c r="CB490" i="1"/>
  <c r="CC490" i="1"/>
  <c r="CD490" i="1"/>
  <c r="CE490" i="1"/>
  <c r="CF490" i="1"/>
  <c r="CG490" i="1"/>
  <c r="CH490" i="1"/>
  <c r="J491" i="1"/>
  <c r="BX491" i="1"/>
  <c r="BY491" i="1"/>
  <c r="BZ491" i="1"/>
  <c r="CA491" i="1"/>
  <c r="CB491" i="1"/>
  <c r="CC491" i="1"/>
  <c r="CD491" i="1"/>
  <c r="CE491" i="1"/>
  <c r="CF491" i="1"/>
  <c r="CG491" i="1"/>
  <c r="CH491" i="1"/>
  <c r="J492" i="1"/>
  <c r="BX492" i="1"/>
  <c r="BY492" i="1"/>
  <c r="BZ492" i="1"/>
  <c r="CA492" i="1"/>
  <c r="CB492" i="1"/>
  <c r="CC492" i="1"/>
  <c r="CD492" i="1"/>
  <c r="CE492" i="1"/>
  <c r="CF492" i="1"/>
  <c r="CG492" i="1"/>
  <c r="CH492" i="1"/>
  <c r="J493" i="1"/>
  <c r="BX493" i="1"/>
  <c r="BY493" i="1"/>
  <c r="BZ493" i="1"/>
  <c r="CA493" i="1"/>
  <c r="CB493" i="1"/>
  <c r="CC493" i="1"/>
  <c r="CD493" i="1"/>
  <c r="CE493" i="1"/>
  <c r="CF493" i="1"/>
  <c r="CG493" i="1"/>
  <c r="CH493" i="1"/>
  <c r="J494" i="1"/>
  <c r="BX494" i="1"/>
  <c r="BY494" i="1"/>
  <c r="BZ494" i="1"/>
  <c r="CA494" i="1"/>
  <c r="CB494" i="1"/>
  <c r="CC494" i="1"/>
  <c r="CD494" i="1"/>
  <c r="CE494" i="1"/>
  <c r="CF494" i="1"/>
  <c r="CG494" i="1"/>
  <c r="CH494" i="1"/>
  <c r="J495" i="1"/>
  <c r="BX495" i="1"/>
  <c r="BY495" i="1"/>
  <c r="BZ495" i="1"/>
  <c r="CA495" i="1"/>
  <c r="CB495" i="1"/>
  <c r="CC495" i="1"/>
  <c r="CD495" i="1"/>
  <c r="CE495" i="1"/>
  <c r="CF495" i="1"/>
  <c r="CG495" i="1"/>
  <c r="CH495" i="1"/>
  <c r="J496" i="1"/>
  <c r="BX496" i="1"/>
  <c r="BY496" i="1"/>
  <c r="BZ496" i="1"/>
  <c r="CA496" i="1"/>
  <c r="CB496" i="1"/>
  <c r="CC496" i="1"/>
  <c r="CD496" i="1"/>
  <c r="CE496" i="1"/>
  <c r="CF496" i="1"/>
  <c r="CG496" i="1"/>
  <c r="CH496" i="1"/>
  <c r="J497" i="1"/>
  <c r="BX497" i="1"/>
  <c r="BY497" i="1"/>
  <c r="BZ497" i="1"/>
  <c r="CA497" i="1"/>
  <c r="CB497" i="1"/>
  <c r="CC497" i="1"/>
  <c r="CD497" i="1"/>
  <c r="CE497" i="1"/>
  <c r="CF497" i="1"/>
  <c r="CG497" i="1"/>
  <c r="CH497" i="1"/>
  <c r="J498" i="1"/>
  <c r="BX498" i="1"/>
  <c r="BY498" i="1"/>
  <c r="BZ498" i="1"/>
  <c r="CA498" i="1"/>
  <c r="CB498" i="1"/>
  <c r="CC498" i="1"/>
  <c r="CD498" i="1"/>
  <c r="CE498" i="1"/>
  <c r="CF498" i="1"/>
  <c r="CG498" i="1"/>
  <c r="CH498" i="1"/>
  <c r="J499" i="1"/>
  <c r="BX499" i="1"/>
  <c r="BY499" i="1"/>
  <c r="BZ499" i="1"/>
  <c r="CA499" i="1"/>
  <c r="CB499" i="1"/>
  <c r="CC499" i="1"/>
  <c r="CD499" i="1"/>
  <c r="CE499" i="1"/>
  <c r="CF499" i="1"/>
  <c r="CG499" i="1"/>
  <c r="CH499" i="1"/>
  <c r="J500" i="1"/>
  <c r="BX500" i="1"/>
  <c r="BY500" i="1"/>
  <c r="BZ500" i="1"/>
  <c r="CA500" i="1"/>
  <c r="CB500" i="1"/>
  <c r="CC500" i="1"/>
  <c r="CD500" i="1"/>
  <c r="CE500" i="1"/>
  <c r="CF500" i="1"/>
  <c r="CG500" i="1"/>
  <c r="CH500" i="1"/>
  <c r="J501" i="1"/>
  <c r="BX501" i="1"/>
  <c r="BY501" i="1"/>
  <c r="BZ501" i="1"/>
  <c r="CA501" i="1"/>
  <c r="CB501" i="1"/>
  <c r="CC501" i="1"/>
  <c r="CD501" i="1"/>
  <c r="CE501" i="1"/>
  <c r="CF501" i="1"/>
  <c r="CG501" i="1"/>
  <c r="CH501" i="1"/>
  <c r="J502" i="1"/>
  <c r="BX502" i="1"/>
  <c r="BY502" i="1"/>
  <c r="BZ502" i="1"/>
  <c r="CA502" i="1"/>
  <c r="CB502" i="1"/>
  <c r="CC502" i="1"/>
  <c r="CD502" i="1"/>
  <c r="CE502" i="1"/>
  <c r="CF502" i="1"/>
  <c r="CG502" i="1"/>
  <c r="CH502" i="1"/>
  <c r="J503" i="1"/>
  <c r="BX503" i="1"/>
  <c r="BY503" i="1"/>
  <c r="BZ503" i="1"/>
  <c r="CA503" i="1"/>
  <c r="CB503" i="1"/>
  <c r="CC503" i="1"/>
  <c r="CD503" i="1"/>
  <c r="CE503" i="1"/>
  <c r="CF503" i="1"/>
  <c r="CG503" i="1"/>
  <c r="CH503" i="1"/>
  <c r="J504" i="1"/>
  <c r="BX504" i="1"/>
  <c r="BY504" i="1"/>
  <c r="BZ504" i="1"/>
  <c r="CA504" i="1"/>
  <c r="CB504" i="1"/>
  <c r="CC504" i="1"/>
  <c r="CD504" i="1"/>
  <c r="CE504" i="1"/>
  <c r="CF504" i="1"/>
  <c r="CG504" i="1"/>
  <c r="CH504" i="1"/>
  <c r="J505" i="1"/>
  <c r="BX505" i="1"/>
  <c r="BY505" i="1"/>
  <c r="BZ505" i="1"/>
  <c r="CA505" i="1"/>
  <c r="CB505" i="1"/>
  <c r="CC505" i="1"/>
  <c r="CD505" i="1"/>
  <c r="CE505" i="1"/>
  <c r="CF505" i="1"/>
  <c r="CG505" i="1"/>
  <c r="CH505" i="1"/>
  <c r="J506" i="1"/>
  <c r="BX506" i="1"/>
  <c r="BY506" i="1"/>
  <c r="BZ506" i="1"/>
  <c r="CA506" i="1"/>
  <c r="CB506" i="1"/>
  <c r="CC506" i="1"/>
  <c r="CD506" i="1"/>
  <c r="CE506" i="1"/>
  <c r="CF506" i="1"/>
  <c r="CG506" i="1"/>
  <c r="CH506" i="1"/>
  <c r="J507" i="1"/>
  <c r="BX507" i="1"/>
  <c r="BY507" i="1"/>
  <c r="BZ507" i="1"/>
  <c r="CA507" i="1"/>
  <c r="CB507" i="1"/>
  <c r="CC507" i="1"/>
  <c r="CD507" i="1"/>
  <c r="CE507" i="1"/>
  <c r="CF507" i="1"/>
  <c r="CG507" i="1"/>
  <c r="CH507" i="1"/>
  <c r="J508" i="1"/>
  <c r="BX508" i="1"/>
  <c r="BY508" i="1"/>
  <c r="BZ508" i="1"/>
  <c r="CA508" i="1"/>
  <c r="CB508" i="1"/>
  <c r="CC508" i="1"/>
  <c r="CD508" i="1"/>
  <c r="CE508" i="1"/>
  <c r="CF508" i="1"/>
  <c r="CG508" i="1"/>
  <c r="CH508" i="1"/>
  <c r="J509" i="1"/>
  <c r="BX509" i="1"/>
  <c r="BY509" i="1"/>
  <c r="BZ509" i="1"/>
  <c r="CA509" i="1"/>
  <c r="CB509" i="1"/>
  <c r="CC509" i="1"/>
  <c r="CD509" i="1"/>
  <c r="CE509" i="1"/>
  <c r="CF509" i="1"/>
  <c r="CG509" i="1"/>
  <c r="CH509" i="1"/>
  <c r="J510" i="1"/>
  <c r="BX510" i="1"/>
  <c r="BY510" i="1"/>
  <c r="BZ510" i="1"/>
  <c r="CA510" i="1"/>
  <c r="CB510" i="1"/>
  <c r="CC510" i="1"/>
  <c r="CD510" i="1"/>
  <c r="CE510" i="1"/>
  <c r="CF510" i="1"/>
  <c r="CG510" i="1"/>
  <c r="CH510" i="1"/>
  <c r="J511" i="1"/>
  <c r="BX511" i="1"/>
  <c r="BY511" i="1"/>
  <c r="BZ511" i="1"/>
  <c r="CA511" i="1"/>
  <c r="CB511" i="1"/>
  <c r="CC511" i="1"/>
  <c r="CD511" i="1"/>
  <c r="CE511" i="1"/>
  <c r="CF511" i="1"/>
  <c r="CG511" i="1"/>
  <c r="CH511" i="1"/>
  <c r="J512" i="1"/>
  <c r="BX512" i="1"/>
  <c r="BY512" i="1"/>
  <c r="BZ512" i="1"/>
  <c r="CA512" i="1"/>
  <c r="CB512" i="1"/>
  <c r="CC512" i="1"/>
  <c r="CD512" i="1"/>
  <c r="CE512" i="1"/>
  <c r="CF512" i="1"/>
  <c r="CG512" i="1"/>
  <c r="CH512" i="1"/>
  <c r="J513" i="1"/>
  <c r="BX513" i="1"/>
  <c r="BY513" i="1"/>
  <c r="BZ513" i="1"/>
  <c r="CA513" i="1"/>
  <c r="CB513" i="1"/>
  <c r="CC513" i="1"/>
  <c r="CD513" i="1"/>
  <c r="CE513" i="1"/>
  <c r="CF513" i="1"/>
  <c r="CG513" i="1"/>
  <c r="CH513" i="1"/>
  <c r="J514" i="1"/>
  <c r="BX514" i="1"/>
  <c r="BY514" i="1"/>
  <c r="BZ514" i="1"/>
  <c r="CA514" i="1"/>
  <c r="CB514" i="1"/>
  <c r="CC514" i="1"/>
  <c r="CD514" i="1"/>
  <c r="CE514" i="1"/>
  <c r="CF514" i="1"/>
  <c r="CG514" i="1"/>
  <c r="CH514" i="1"/>
  <c r="J515" i="1"/>
  <c r="BX515" i="1"/>
  <c r="BY515" i="1"/>
  <c r="BZ515" i="1"/>
  <c r="CA515" i="1"/>
  <c r="CB515" i="1"/>
  <c r="CC515" i="1"/>
  <c r="CD515" i="1"/>
  <c r="CE515" i="1"/>
  <c r="CF515" i="1"/>
  <c r="CG515" i="1"/>
  <c r="CH515" i="1"/>
  <c r="J516" i="1"/>
  <c r="BX516" i="1"/>
  <c r="BY516" i="1"/>
  <c r="BZ516" i="1"/>
  <c r="CA516" i="1"/>
  <c r="CB516" i="1"/>
  <c r="CC516" i="1"/>
  <c r="CD516" i="1"/>
  <c r="CE516" i="1"/>
  <c r="CF516" i="1"/>
  <c r="CG516" i="1"/>
  <c r="CH516" i="1"/>
  <c r="J517" i="1"/>
  <c r="BX517" i="1"/>
  <c r="BY517" i="1"/>
  <c r="BZ517" i="1"/>
  <c r="CA517" i="1"/>
  <c r="CB517" i="1"/>
  <c r="CC517" i="1"/>
  <c r="CD517" i="1"/>
  <c r="CE517" i="1"/>
  <c r="CF517" i="1"/>
  <c r="CG517" i="1"/>
  <c r="CH517" i="1"/>
  <c r="J518" i="1"/>
  <c r="BX518" i="1"/>
  <c r="BY518" i="1"/>
  <c r="BZ518" i="1"/>
  <c r="CA518" i="1"/>
  <c r="CB518" i="1"/>
  <c r="CC518" i="1"/>
  <c r="CD518" i="1"/>
  <c r="CE518" i="1"/>
  <c r="CF518" i="1"/>
  <c r="CG518" i="1"/>
  <c r="CH518" i="1"/>
  <c r="J519" i="1"/>
  <c r="BX519" i="1"/>
  <c r="BY519" i="1"/>
  <c r="BZ519" i="1"/>
  <c r="CA519" i="1"/>
  <c r="CB519" i="1"/>
  <c r="CC519" i="1"/>
  <c r="CD519" i="1"/>
  <c r="CE519" i="1"/>
  <c r="CF519" i="1"/>
  <c r="CG519" i="1"/>
  <c r="CH519" i="1"/>
  <c r="J520" i="1"/>
  <c r="BX520" i="1"/>
  <c r="BY520" i="1"/>
  <c r="BZ520" i="1"/>
  <c r="CA520" i="1"/>
  <c r="CB520" i="1"/>
  <c r="CC520" i="1"/>
  <c r="CD520" i="1"/>
  <c r="CE520" i="1"/>
  <c r="CF520" i="1"/>
  <c r="CG520" i="1"/>
  <c r="CH520" i="1"/>
  <c r="J521" i="1"/>
  <c r="BX521" i="1"/>
  <c r="BY521" i="1"/>
  <c r="BZ521" i="1"/>
  <c r="CA521" i="1"/>
  <c r="CB521" i="1"/>
  <c r="CC521" i="1"/>
  <c r="CD521" i="1"/>
  <c r="CE521" i="1"/>
  <c r="CF521" i="1"/>
  <c r="CG521" i="1"/>
  <c r="CH521" i="1"/>
  <c r="J522" i="1"/>
  <c r="BX522" i="1"/>
  <c r="BY522" i="1"/>
  <c r="BZ522" i="1"/>
  <c r="CA522" i="1"/>
  <c r="CB522" i="1"/>
  <c r="CC522" i="1"/>
  <c r="CD522" i="1"/>
  <c r="CE522" i="1"/>
  <c r="CF522" i="1"/>
  <c r="CG522" i="1"/>
  <c r="CH522" i="1"/>
  <c r="J523" i="1"/>
  <c r="BX523" i="1"/>
  <c r="BY523" i="1"/>
  <c r="BZ523" i="1"/>
  <c r="CA523" i="1"/>
  <c r="CB523" i="1"/>
  <c r="CC523" i="1"/>
  <c r="CD523" i="1"/>
  <c r="CE523" i="1"/>
  <c r="CF523" i="1"/>
  <c r="CG523" i="1"/>
  <c r="CH523" i="1"/>
  <c r="J524" i="1"/>
  <c r="BX524" i="1"/>
  <c r="BY524" i="1"/>
  <c r="BZ524" i="1"/>
  <c r="CA524" i="1"/>
  <c r="CB524" i="1"/>
  <c r="CC524" i="1"/>
  <c r="CD524" i="1"/>
  <c r="CE524" i="1"/>
  <c r="CF524" i="1"/>
  <c r="CG524" i="1"/>
  <c r="CH524" i="1"/>
  <c r="J525" i="1"/>
  <c r="BX525" i="1"/>
  <c r="BY525" i="1"/>
  <c r="BZ525" i="1"/>
  <c r="CA525" i="1"/>
  <c r="CB525" i="1"/>
  <c r="CC525" i="1"/>
  <c r="CD525" i="1"/>
  <c r="CE525" i="1"/>
  <c r="CF525" i="1"/>
  <c r="CG525" i="1"/>
  <c r="CH525" i="1"/>
  <c r="J526" i="1"/>
  <c r="BX526" i="1"/>
  <c r="BY526" i="1"/>
  <c r="BZ526" i="1"/>
  <c r="CA526" i="1"/>
  <c r="CB526" i="1"/>
  <c r="CC526" i="1"/>
  <c r="CD526" i="1"/>
  <c r="CE526" i="1"/>
  <c r="CF526" i="1"/>
  <c r="CG526" i="1"/>
  <c r="CH526" i="1"/>
  <c r="J527" i="1"/>
  <c r="BX527" i="1"/>
  <c r="BY527" i="1"/>
  <c r="BZ527" i="1"/>
  <c r="CA527" i="1"/>
  <c r="CB527" i="1"/>
  <c r="CC527" i="1"/>
  <c r="CD527" i="1"/>
  <c r="CE527" i="1"/>
  <c r="CF527" i="1"/>
  <c r="CG527" i="1"/>
  <c r="CH527" i="1"/>
  <c r="J528" i="1"/>
  <c r="BX528" i="1"/>
  <c r="BY528" i="1"/>
  <c r="BZ528" i="1"/>
  <c r="CA528" i="1"/>
  <c r="CB528" i="1"/>
  <c r="CC528" i="1"/>
  <c r="CD528" i="1"/>
  <c r="CE528" i="1"/>
  <c r="CF528" i="1"/>
  <c r="CG528" i="1"/>
  <c r="CH528" i="1"/>
  <c r="J529" i="1"/>
  <c r="BX529" i="1"/>
  <c r="BY529" i="1"/>
  <c r="BZ529" i="1"/>
  <c r="CA529" i="1"/>
  <c r="CB529" i="1"/>
  <c r="CC529" i="1"/>
  <c r="CD529" i="1"/>
  <c r="CE529" i="1"/>
  <c r="CF529" i="1"/>
  <c r="CG529" i="1"/>
  <c r="CH529" i="1"/>
  <c r="J530" i="1"/>
  <c r="BX530" i="1"/>
  <c r="BY530" i="1"/>
  <c r="BZ530" i="1"/>
  <c r="CA530" i="1"/>
  <c r="CB530" i="1"/>
  <c r="CC530" i="1"/>
  <c r="CD530" i="1"/>
  <c r="CE530" i="1"/>
  <c r="CF530" i="1"/>
  <c r="CG530" i="1"/>
  <c r="CH530" i="1"/>
  <c r="J531" i="1"/>
  <c r="BX531" i="1"/>
  <c r="BY531" i="1"/>
  <c r="BZ531" i="1"/>
  <c r="CA531" i="1"/>
  <c r="CB531" i="1"/>
  <c r="CC531" i="1"/>
  <c r="CD531" i="1"/>
  <c r="CE531" i="1"/>
  <c r="CF531" i="1"/>
  <c r="CG531" i="1"/>
  <c r="CH531" i="1"/>
  <c r="J532" i="1"/>
  <c r="BX532" i="1"/>
  <c r="BY532" i="1"/>
  <c r="BZ532" i="1"/>
  <c r="CA532" i="1"/>
  <c r="CB532" i="1"/>
  <c r="CC532" i="1"/>
  <c r="CD532" i="1"/>
  <c r="CE532" i="1"/>
  <c r="CF532" i="1"/>
  <c r="CG532" i="1"/>
  <c r="CH532" i="1"/>
  <c r="BX533" i="1"/>
  <c r="BY533" i="1"/>
  <c r="BZ533" i="1"/>
  <c r="CA533" i="1"/>
  <c r="CB533" i="1"/>
  <c r="CC533" i="1"/>
  <c r="CD533" i="1"/>
  <c r="CE533" i="1"/>
  <c r="CF533" i="1"/>
  <c r="CG533" i="1"/>
  <c r="CH533" i="1"/>
  <c r="J534" i="1"/>
  <c r="BX534" i="1"/>
  <c r="BY534" i="1"/>
  <c r="BZ534" i="1"/>
  <c r="CA534" i="1"/>
  <c r="CB534" i="1"/>
  <c r="CC534" i="1"/>
  <c r="CD534" i="1"/>
  <c r="CE534" i="1"/>
  <c r="CF534" i="1"/>
  <c r="CG534" i="1"/>
  <c r="CH534" i="1"/>
  <c r="J535" i="1"/>
  <c r="BX535" i="1"/>
  <c r="BY535" i="1"/>
  <c r="BZ535" i="1"/>
  <c r="CA535" i="1"/>
  <c r="CB535" i="1"/>
  <c r="CC535" i="1"/>
  <c r="CD535" i="1"/>
  <c r="CE535" i="1"/>
  <c r="CF535" i="1"/>
  <c r="CG535" i="1"/>
  <c r="CH535" i="1"/>
  <c r="J536" i="1"/>
  <c r="BX536" i="1"/>
  <c r="BY536" i="1"/>
  <c r="BZ536" i="1"/>
  <c r="CA536" i="1"/>
  <c r="CB536" i="1"/>
  <c r="CC536" i="1"/>
  <c r="CD536" i="1"/>
  <c r="CE536" i="1"/>
  <c r="CF536" i="1"/>
  <c r="CG536" i="1"/>
  <c r="CH536" i="1"/>
  <c r="J537" i="1"/>
  <c r="BX537" i="1"/>
  <c r="BY537" i="1"/>
  <c r="BZ537" i="1"/>
  <c r="CA537" i="1"/>
  <c r="CB537" i="1"/>
  <c r="CC537" i="1"/>
  <c r="CD537" i="1"/>
  <c r="CE537" i="1"/>
  <c r="CF537" i="1"/>
  <c r="CG537" i="1"/>
  <c r="CH537" i="1"/>
  <c r="J538" i="1"/>
  <c r="BX538" i="1"/>
  <c r="BY538" i="1"/>
  <c r="BZ538" i="1"/>
  <c r="CA538" i="1"/>
  <c r="CB538" i="1"/>
  <c r="CC538" i="1"/>
  <c r="CD538" i="1"/>
  <c r="CE538" i="1"/>
  <c r="CF538" i="1"/>
  <c r="CG538" i="1"/>
  <c r="CH538" i="1"/>
  <c r="J539" i="1"/>
  <c r="BX539" i="1"/>
  <c r="BY539" i="1"/>
  <c r="BZ539" i="1"/>
  <c r="CA539" i="1"/>
  <c r="CB539" i="1"/>
  <c r="CC539" i="1"/>
  <c r="CD539" i="1"/>
  <c r="CE539" i="1"/>
  <c r="CF539" i="1"/>
  <c r="CG539" i="1"/>
  <c r="CH539" i="1"/>
  <c r="J540" i="1"/>
  <c r="BX540" i="1"/>
  <c r="BY540" i="1"/>
  <c r="BZ540" i="1"/>
  <c r="CA540" i="1"/>
  <c r="CB540" i="1"/>
  <c r="CC540" i="1"/>
  <c r="CD540" i="1"/>
  <c r="CE540" i="1"/>
  <c r="CF540" i="1"/>
  <c r="CG540" i="1"/>
  <c r="CH540" i="1"/>
  <c r="J541" i="1"/>
  <c r="BX541" i="1"/>
  <c r="BY541" i="1"/>
  <c r="BZ541" i="1"/>
  <c r="CA541" i="1"/>
  <c r="CB541" i="1"/>
  <c r="CC541" i="1"/>
  <c r="CD541" i="1"/>
  <c r="CE541" i="1"/>
  <c r="CF541" i="1"/>
  <c r="CG541" i="1"/>
  <c r="CH541" i="1"/>
  <c r="J542" i="1"/>
  <c r="BX542" i="1"/>
  <c r="BY542" i="1"/>
  <c r="BZ542" i="1"/>
  <c r="CA542" i="1"/>
  <c r="CB542" i="1"/>
  <c r="CC542" i="1"/>
  <c r="CD542" i="1"/>
  <c r="CE542" i="1"/>
  <c r="CF542" i="1"/>
  <c r="CG542" i="1"/>
  <c r="CH542" i="1"/>
  <c r="J543" i="1"/>
  <c r="BX543" i="1"/>
  <c r="BY543" i="1"/>
  <c r="BZ543" i="1"/>
  <c r="CA543" i="1"/>
  <c r="CB543" i="1"/>
  <c r="CC543" i="1"/>
  <c r="CD543" i="1"/>
  <c r="CE543" i="1"/>
  <c r="CF543" i="1"/>
  <c r="CG543" i="1"/>
  <c r="CH543" i="1"/>
  <c r="J544" i="1"/>
  <c r="BX544" i="1"/>
  <c r="BY544" i="1"/>
  <c r="BZ544" i="1"/>
  <c r="CA544" i="1"/>
  <c r="CB544" i="1"/>
  <c r="CC544" i="1"/>
  <c r="CD544" i="1"/>
  <c r="CE544" i="1"/>
  <c r="CF544" i="1"/>
  <c r="CG544" i="1"/>
  <c r="CH544" i="1"/>
  <c r="J545" i="1"/>
  <c r="BX545" i="1"/>
  <c r="BY545" i="1"/>
  <c r="BZ545" i="1"/>
  <c r="CA545" i="1"/>
  <c r="CB545" i="1"/>
  <c r="CC545" i="1"/>
  <c r="CD545" i="1"/>
  <c r="CE545" i="1"/>
  <c r="CF545" i="1"/>
  <c r="CG545" i="1"/>
  <c r="CH545" i="1"/>
  <c r="J546" i="1"/>
  <c r="BX546" i="1"/>
  <c r="BY546" i="1"/>
  <c r="BZ546" i="1"/>
  <c r="CA546" i="1"/>
  <c r="CB546" i="1"/>
  <c r="CC546" i="1"/>
  <c r="CD546" i="1"/>
  <c r="CE546" i="1"/>
  <c r="CF546" i="1"/>
  <c r="CG546" i="1"/>
  <c r="CH546" i="1"/>
  <c r="J547" i="1"/>
  <c r="BX547" i="1"/>
  <c r="BY547" i="1"/>
  <c r="BZ547" i="1"/>
  <c r="CA547" i="1"/>
  <c r="CB547" i="1"/>
  <c r="CC547" i="1"/>
  <c r="CD547" i="1"/>
  <c r="CE547" i="1"/>
  <c r="CF547" i="1"/>
  <c r="CG547" i="1"/>
  <c r="CH547" i="1"/>
  <c r="J548" i="1"/>
  <c r="BX548" i="1"/>
  <c r="BY548" i="1"/>
  <c r="BZ548" i="1"/>
  <c r="CA548" i="1"/>
  <c r="CB548" i="1"/>
  <c r="CC548" i="1"/>
  <c r="CD548" i="1"/>
  <c r="CE548" i="1"/>
  <c r="CF548" i="1"/>
  <c r="CG548" i="1"/>
  <c r="CH548" i="1"/>
  <c r="J549" i="1"/>
  <c r="BX549" i="1"/>
  <c r="BY549" i="1"/>
  <c r="BZ549" i="1"/>
  <c r="CA549" i="1"/>
  <c r="CB549" i="1"/>
  <c r="CC549" i="1"/>
  <c r="CD549" i="1"/>
  <c r="CE549" i="1"/>
  <c r="CF549" i="1"/>
  <c r="CG549" i="1"/>
  <c r="CH549" i="1"/>
  <c r="J550" i="1"/>
  <c r="BX550" i="1"/>
  <c r="BY550" i="1"/>
  <c r="BZ550" i="1"/>
  <c r="CA550" i="1"/>
  <c r="CB550" i="1"/>
  <c r="CC550" i="1"/>
  <c r="CD550" i="1"/>
  <c r="CE550" i="1"/>
  <c r="CF550" i="1"/>
  <c r="CG550" i="1"/>
  <c r="CH550" i="1"/>
  <c r="J551" i="1"/>
  <c r="BX551" i="1"/>
  <c r="BY551" i="1"/>
  <c r="BZ551" i="1"/>
  <c r="CA551" i="1"/>
  <c r="CB551" i="1"/>
  <c r="CC551" i="1"/>
  <c r="CD551" i="1"/>
  <c r="CE551" i="1"/>
  <c r="CF551" i="1"/>
  <c r="CG551" i="1"/>
  <c r="CH551" i="1"/>
  <c r="J552" i="1"/>
  <c r="BX552" i="1"/>
  <c r="BY552" i="1"/>
  <c r="BZ552" i="1"/>
  <c r="CA552" i="1"/>
  <c r="CB552" i="1"/>
  <c r="CC552" i="1"/>
  <c r="CD552" i="1"/>
  <c r="CE552" i="1"/>
  <c r="CF552" i="1"/>
  <c r="CG552" i="1"/>
  <c r="CH552" i="1"/>
  <c r="J553" i="1"/>
  <c r="BX553" i="1"/>
  <c r="BY553" i="1"/>
  <c r="BZ553" i="1"/>
  <c r="CA553" i="1"/>
  <c r="CB553" i="1"/>
  <c r="CC553" i="1"/>
  <c r="CD553" i="1"/>
  <c r="CE553" i="1"/>
  <c r="CF553" i="1"/>
  <c r="CG553" i="1"/>
  <c r="CH553" i="1"/>
  <c r="J554" i="1"/>
  <c r="BX554" i="1"/>
  <c r="BY554" i="1"/>
  <c r="BZ554" i="1"/>
  <c r="CA554" i="1"/>
  <c r="CB554" i="1"/>
  <c r="CC554" i="1"/>
  <c r="CD554" i="1"/>
  <c r="CE554" i="1"/>
  <c r="CF554" i="1"/>
  <c r="CG554" i="1"/>
  <c r="CH554" i="1"/>
  <c r="J555" i="1"/>
  <c r="BX555" i="1"/>
  <c r="BY555" i="1"/>
  <c r="BZ555" i="1"/>
  <c r="CA555" i="1"/>
  <c r="CB555" i="1"/>
  <c r="CC555" i="1"/>
  <c r="CD555" i="1"/>
  <c r="CE555" i="1"/>
  <c r="CF555" i="1"/>
  <c r="CG555" i="1"/>
  <c r="CH555" i="1"/>
  <c r="J556" i="1"/>
  <c r="BX556" i="1"/>
  <c r="BY556" i="1"/>
  <c r="BZ556" i="1"/>
  <c r="CA556" i="1"/>
  <c r="CB556" i="1"/>
  <c r="CC556" i="1"/>
  <c r="CD556" i="1"/>
  <c r="CE556" i="1"/>
  <c r="CF556" i="1"/>
  <c r="CG556" i="1"/>
  <c r="CH556" i="1"/>
  <c r="J557" i="1"/>
  <c r="BX557" i="1"/>
  <c r="BY557" i="1"/>
  <c r="BZ557" i="1"/>
  <c r="CA557" i="1"/>
  <c r="CB557" i="1"/>
  <c r="CC557" i="1"/>
  <c r="CD557" i="1"/>
  <c r="CE557" i="1"/>
  <c r="CF557" i="1"/>
  <c r="CG557" i="1"/>
  <c r="CH557" i="1"/>
  <c r="J558" i="1"/>
  <c r="BX558" i="1"/>
  <c r="BY558" i="1"/>
  <c r="BZ558" i="1"/>
  <c r="CA558" i="1"/>
  <c r="CB558" i="1"/>
  <c r="CC558" i="1"/>
  <c r="CD558" i="1"/>
  <c r="CE558" i="1"/>
  <c r="CF558" i="1"/>
  <c r="CG558" i="1"/>
  <c r="CH558" i="1"/>
  <c r="J559" i="1"/>
  <c r="BX559" i="1"/>
  <c r="BY559" i="1"/>
  <c r="BZ559" i="1"/>
  <c r="CA559" i="1"/>
  <c r="CB559" i="1"/>
  <c r="CC559" i="1"/>
  <c r="CD559" i="1"/>
  <c r="CE559" i="1"/>
  <c r="CF559" i="1"/>
  <c r="CG559" i="1"/>
  <c r="CH559" i="1"/>
  <c r="J560" i="1"/>
  <c r="BX560" i="1"/>
  <c r="BY560" i="1"/>
  <c r="BZ560" i="1"/>
  <c r="CA560" i="1"/>
  <c r="CB560" i="1"/>
  <c r="CC560" i="1"/>
  <c r="CD560" i="1"/>
  <c r="CE560" i="1"/>
  <c r="CF560" i="1"/>
  <c r="CG560" i="1"/>
  <c r="CH560" i="1"/>
  <c r="J561" i="1"/>
  <c r="BX561" i="1"/>
  <c r="BY561" i="1"/>
  <c r="BZ561" i="1"/>
  <c r="CA561" i="1"/>
  <c r="CB561" i="1"/>
  <c r="CC561" i="1"/>
  <c r="CD561" i="1"/>
  <c r="CE561" i="1"/>
  <c r="CF561" i="1"/>
  <c r="CG561" i="1"/>
  <c r="CH561" i="1"/>
  <c r="J562" i="1"/>
  <c r="BX562" i="1"/>
  <c r="BY562" i="1"/>
  <c r="BZ562" i="1"/>
  <c r="CA562" i="1"/>
  <c r="CB562" i="1"/>
  <c r="CC562" i="1"/>
  <c r="CD562" i="1"/>
  <c r="CE562" i="1"/>
  <c r="CF562" i="1"/>
  <c r="CG562" i="1"/>
  <c r="CH562" i="1"/>
  <c r="J563" i="1"/>
  <c r="BX563" i="1"/>
  <c r="BY563" i="1"/>
  <c r="BZ563" i="1"/>
  <c r="CA563" i="1"/>
  <c r="CB563" i="1"/>
  <c r="CC563" i="1"/>
  <c r="CD563" i="1"/>
  <c r="CE563" i="1"/>
  <c r="CF563" i="1"/>
  <c r="CG563" i="1"/>
  <c r="CH563" i="1"/>
  <c r="J564" i="1"/>
  <c r="BX564" i="1"/>
  <c r="BY564" i="1"/>
  <c r="BZ564" i="1"/>
  <c r="CA564" i="1"/>
  <c r="CB564" i="1"/>
  <c r="CC564" i="1"/>
  <c r="CD564" i="1"/>
  <c r="CE564" i="1"/>
  <c r="CF564" i="1"/>
  <c r="CG564" i="1"/>
  <c r="CH564" i="1"/>
  <c r="J565" i="1"/>
  <c r="BX565" i="1"/>
  <c r="BY565" i="1"/>
  <c r="BZ565" i="1"/>
  <c r="CA565" i="1"/>
  <c r="CB565" i="1"/>
  <c r="CC565" i="1"/>
  <c r="CD565" i="1"/>
  <c r="CE565" i="1"/>
  <c r="CF565" i="1"/>
  <c r="CG565" i="1"/>
  <c r="CH565" i="1"/>
  <c r="J566" i="1"/>
  <c r="BX566" i="1"/>
  <c r="BY566" i="1"/>
  <c r="BZ566" i="1"/>
  <c r="CA566" i="1"/>
  <c r="CB566" i="1"/>
  <c r="CC566" i="1"/>
  <c r="CD566" i="1"/>
  <c r="CE566" i="1"/>
  <c r="CF566" i="1"/>
  <c r="CG566" i="1"/>
  <c r="CH566" i="1"/>
  <c r="J567" i="1"/>
  <c r="BX567" i="1"/>
  <c r="BY567" i="1"/>
  <c r="BZ567" i="1"/>
  <c r="CA567" i="1"/>
  <c r="CB567" i="1"/>
  <c r="CC567" i="1"/>
  <c r="CD567" i="1"/>
  <c r="CE567" i="1"/>
  <c r="CF567" i="1"/>
  <c r="CG567" i="1"/>
  <c r="CH567" i="1"/>
  <c r="J568" i="1"/>
  <c r="BX568" i="1"/>
  <c r="BY568" i="1"/>
  <c r="BZ568" i="1"/>
  <c r="CA568" i="1"/>
  <c r="CB568" i="1"/>
  <c r="CC568" i="1"/>
  <c r="CD568" i="1"/>
  <c r="CE568" i="1"/>
  <c r="CF568" i="1"/>
  <c r="CG568" i="1"/>
  <c r="CH568" i="1"/>
  <c r="J569" i="1"/>
  <c r="BX569" i="1"/>
  <c r="BY569" i="1"/>
  <c r="BZ569" i="1"/>
  <c r="CA569" i="1"/>
  <c r="CB569" i="1"/>
  <c r="CC569" i="1"/>
  <c r="CD569" i="1"/>
  <c r="CE569" i="1"/>
  <c r="CF569" i="1"/>
  <c r="CG569" i="1"/>
  <c r="CH569" i="1"/>
  <c r="J570" i="1"/>
  <c r="BX570" i="1"/>
  <c r="BY570" i="1"/>
  <c r="BZ570" i="1"/>
  <c r="CA570" i="1"/>
  <c r="CB570" i="1"/>
  <c r="CC570" i="1"/>
  <c r="CD570" i="1"/>
  <c r="CE570" i="1"/>
  <c r="CF570" i="1"/>
  <c r="CG570" i="1"/>
  <c r="CH570" i="1"/>
  <c r="J571" i="1"/>
  <c r="BX571" i="1"/>
  <c r="BY571" i="1"/>
  <c r="BZ571" i="1"/>
  <c r="CA571" i="1"/>
  <c r="CB571" i="1"/>
  <c r="CC571" i="1"/>
  <c r="CD571" i="1"/>
  <c r="CE571" i="1"/>
  <c r="CF571" i="1"/>
  <c r="CG571" i="1"/>
  <c r="CH571" i="1"/>
  <c r="J572" i="1"/>
  <c r="BX572" i="1"/>
  <c r="BY572" i="1"/>
  <c r="BZ572" i="1"/>
  <c r="CA572" i="1"/>
  <c r="CB572" i="1"/>
  <c r="CC572" i="1"/>
  <c r="CD572" i="1"/>
  <c r="CE572" i="1"/>
  <c r="CF572" i="1"/>
  <c r="CG572" i="1"/>
  <c r="CH572" i="1"/>
  <c r="J573" i="1"/>
  <c r="BX573" i="1"/>
  <c r="BY573" i="1"/>
  <c r="BZ573" i="1"/>
  <c r="CA573" i="1"/>
  <c r="CB573" i="1"/>
  <c r="CC573" i="1"/>
  <c r="CD573" i="1"/>
  <c r="CE573" i="1"/>
  <c r="CF573" i="1"/>
  <c r="CG573" i="1"/>
  <c r="CH573" i="1"/>
  <c r="J574" i="1"/>
  <c r="BX574" i="1"/>
  <c r="BY574" i="1"/>
  <c r="BZ574" i="1"/>
  <c r="CA574" i="1"/>
  <c r="CB574" i="1"/>
  <c r="CC574" i="1"/>
  <c r="CD574" i="1"/>
  <c r="CE574" i="1"/>
  <c r="CF574" i="1"/>
  <c r="CG574" i="1"/>
  <c r="CH574" i="1"/>
  <c r="J575" i="1"/>
  <c r="BX575" i="1"/>
  <c r="BY575" i="1"/>
  <c r="BZ575" i="1"/>
  <c r="CA575" i="1"/>
  <c r="CB575" i="1"/>
  <c r="CC575" i="1"/>
  <c r="CD575" i="1"/>
  <c r="CE575" i="1"/>
  <c r="CF575" i="1"/>
  <c r="CG575" i="1"/>
  <c r="CH575" i="1"/>
  <c r="J576" i="1"/>
  <c r="BX576" i="1"/>
  <c r="BY576" i="1"/>
  <c r="BZ576" i="1"/>
  <c r="CA576" i="1"/>
  <c r="CB576" i="1"/>
  <c r="CC576" i="1"/>
  <c r="CD576" i="1"/>
  <c r="CE576" i="1"/>
  <c r="CF576" i="1"/>
  <c r="CG576" i="1"/>
  <c r="CH576" i="1"/>
  <c r="J577" i="1"/>
  <c r="BX577" i="1"/>
  <c r="BY577" i="1"/>
  <c r="BZ577" i="1"/>
  <c r="CA577" i="1"/>
  <c r="CB577" i="1"/>
  <c r="CC577" i="1"/>
  <c r="CD577" i="1"/>
  <c r="CE577" i="1"/>
  <c r="CF577" i="1"/>
  <c r="CG577" i="1"/>
  <c r="CH577" i="1"/>
  <c r="J578" i="1"/>
  <c r="BX578" i="1"/>
  <c r="BY578" i="1"/>
  <c r="BZ578" i="1"/>
  <c r="CA578" i="1"/>
  <c r="CB578" i="1"/>
  <c r="CC578" i="1"/>
  <c r="CD578" i="1"/>
  <c r="CE578" i="1"/>
  <c r="CF578" i="1"/>
  <c r="CG578" i="1"/>
  <c r="CH578" i="1"/>
  <c r="J579" i="1"/>
  <c r="BX579" i="1"/>
  <c r="BY579" i="1"/>
  <c r="BZ579" i="1"/>
  <c r="CA579" i="1"/>
  <c r="CB579" i="1"/>
  <c r="CC579" i="1"/>
  <c r="CD579" i="1"/>
  <c r="CE579" i="1"/>
  <c r="CF579" i="1"/>
  <c r="CG579" i="1"/>
  <c r="CH579" i="1"/>
  <c r="J580" i="1"/>
  <c r="BX580" i="1"/>
  <c r="BY580" i="1"/>
  <c r="BZ580" i="1"/>
  <c r="CA580" i="1"/>
  <c r="CB580" i="1"/>
  <c r="CC580" i="1"/>
  <c r="CD580" i="1"/>
  <c r="CE580" i="1"/>
  <c r="CF580" i="1"/>
  <c r="CG580" i="1"/>
  <c r="CH580" i="1"/>
  <c r="J581" i="1"/>
  <c r="BX581" i="1"/>
  <c r="BY581" i="1"/>
  <c r="BZ581" i="1"/>
  <c r="CA581" i="1"/>
  <c r="CB581" i="1"/>
  <c r="CC581" i="1"/>
  <c r="CD581" i="1"/>
  <c r="CE581" i="1"/>
  <c r="CF581" i="1"/>
  <c r="CG581" i="1"/>
  <c r="CH581" i="1"/>
  <c r="J582" i="1"/>
  <c r="BX582" i="1"/>
  <c r="BY582" i="1"/>
  <c r="BZ582" i="1"/>
  <c r="CA582" i="1"/>
  <c r="CB582" i="1"/>
  <c r="CC582" i="1"/>
  <c r="CD582" i="1"/>
  <c r="CE582" i="1"/>
  <c r="CF582" i="1"/>
  <c r="CG582" i="1"/>
  <c r="CH582" i="1"/>
  <c r="J583" i="1"/>
  <c r="BX583" i="1"/>
  <c r="BY583" i="1"/>
  <c r="BZ583" i="1"/>
  <c r="CA583" i="1"/>
  <c r="CB583" i="1"/>
  <c r="CC583" i="1"/>
  <c r="CD583" i="1"/>
  <c r="CE583" i="1"/>
  <c r="CF583" i="1"/>
  <c r="CG583" i="1"/>
  <c r="CH583" i="1"/>
  <c r="J584" i="1"/>
  <c r="BX584" i="1"/>
  <c r="BY584" i="1"/>
  <c r="BZ584" i="1"/>
  <c r="CA584" i="1"/>
  <c r="CB584" i="1"/>
  <c r="CC584" i="1"/>
  <c r="CD584" i="1"/>
  <c r="CE584" i="1"/>
  <c r="CF584" i="1"/>
  <c r="CG584" i="1"/>
  <c r="CH584" i="1"/>
  <c r="J585" i="1"/>
  <c r="BX585" i="1"/>
  <c r="BY585" i="1"/>
  <c r="BZ585" i="1"/>
  <c r="CA585" i="1"/>
  <c r="CB585" i="1"/>
  <c r="CC585" i="1"/>
  <c r="CD585" i="1"/>
  <c r="CE585" i="1"/>
  <c r="CF585" i="1"/>
  <c r="CG585" i="1"/>
  <c r="CH585" i="1"/>
  <c r="J586" i="1"/>
  <c r="BX586" i="1"/>
  <c r="BY586" i="1"/>
  <c r="BZ586" i="1"/>
  <c r="CA586" i="1"/>
  <c r="CB586" i="1"/>
  <c r="CC586" i="1"/>
  <c r="CD586" i="1"/>
  <c r="CE586" i="1"/>
  <c r="CF586" i="1"/>
  <c r="CG586" i="1"/>
  <c r="CH586" i="1"/>
  <c r="J587" i="1"/>
  <c r="BX587" i="1"/>
  <c r="BY587" i="1"/>
  <c r="BZ587" i="1"/>
  <c r="CA587" i="1"/>
  <c r="CB587" i="1"/>
  <c r="CC587" i="1"/>
  <c r="CD587" i="1"/>
  <c r="CE587" i="1"/>
  <c r="CF587" i="1"/>
  <c r="CG587" i="1"/>
  <c r="CH587" i="1"/>
  <c r="J588" i="1"/>
  <c r="BX588" i="1"/>
  <c r="BY588" i="1"/>
  <c r="BZ588" i="1"/>
  <c r="CA588" i="1"/>
  <c r="CB588" i="1"/>
  <c r="CC588" i="1"/>
  <c r="CD588" i="1"/>
  <c r="CE588" i="1"/>
  <c r="CF588" i="1"/>
  <c r="CG588" i="1"/>
  <c r="CH588" i="1"/>
  <c r="J589" i="1"/>
  <c r="BX589" i="1"/>
  <c r="BY589" i="1"/>
  <c r="BZ589" i="1"/>
  <c r="CA589" i="1"/>
  <c r="CB589" i="1"/>
  <c r="CC589" i="1"/>
  <c r="CD589" i="1"/>
  <c r="CE589" i="1"/>
  <c r="CF589" i="1"/>
  <c r="CG589" i="1"/>
  <c r="CH589" i="1"/>
  <c r="J590" i="1"/>
  <c r="BX590" i="1"/>
  <c r="BY590" i="1"/>
  <c r="BZ590" i="1"/>
  <c r="CA590" i="1"/>
  <c r="CB590" i="1"/>
  <c r="CC590" i="1"/>
  <c r="CD590" i="1"/>
  <c r="CE590" i="1"/>
  <c r="CF590" i="1"/>
  <c r="CG590" i="1"/>
  <c r="CH590" i="1"/>
  <c r="J591" i="1"/>
  <c r="BX591" i="1"/>
  <c r="BY591" i="1"/>
  <c r="BZ591" i="1"/>
  <c r="CA591" i="1"/>
  <c r="CB591" i="1"/>
  <c r="CC591" i="1"/>
  <c r="CD591" i="1"/>
  <c r="CE591" i="1"/>
  <c r="CF591" i="1"/>
  <c r="CG591" i="1"/>
  <c r="CH591" i="1"/>
  <c r="J592" i="1"/>
  <c r="BX592" i="1"/>
  <c r="BY592" i="1"/>
  <c r="BZ592" i="1"/>
  <c r="CA592" i="1"/>
  <c r="CB592" i="1"/>
  <c r="CC592" i="1"/>
  <c r="CD592" i="1"/>
  <c r="CE592" i="1"/>
  <c r="CF592" i="1"/>
  <c r="CG592" i="1"/>
  <c r="CH592" i="1"/>
  <c r="J593" i="1"/>
  <c r="BX593" i="1"/>
  <c r="BY593" i="1"/>
  <c r="BZ593" i="1"/>
  <c r="CA593" i="1"/>
  <c r="CB593" i="1"/>
  <c r="CC593" i="1"/>
  <c r="CD593" i="1"/>
  <c r="CE593" i="1"/>
  <c r="CF593" i="1"/>
  <c r="CG593" i="1"/>
  <c r="CH593" i="1"/>
  <c r="J594" i="1"/>
  <c r="BX594" i="1"/>
  <c r="BY594" i="1"/>
  <c r="BZ594" i="1"/>
  <c r="CA594" i="1"/>
  <c r="CB594" i="1"/>
  <c r="CC594" i="1"/>
  <c r="CD594" i="1"/>
  <c r="CE594" i="1"/>
  <c r="CF594" i="1"/>
  <c r="CG594" i="1"/>
  <c r="CH594" i="1"/>
  <c r="J595" i="1"/>
  <c r="BX595" i="1"/>
  <c r="BY595" i="1"/>
  <c r="BZ595" i="1"/>
  <c r="CA595" i="1"/>
  <c r="CB595" i="1"/>
  <c r="CC595" i="1"/>
  <c r="CD595" i="1"/>
  <c r="CE595" i="1"/>
  <c r="CF595" i="1"/>
  <c r="CG595" i="1"/>
  <c r="CH595" i="1"/>
  <c r="J596" i="1"/>
  <c r="BX596" i="1"/>
  <c r="BY596" i="1"/>
  <c r="BZ596" i="1"/>
  <c r="CA596" i="1"/>
  <c r="CB596" i="1"/>
  <c r="CC596" i="1"/>
  <c r="CD596" i="1"/>
  <c r="CE596" i="1"/>
  <c r="CF596" i="1"/>
  <c r="CG596" i="1"/>
  <c r="CH596" i="1"/>
  <c r="J597" i="1"/>
  <c r="BX597" i="1"/>
  <c r="BY597" i="1"/>
  <c r="BZ597" i="1"/>
  <c r="CA597" i="1"/>
  <c r="CB597" i="1"/>
  <c r="CC597" i="1"/>
  <c r="CD597" i="1"/>
  <c r="CE597" i="1"/>
  <c r="CF597" i="1"/>
  <c r="CG597" i="1"/>
  <c r="CH597" i="1"/>
  <c r="J598" i="1"/>
  <c r="BX598" i="1"/>
  <c r="BY598" i="1"/>
  <c r="BZ598" i="1"/>
  <c r="CA598" i="1"/>
  <c r="CB598" i="1"/>
  <c r="CC598" i="1"/>
  <c r="CD598" i="1"/>
  <c r="CE598" i="1"/>
  <c r="CF598" i="1"/>
  <c r="CG598" i="1"/>
  <c r="CH598" i="1"/>
  <c r="J599" i="1"/>
  <c r="BX599" i="1"/>
  <c r="BY599" i="1"/>
  <c r="BZ599" i="1"/>
  <c r="CA599" i="1"/>
  <c r="CB599" i="1"/>
  <c r="CC599" i="1"/>
  <c r="CD599" i="1"/>
  <c r="CE599" i="1"/>
  <c r="CF599" i="1"/>
  <c r="CG599" i="1"/>
  <c r="CH599" i="1"/>
  <c r="J600" i="1"/>
  <c r="BX600" i="1"/>
  <c r="BY600" i="1"/>
  <c r="BZ600" i="1"/>
  <c r="CA600" i="1"/>
  <c r="CB600" i="1"/>
  <c r="CC600" i="1"/>
  <c r="CD600" i="1"/>
  <c r="CE600" i="1"/>
  <c r="CF600" i="1"/>
  <c r="CG600" i="1"/>
  <c r="CH600" i="1"/>
  <c r="J601" i="1"/>
  <c r="BX601" i="1"/>
  <c r="BY601" i="1"/>
  <c r="BZ601" i="1"/>
  <c r="CA601" i="1"/>
  <c r="CB601" i="1"/>
  <c r="CC601" i="1"/>
  <c r="CD601" i="1"/>
  <c r="CE601" i="1"/>
  <c r="CF601" i="1"/>
  <c r="CG601" i="1"/>
  <c r="CH601" i="1"/>
  <c r="J602" i="1"/>
  <c r="BX602" i="1"/>
  <c r="BY602" i="1"/>
  <c r="BZ602" i="1"/>
  <c r="CA602" i="1"/>
  <c r="CB602" i="1"/>
  <c r="CC602" i="1"/>
  <c r="CD602" i="1"/>
  <c r="CE602" i="1"/>
  <c r="CF602" i="1"/>
  <c r="CG602" i="1"/>
  <c r="CH602" i="1"/>
  <c r="J603" i="1"/>
  <c r="BX603" i="1"/>
  <c r="BY603" i="1"/>
  <c r="BZ603" i="1"/>
  <c r="CA603" i="1"/>
  <c r="CB603" i="1"/>
  <c r="CC603" i="1"/>
  <c r="CD603" i="1"/>
  <c r="CE603" i="1"/>
  <c r="CF603" i="1"/>
  <c r="CG603" i="1"/>
  <c r="CH603" i="1"/>
  <c r="J604" i="1"/>
  <c r="BX604" i="1"/>
  <c r="BY604" i="1"/>
  <c r="BZ604" i="1"/>
  <c r="CA604" i="1"/>
  <c r="CB604" i="1"/>
  <c r="CC604" i="1"/>
  <c r="CD604" i="1"/>
  <c r="CE604" i="1"/>
  <c r="CF604" i="1"/>
  <c r="CG604" i="1"/>
  <c r="CH604" i="1"/>
  <c r="J605" i="1"/>
  <c r="BX605" i="1"/>
  <c r="BY605" i="1"/>
  <c r="BZ605" i="1"/>
  <c r="CA605" i="1"/>
  <c r="CB605" i="1"/>
  <c r="CC605" i="1"/>
  <c r="CD605" i="1"/>
  <c r="CE605" i="1"/>
  <c r="CF605" i="1"/>
  <c r="CG605" i="1"/>
  <c r="CH605" i="1"/>
  <c r="J606" i="1"/>
  <c r="BX606" i="1"/>
  <c r="BY606" i="1"/>
  <c r="BZ606" i="1"/>
  <c r="CA606" i="1"/>
  <c r="CB606" i="1"/>
  <c r="CC606" i="1"/>
  <c r="CD606" i="1"/>
  <c r="CE606" i="1"/>
  <c r="CF606" i="1"/>
  <c r="CG606" i="1"/>
  <c r="CH606" i="1"/>
  <c r="J607" i="1"/>
  <c r="BX607" i="1"/>
  <c r="BY607" i="1"/>
  <c r="BZ607" i="1"/>
  <c r="CA607" i="1"/>
  <c r="CB607" i="1"/>
  <c r="CC607" i="1"/>
  <c r="CD607" i="1"/>
  <c r="CE607" i="1"/>
  <c r="CF607" i="1"/>
  <c r="CG607" i="1"/>
  <c r="CH607" i="1"/>
  <c r="J608" i="1"/>
  <c r="BX608" i="1"/>
  <c r="BY608" i="1"/>
  <c r="BZ608" i="1"/>
  <c r="CA608" i="1"/>
  <c r="CB608" i="1"/>
  <c r="CC608" i="1"/>
  <c r="CD608" i="1"/>
  <c r="CE608" i="1"/>
  <c r="CF608" i="1"/>
  <c r="CG608" i="1"/>
  <c r="CH608" i="1"/>
  <c r="J609" i="1"/>
  <c r="BX609" i="1"/>
  <c r="BY609" i="1"/>
  <c r="BZ609" i="1"/>
  <c r="CA609" i="1"/>
  <c r="CB609" i="1"/>
  <c r="CC609" i="1"/>
  <c r="CD609" i="1"/>
  <c r="CE609" i="1"/>
  <c r="CF609" i="1"/>
  <c r="CG609" i="1"/>
  <c r="CH609" i="1"/>
  <c r="J610" i="1"/>
  <c r="BX610" i="1"/>
  <c r="BY610" i="1"/>
  <c r="BZ610" i="1"/>
  <c r="CA610" i="1"/>
  <c r="CB610" i="1"/>
  <c r="CC610" i="1"/>
  <c r="CD610" i="1"/>
  <c r="CE610" i="1"/>
  <c r="CF610" i="1"/>
  <c r="CG610" i="1"/>
  <c r="CH610" i="1"/>
  <c r="J611" i="1"/>
  <c r="BX611" i="1"/>
  <c r="BY611" i="1"/>
  <c r="BZ611" i="1"/>
  <c r="CA611" i="1"/>
  <c r="CB611" i="1"/>
  <c r="CC611" i="1"/>
  <c r="CD611" i="1"/>
  <c r="CE611" i="1"/>
  <c r="CF611" i="1"/>
  <c r="CG611" i="1"/>
  <c r="CH611" i="1"/>
  <c r="J612" i="1"/>
  <c r="BX612" i="1"/>
  <c r="BY612" i="1"/>
  <c r="BZ612" i="1"/>
  <c r="CA612" i="1"/>
  <c r="CB612" i="1"/>
  <c r="CC612" i="1"/>
  <c r="CD612" i="1"/>
  <c r="CE612" i="1"/>
  <c r="CF612" i="1"/>
  <c r="CG612" i="1"/>
  <c r="CH612" i="1"/>
  <c r="J613" i="1"/>
  <c r="BX613" i="1"/>
  <c r="BY613" i="1"/>
  <c r="BZ613" i="1"/>
  <c r="CA613" i="1"/>
  <c r="CB613" i="1"/>
  <c r="CC613" i="1"/>
  <c r="CD613" i="1"/>
  <c r="CE613" i="1"/>
  <c r="CF613" i="1"/>
  <c r="CG613" i="1"/>
  <c r="CH613" i="1"/>
  <c r="J614" i="1"/>
  <c r="BX614" i="1"/>
  <c r="BY614" i="1"/>
  <c r="BZ614" i="1"/>
  <c r="CA614" i="1"/>
  <c r="CB614" i="1"/>
  <c r="CC614" i="1"/>
  <c r="CD614" i="1"/>
  <c r="CE614" i="1"/>
  <c r="CF614" i="1"/>
  <c r="CG614" i="1"/>
  <c r="CH614" i="1"/>
  <c r="J615" i="1"/>
  <c r="BX615" i="1"/>
  <c r="BY615" i="1"/>
  <c r="BZ615" i="1"/>
  <c r="CA615" i="1"/>
  <c r="CB615" i="1"/>
  <c r="CC615" i="1"/>
  <c r="CD615" i="1"/>
  <c r="CE615" i="1"/>
  <c r="CF615" i="1"/>
  <c r="CG615" i="1"/>
  <c r="CH615" i="1"/>
  <c r="J616" i="1"/>
  <c r="BX616" i="1"/>
  <c r="BY616" i="1"/>
  <c r="BZ616" i="1"/>
  <c r="CA616" i="1"/>
  <c r="CB616" i="1"/>
  <c r="CC616" i="1"/>
  <c r="CD616" i="1"/>
  <c r="CE616" i="1"/>
  <c r="CF616" i="1"/>
  <c r="CG616" i="1"/>
  <c r="CH616" i="1"/>
  <c r="J617" i="1"/>
  <c r="BX617" i="1"/>
  <c r="BY617" i="1"/>
  <c r="BZ617" i="1"/>
  <c r="CA617" i="1"/>
  <c r="CB617" i="1"/>
  <c r="CC617" i="1"/>
  <c r="CD617" i="1"/>
  <c r="CE617" i="1"/>
  <c r="CF617" i="1"/>
  <c r="CG617" i="1"/>
  <c r="CH617" i="1"/>
  <c r="J618" i="1"/>
  <c r="BX618" i="1"/>
  <c r="BY618" i="1"/>
  <c r="BZ618" i="1"/>
  <c r="CA618" i="1"/>
  <c r="CB618" i="1"/>
  <c r="CC618" i="1"/>
  <c r="CD618" i="1"/>
  <c r="CE618" i="1"/>
  <c r="CF618" i="1"/>
  <c r="CG618" i="1"/>
  <c r="CH618" i="1"/>
  <c r="J619" i="1"/>
  <c r="BX619" i="1"/>
  <c r="BY619" i="1"/>
  <c r="BZ619" i="1"/>
  <c r="CA619" i="1"/>
  <c r="CB619" i="1"/>
  <c r="CC619" i="1"/>
  <c r="CD619" i="1"/>
  <c r="CE619" i="1"/>
  <c r="CF619" i="1"/>
  <c r="CG619" i="1"/>
  <c r="CH619" i="1"/>
  <c r="J620" i="1"/>
  <c r="BX620" i="1"/>
  <c r="BY620" i="1"/>
  <c r="BZ620" i="1"/>
  <c r="CA620" i="1"/>
  <c r="CB620" i="1"/>
  <c r="CC620" i="1"/>
  <c r="CD620" i="1"/>
  <c r="CE620" i="1"/>
  <c r="CF620" i="1"/>
  <c r="CG620" i="1"/>
  <c r="CH620" i="1"/>
  <c r="J621" i="1"/>
  <c r="BX621" i="1"/>
  <c r="BY621" i="1"/>
  <c r="BZ621" i="1"/>
  <c r="CA621" i="1"/>
  <c r="CB621" i="1"/>
  <c r="CC621" i="1"/>
  <c r="CD621" i="1"/>
  <c r="CE621" i="1"/>
  <c r="CF621" i="1"/>
  <c r="CG621" i="1"/>
  <c r="CH621" i="1"/>
  <c r="J622" i="1"/>
  <c r="BX622" i="1"/>
  <c r="BY622" i="1"/>
  <c r="BZ622" i="1"/>
  <c r="CA622" i="1"/>
  <c r="CB622" i="1"/>
  <c r="CC622" i="1"/>
  <c r="CD622" i="1"/>
  <c r="CE622" i="1"/>
  <c r="CF622" i="1"/>
  <c r="CG622" i="1"/>
  <c r="CH622" i="1"/>
  <c r="J623" i="1"/>
  <c r="BX623" i="1"/>
  <c r="BY623" i="1"/>
  <c r="BZ623" i="1"/>
  <c r="CA623" i="1"/>
  <c r="CB623" i="1"/>
  <c r="CC623" i="1"/>
  <c r="CD623" i="1"/>
  <c r="CE623" i="1"/>
  <c r="CF623" i="1"/>
  <c r="CG623" i="1"/>
  <c r="CH623" i="1"/>
  <c r="J624" i="1"/>
  <c r="BX624" i="1"/>
  <c r="BY624" i="1"/>
  <c r="BZ624" i="1"/>
  <c r="CA624" i="1"/>
  <c r="CB624" i="1"/>
  <c r="CC624" i="1"/>
  <c r="CD624" i="1"/>
  <c r="CE624" i="1"/>
  <c r="CF624" i="1"/>
  <c r="CG624" i="1"/>
  <c r="CH624" i="1"/>
  <c r="J625" i="1"/>
  <c r="BX625" i="1"/>
  <c r="BY625" i="1"/>
  <c r="BZ625" i="1"/>
  <c r="CA625" i="1"/>
  <c r="CB625" i="1"/>
  <c r="CC625" i="1"/>
  <c r="CD625" i="1"/>
  <c r="CE625" i="1"/>
  <c r="CF625" i="1"/>
  <c r="CG625" i="1"/>
  <c r="CH625" i="1"/>
  <c r="J626" i="1"/>
  <c r="BX626" i="1"/>
  <c r="BY626" i="1"/>
  <c r="BZ626" i="1"/>
  <c r="CA626" i="1"/>
  <c r="CB626" i="1"/>
  <c r="CC626" i="1"/>
  <c r="CD626" i="1"/>
  <c r="CE626" i="1"/>
  <c r="CF626" i="1"/>
  <c r="CG626" i="1"/>
  <c r="CH626" i="1"/>
  <c r="J627" i="1"/>
  <c r="BX627" i="1"/>
  <c r="BY627" i="1"/>
  <c r="BZ627" i="1"/>
  <c r="CA627" i="1"/>
  <c r="CB627" i="1"/>
  <c r="CC627" i="1"/>
  <c r="CD627" i="1"/>
  <c r="CE627" i="1"/>
  <c r="CF627" i="1"/>
  <c r="CG627" i="1"/>
  <c r="CH627" i="1"/>
  <c r="J628" i="1"/>
  <c r="BX628" i="1"/>
  <c r="BY628" i="1"/>
  <c r="BZ628" i="1"/>
  <c r="CA628" i="1"/>
  <c r="CB628" i="1"/>
  <c r="CC628" i="1"/>
  <c r="CD628" i="1"/>
  <c r="CE628" i="1"/>
  <c r="CF628" i="1"/>
  <c r="CG628" i="1"/>
  <c r="CH628" i="1"/>
  <c r="J629" i="1"/>
  <c r="BX629" i="1"/>
  <c r="BY629" i="1"/>
  <c r="BZ629" i="1"/>
  <c r="CA629" i="1"/>
  <c r="CB629" i="1"/>
  <c r="CC629" i="1"/>
  <c r="CD629" i="1"/>
  <c r="CE629" i="1"/>
  <c r="CF629" i="1"/>
  <c r="CG629" i="1"/>
  <c r="CH629" i="1"/>
  <c r="J630" i="1"/>
  <c r="BX630" i="1"/>
  <c r="BY630" i="1"/>
  <c r="BZ630" i="1"/>
  <c r="CA630" i="1"/>
  <c r="CB630" i="1"/>
  <c r="CC630" i="1"/>
  <c r="CD630" i="1"/>
  <c r="CE630" i="1"/>
  <c r="CF630" i="1"/>
  <c r="CG630" i="1"/>
  <c r="CH630" i="1"/>
  <c r="J631" i="1"/>
  <c r="BX631" i="1"/>
  <c r="BY631" i="1"/>
  <c r="BZ631" i="1"/>
  <c r="CA631" i="1"/>
  <c r="CB631" i="1"/>
  <c r="CC631" i="1"/>
  <c r="CD631" i="1"/>
  <c r="CE631" i="1"/>
  <c r="CF631" i="1"/>
  <c r="CG631" i="1"/>
  <c r="CH631" i="1"/>
  <c r="J632" i="1"/>
  <c r="BX632" i="1"/>
  <c r="BY632" i="1"/>
  <c r="BZ632" i="1"/>
  <c r="CA632" i="1"/>
  <c r="CB632" i="1"/>
  <c r="CC632" i="1"/>
  <c r="CD632" i="1"/>
  <c r="CE632" i="1"/>
  <c r="CF632" i="1"/>
  <c r="CG632" i="1"/>
  <c r="CH632" i="1"/>
  <c r="J633" i="1"/>
  <c r="BX633" i="1"/>
  <c r="BY633" i="1"/>
  <c r="BZ633" i="1"/>
  <c r="CA633" i="1"/>
  <c r="CB633" i="1"/>
  <c r="CC633" i="1"/>
  <c r="CD633" i="1"/>
  <c r="CE633" i="1"/>
  <c r="CF633" i="1"/>
  <c r="CG633" i="1"/>
  <c r="CH633" i="1"/>
  <c r="J634" i="1"/>
  <c r="BX634" i="1"/>
  <c r="BY634" i="1"/>
  <c r="BZ634" i="1"/>
  <c r="CA634" i="1"/>
  <c r="CB634" i="1"/>
  <c r="CC634" i="1"/>
  <c r="CD634" i="1"/>
  <c r="CE634" i="1"/>
  <c r="CF634" i="1"/>
  <c r="CG634" i="1"/>
  <c r="CH634" i="1"/>
  <c r="J635" i="1"/>
  <c r="BX635" i="1"/>
  <c r="BY635" i="1"/>
  <c r="BZ635" i="1"/>
  <c r="CA635" i="1"/>
  <c r="CB635" i="1"/>
  <c r="CC635" i="1"/>
  <c r="CD635" i="1"/>
  <c r="CE635" i="1"/>
  <c r="CF635" i="1"/>
  <c r="CG635" i="1"/>
  <c r="CH635" i="1"/>
  <c r="J636" i="1"/>
  <c r="BX636" i="1"/>
  <c r="BY636" i="1"/>
  <c r="BZ636" i="1"/>
  <c r="CA636" i="1"/>
  <c r="CB636" i="1"/>
  <c r="CC636" i="1"/>
  <c r="CD636" i="1"/>
  <c r="CE636" i="1"/>
  <c r="CF636" i="1"/>
  <c r="CG636" i="1"/>
  <c r="CH636" i="1"/>
  <c r="J637" i="1"/>
  <c r="BX637" i="1"/>
  <c r="BY637" i="1"/>
  <c r="BZ637" i="1"/>
  <c r="CA637" i="1"/>
  <c r="CB637" i="1"/>
  <c r="CC637" i="1"/>
  <c r="CD637" i="1"/>
  <c r="CE637" i="1"/>
  <c r="CF637" i="1"/>
  <c r="CG637" i="1"/>
  <c r="CH637" i="1"/>
  <c r="J638" i="1"/>
  <c r="BX638" i="1"/>
  <c r="BY638" i="1"/>
  <c r="BZ638" i="1"/>
  <c r="CA638" i="1"/>
  <c r="CB638" i="1"/>
  <c r="CC638" i="1"/>
  <c r="CD638" i="1"/>
  <c r="CE638" i="1"/>
  <c r="CF638" i="1"/>
  <c r="CG638" i="1"/>
  <c r="CH638" i="1"/>
  <c r="J639" i="1"/>
  <c r="BX639" i="1"/>
  <c r="BY639" i="1"/>
  <c r="BZ639" i="1"/>
  <c r="CA639" i="1"/>
  <c r="CB639" i="1"/>
  <c r="CC639" i="1"/>
  <c r="CD639" i="1"/>
  <c r="CE639" i="1"/>
  <c r="CF639" i="1"/>
  <c r="CG639" i="1"/>
  <c r="CH639" i="1"/>
  <c r="J640" i="1"/>
  <c r="BX640" i="1"/>
  <c r="BY640" i="1"/>
  <c r="BZ640" i="1"/>
  <c r="CA640" i="1"/>
  <c r="CB640" i="1"/>
  <c r="CC640" i="1"/>
  <c r="CD640" i="1"/>
  <c r="CE640" i="1"/>
  <c r="CF640" i="1"/>
  <c r="CG640" i="1"/>
  <c r="CH640" i="1"/>
  <c r="J641" i="1"/>
  <c r="BX641" i="1"/>
  <c r="BY641" i="1"/>
  <c r="BZ641" i="1"/>
  <c r="CA641" i="1"/>
  <c r="CB641" i="1"/>
  <c r="CC641" i="1"/>
  <c r="CD641" i="1"/>
  <c r="CE641" i="1"/>
  <c r="CF641" i="1"/>
  <c r="CG641" i="1"/>
  <c r="CH641" i="1"/>
  <c r="J642" i="1"/>
  <c r="BX642" i="1"/>
  <c r="BY642" i="1"/>
  <c r="BZ642" i="1"/>
  <c r="CA642" i="1"/>
  <c r="CB642" i="1"/>
  <c r="CC642" i="1"/>
  <c r="CD642" i="1"/>
  <c r="CE642" i="1"/>
  <c r="CF642" i="1"/>
  <c r="CG642" i="1"/>
  <c r="CH642" i="1"/>
  <c r="J643" i="1"/>
  <c r="BX643" i="1"/>
  <c r="BY643" i="1"/>
  <c r="BZ643" i="1"/>
  <c r="CA643" i="1"/>
  <c r="CB643" i="1"/>
  <c r="CC643" i="1"/>
  <c r="CD643" i="1"/>
  <c r="CE643" i="1"/>
  <c r="CF643" i="1"/>
  <c r="CG643" i="1"/>
  <c r="CH643" i="1"/>
  <c r="J644" i="1"/>
  <c r="BX644" i="1"/>
  <c r="BY644" i="1"/>
  <c r="BZ644" i="1"/>
  <c r="CA644" i="1"/>
  <c r="CB644" i="1"/>
  <c r="CC644" i="1"/>
  <c r="CD644" i="1"/>
  <c r="CE644" i="1"/>
  <c r="CF644" i="1"/>
  <c r="CG644" i="1"/>
  <c r="CH644" i="1"/>
  <c r="J645" i="1"/>
  <c r="BX645" i="1"/>
  <c r="BY645" i="1"/>
  <c r="BZ645" i="1"/>
  <c r="CA645" i="1"/>
  <c r="CB645" i="1"/>
  <c r="CC645" i="1"/>
  <c r="CD645" i="1"/>
  <c r="CE645" i="1"/>
  <c r="CF645" i="1"/>
  <c r="CG645" i="1"/>
  <c r="CH645" i="1"/>
  <c r="J646" i="1"/>
  <c r="BX646" i="1"/>
  <c r="BY646" i="1"/>
  <c r="BZ646" i="1"/>
  <c r="CA646" i="1"/>
  <c r="CB646" i="1"/>
  <c r="CC646" i="1"/>
  <c r="CD646" i="1"/>
  <c r="CE646" i="1"/>
  <c r="CF646" i="1"/>
  <c r="CG646" i="1"/>
  <c r="CH646" i="1"/>
  <c r="J647" i="1"/>
  <c r="BX647" i="1"/>
  <c r="BY647" i="1"/>
  <c r="BZ647" i="1"/>
  <c r="CA647" i="1"/>
  <c r="CB647" i="1"/>
  <c r="CC647" i="1"/>
  <c r="CD647" i="1"/>
  <c r="CE647" i="1"/>
  <c r="CF647" i="1"/>
  <c r="CG647" i="1"/>
  <c r="CH647" i="1"/>
  <c r="J648" i="1"/>
  <c r="BX648" i="1"/>
  <c r="BY648" i="1"/>
  <c r="BZ648" i="1"/>
  <c r="CA648" i="1"/>
  <c r="CB648" i="1"/>
  <c r="CC648" i="1"/>
  <c r="CD648" i="1"/>
  <c r="CE648" i="1"/>
  <c r="CF648" i="1"/>
  <c r="CG648" i="1"/>
  <c r="CH648" i="1"/>
  <c r="J649" i="1"/>
  <c r="BX649" i="1"/>
  <c r="BY649" i="1"/>
  <c r="BZ649" i="1"/>
  <c r="CA649" i="1"/>
  <c r="CB649" i="1"/>
  <c r="CC649" i="1"/>
  <c r="CD649" i="1"/>
  <c r="CE649" i="1"/>
  <c r="CF649" i="1"/>
  <c r="CG649" i="1"/>
  <c r="CH649" i="1"/>
  <c r="J650" i="1"/>
  <c r="BX650" i="1"/>
  <c r="BY650" i="1"/>
  <c r="BZ650" i="1"/>
  <c r="CA650" i="1"/>
  <c r="CB650" i="1"/>
  <c r="CC650" i="1"/>
  <c r="CD650" i="1"/>
  <c r="CE650" i="1"/>
  <c r="CF650" i="1"/>
  <c r="CG650" i="1"/>
  <c r="CH650" i="1"/>
  <c r="J651" i="1"/>
  <c r="BX651" i="1"/>
  <c r="BY651" i="1"/>
  <c r="BZ651" i="1"/>
  <c r="CA651" i="1"/>
  <c r="CB651" i="1"/>
  <c r="CC651" i="1"/>
  <c r="CD651" i="1"/>
  <c r="CE651" i="1"/>
  <c r="CF651" i="1"/>
  <c r="CG651" i="1"/>
  <c r="CH651" i="1"/>
  <c r="J652" i="1"/>
  <c r="BX652" i="1"/>
  <c r="BY652" i="1"/>
  <c r="BZ652" i="1"/>
  <c r="CA652" i="1"/>
  <c r="CB652" i="1"/>
  <c r="CC652" i="1"/>
  <c r="CD652" i="1"/>
  <c r="CE652" i="1"/>
  <c r="CF652" i="1"/>
  <c r="CG652" i="1"/>
  <c r="CH652" i="1"/>
  <c r="J653" i="1"/>
  <c r="BX653" i="1"/>
  <c r="BY653" i="1"/>
  <c r="BZ653" i="1"/>
  <c r="CA653" i="1"/>
  <c r="CB653" i="1"/>
  <c r="CC653" i="1"/>
  <c r="CD653" i="1"/>
  <c r="CE653" i="1"/>
  <c r="CF653" i="1"/>
  <c r="CG653" i="1"/>
  <c r="CH653" i="1"/>
  <c r="J654" i="1"/>
  <c r="BX654" i="1"/>
  <c r="BY654" i="1"/>
  <c r="BZ654" i="1"/>
  <c r="CA654" i="1"/>
  <c r="CB654" i="1"/>
  <c r="CC654" i="1"/>
  <c r="CD654" i="1"/>
  <c r="CE654" i="1"/>
  <c r="CF654" i="1"/>
  <c r="CG654" i="1"/>
  <c r="CH654" i="1"/>
  <c r="J655" i="1"/>
  <c r="BX655" i="1"/>
  <c r="BY655" i="1"/>
  <c r="BZ655" i="1"/>
  <c r="CA655" i="1"/>
  <c r="CB655" i="1"/>
  <c r="CC655" i="1"/>
  <c r="CD655" i="1"/>
  <c r="CE655" i="1"/>
  <c r="CF655" i="1"/>
  <c r="CG655" i="1"/>
  <c r="CH655" i="1"/>
  <c r="J656" i="1"/>
  <c r="BX656" i="1"/>
  <c r="BY656" i="1"/>
  <c r="BZ656" i="1"/>
  <c r="CA656" i="1"/>
  <c r="CB656" i="1"/>
  <c r="CC656" i="1"/>
  <c r="CD656" i="1"/>
  <c r="CE656" i="1"/>
  <c r="CF656" i="1"/>
  <c r="CG656" i="1"/>
  <c r="CH656" i="1"/>
  <c r="J657" i="1"/>
  <c r="BX657" i="1"/>
  <c r="BY657" i="1"/>
  <c r="BZ657" i="1"/>
  <c r="CA657" i="1"/>
  <c r="CB657" i="1"/>
  <c r="CC657" i="1"/>
  <c r="CD657" i="1"/>
  <c r="CE657" i="1"/>
  <c r="CF657" i="1"/>
  <c r="CG657" i="1"/>
  <c r="CH657" i="1"/>
  <c r="J658" i="1"/>
  <c r="BX658" i="1"/>
  <c r="BY658" i="1"/>
  <c r="BZ658" i="1"/>
  <c r="CA658" i="1"/>
  <c r="CB658" i="1"/>
  <c r="CC658" i="1"/>
  <c r="CD658" i="1"/>
  <c r="CE658" i="1"/>
  <c r="CF658" i="1"/>
  <c r="CG658" i="1"/>
  <c r="CH658" i="1"/>
  <c r="J659" i="1"/>
  <c r="BX659" i="1"/>
  <c r="BY659" i="1"/>
  <c r="BZ659" i="1"/>
  <c r="CA659" i="1"/>
  <c r="CB659" i="1"/>
  <c r="CC659" i="1"/>
  <c r="CD659" i="1"/>
  <c r="CE659" i="1"/>
  <c r="CF659" i="1"/>
  <c r="CG659" i="1"/>
  <c r="CH659" i="1"/>
  <c r="J660" i="1"/>
  <c r="BX660" i="1"/>
  <c r="BY660" i="1"/>
  <c r="BZ660" i="1"/>
  <c r="CA660" i="1"/>
  <c r="CB660" i="1"/>
  <c r="CC660" i="1"/>
  <c r="CD660" i="1"/>
  <c r="CE660" i="1"/>
  <c r="CF660" i="1"/>
  <c r="CG660" i="1"/>
  <c r="CH660" i="1"/>
  <c r="J661" i="1"/>
  <c r="BX661" i="1"/>
  <c r="BY661" i="1"/>
  <c r="BZ661" i="1"/>
  <c r="CA661" i="1"/>
  <c r="CB661" i="1"/>
  <c r="CC661" i="1"/>
  <c r="CD661" i="1"/>
  <c r="CE661" i="1"/>
  <c r="CF661" i="1"/>
  <c r="CG661" i="1"/>
  <c r="CH661" i="1"/>
  <c r="J662" i="1"/>
  <c r="BX662" i="1"/>
  <c r="BY662" i="1"/>
  <c r="BZ662" i="1"/>
  <c r="CA662" i="1"/>
  <c r="CB662" i="1"/>
  <c r="CC662" i="1"/>
  <c r="CD662" i="1"/>
  <c r="CE662" i="1"/>
  <c r="CF662" i="1"/>
  <c r="CG662" i="1"/>
  <c r="CH662" i="1"/>
  <c r="J663" i="1"/>
  <c r="BX663" i="1"/>
  <c r="BY663" i="1"/>
  <c r="BZ663" i="1"/>
  <c r="CA663" i="1"/>
  <c r="CB663" i="1"/>
  <c r="CC663" i="1"/>
  <c r="CD663" i="1"/>
  <c r="CE663" i="1"/>
  <c r="CF663" i="1"/>
  <c r="CG663" i="1"/>
  <c r="CH663" i="1"/>
  <c r="J664" i="1"/>
  <c r="BX664" i="1"/>
  <c r="BY664" i="1"/>
  <c r="BZ664" i="1"/>
  <c r="CA664" i="1"/>
  <c r="CB664" i="1"/>
  <c r="CC664" i="1"/>
  <c r="CD664" i="1"/>
  <c r="CE664" i="1"/>
  <c r="CF664" i="1"/>
  <c r="CG664" i="1"/>
  <c r="CH664" i="1"/>
  <c r="J665" i="1"/>
  <c r="BX665" i="1"/>
  <c r="BY665" i="1"/>
  <c r="BZ665" i="1"/>
  <c r="CA665" i="1"/>
  <c r="CB665" i="1"/>
  <c r="CC665" i="1"/>
  <c r="CD665" i="1"/>
  <c r="CE665" i="1"/>
  <c r="CF665" i="1"/>
  <c r="CG665" i="1"/>
  <c r="CH665" i="1"/>
  <c r="J666" i="1"/>
  <c r="BX666" i="1"/>
  <c r="BY666" i="1"/>
  <c r="BZ666" i="1"/>
  <c r="CA666" i="1"/>
  <c r="CB666" i="1"/>
  <c r="CC666" i="1"/>
  <c r="CD666" i="1"/>
  <c r="CE666" i="1"/>
  <c r="CF666" i="1"/>
  <c r="CG666" i="1"/>
  <c r="CH666" i="1"/>
  <c r="J667" i="1"/>
  <c r="BX667" i="1"/>
  <c r="BY667" i="1"/>
  <c r="BZ667" i="1"/>
  <c r="CA667" i="1"/>
  <c r="CB667" i="1"/>
  <c r="CC667" i="1"/>
  <c r="CD667" i="1"/>
  <c r="CE667" i="1"/>
  <c r="CF667" i="1"/>
  <c r="CG667" i="1"/>
  <c r="CH667" i="1"/>
  <c r="J668" i="1"/>
  <c r="BX668" i="1"/>
  <c r="BY668" i="1"/>
  <c r="BZ668" i="1"/>
  <c r="CA668" i="1"/>
  <c r="CB668" i="1"/>
  <c r="CC668" i="1"/>
  <c r="CD668" i="1"/>
  <c r="CE668" i="1"/>
  <c r="CF668" i="1"/>
  <c r="CG668" i="1"/>
  <c r="CH668" i="1"/>
  <c r="J669" i="1"/>
  <c r="BX669" i="1"/>
  <c r="BY669" i="1"/>
  <c r="BZ669" i="1"/>
  <c r="CA669" i="1"/>
  <c r="CB669" i="1"/>
  <c r="CC669" i="1"/>
  <c r="CD669" i="1"/>
  <c r="CE669" i="1"/>
  <c r="CF669" i="1"/>
  <c r="CG669" i="1"/>
  <c r="CH669" i="1"/>
  <c r="J670" i="1"/>
  <c r="BX670" i="1"/>
  <c r="BY670" i="1"/>
  <c r="BZ670" i="1"/>
  <c r="CA670" i="1"/>
  <c r="CB670" i="1"/>
  <c r="CC670" i="1"/>
  <c r="CD670" i="1"/>
  <c r="CE670" i="1"/>
  <c r="CF670" i="1"/>
  <c r="CG670" i="1"/>
  <c r="CH670" i="1"/>
  <c r="J671" i="1"/>
  <c r="BX671" i="1"/>
  <c r="BY671" i="1"/>
  <c r="BZ671" i="1"/>
  <c r="CA671" i="1"/>
  <c r="CB671" i="1"/>
  <c r="CC671" i="1"/>
  <c r="CD671" i="1"/>
  <c r="CE671" i="1"/>
  <c r="CF671" i="1"/>
  <c r="CG671" i="1"/>
  <c r="CH671" i="1"/>
  <c r="J672" i="1"/>
  <c r="BX672" i="1"/>
  <c r="BY672" i="1"/>
  <c r="BZ672" i="1"/>
  <c r="CA672" i="1"/>
  <c r="CB672" i="1"/>
  <c r="CC672" i="1"/>
  <c r="CD672" i="1"/>
  <c r="CE672" i="1"/>
  <c r="CF672" i="1"/>
  <c r="CG672" i="1"/>
  <c r="CH672" i="1"/>
  <c r="J673" i="1"/>
  <c r="BX673" i="1"/>
  <c r="BY673" i="1"/>
  <c r="BZ673" i="1"/>
  <c r="CA673" i="1"/>
  <c r="CB673" i="1"/>
  <c r="CC673" i="1"/>
  <c r="CD673" i="1"/>
  <c r="CE673" i="1"/>
  <c r="CF673" i="1"/>
  <c r="CG673" i="1"/>
  <c r="CH673" i="1"/>
  <c r="J674" i="1"/>
  <c r="BX674" i="1"/>
  <c r="BY674" i="1"/>
  <c r="BZ674" i="1"/>
  <c r="CA674" i="1"/>
  <c r="CB674" i="1"/>
  <c r="CC674" i="1"/>
  <c r="CD674" i="1"/>
  <c r="CE674" i="1"/>
  <c r="CF674" i="1"/>
  <c r="CG674" i="1"/>
  <c r="CH674" i="1"/>
  <c r="J675" i="1"/>
  <c r="BX675" i="1"/>
  <c r="BY675" i="1"/>
  <c r="BZ675" i="1"/>
  <c r="CA675" i="1"/>
  <c r="CB675" i="1"/>
  <c r="CC675" i="1"/>
  <c r="CD675" i="1"/>
  <c r="CE675" i="1"/>
  <c r="CF675" i="1"/>
  <c r="CG675" i="1"/>
  <c r="CH675" i="1"/>
  <c r="J676" i="1"/>
  <c r="BX676" i="1"/>
  <c r="BY676" i="1"/>
  <c r="BZ676" i="1"/>
  <c r="CA676" i="1"/>
  <c r="CB676" i="1"/>
  <c r="CC676" i="1"/>
  <c r="CD676" i="1"/>
  <c r="CE676" i="1"/>
  <c r="CF676" i="1"/>
  <c r="CG676" i="1"/>
  <c r="CH676" i="1"/>
  <c r="J677" i="1"/>
  <c r="BX677" i="1"/>
  <c r="BY677" i="1"/>
  <c r="BZ677" i="1"/>
  <c r="CA677" i="1"/>
  <c r="CB677" i="1"/>
  <c r="CC677" i="1"/>
  <c r="CD677" i="1"/>
  <c r="CE677" i="1"/>
  <c r="CF677" i="1"/>
  <c r="CG677" i="1"/>
  <c r="CH677" i="1"/>
  <c r="J678" i="1"/>
  <c r="BX678" i="1"/>
  <c r="BY678" i="1"/>
  <c r="BZ678" i="1"/>
  <c r="CA678" i="1"/>
  <c r="CB678" i="1"/>
  <c r="CC678" i="1"/>
  <c r="CD678" i="1"/>
  <c r="CE678" i="1"/>
  <c r="CF678" i="1"/>
  <c r="CG678" i="1"/>
  <c r="CH678" i="1"/>
  <c r="J679" i="1"/>
  <c r="BX679" i="1"/>
  <c r="BY679" i="1"/>
  <c r="BZ679" i="1"/>
  <c r="CA679" i="1"/>
  <c r="CB679" i="1"/>
  <c r="CC679" i="1"/>
  <c r="CD679" i="1"/>
  <c r="CE679" i="1"/>
  <c r="CF679" i="1"/>
  <c r="CG679" i="1"/>
  <c r="CH679" i="1"/>
  <c r="J680" i="1"/>
  <c r="BX680" i="1"/>
  <c r="BY680" i="1"/>
  <c r="BZ680" i="1"/>
  <c r="CA680" i="1"/>
  <c r="CB680" i="1"/>
  <c r="CC680" i="1"/>
  <c r="CD680" i="1"/>
  <c r="CE680" i="1"/>
  <c r="CF680" i="1"/>
  <c r="CG680" i="1"/>
  <c r="CH680" i="1"/>
  <c r="J681" i="1"/>
  <c r="BX681" i="1"/>
  <c r="BY681" i="1"/>
  <c r="BZ681" i="1"/>
  <c r="CA681" i="1"/>
  <c r="CB681" i="1"/>
  <c r="CC681" i="1"/>
  <c r="CD681" i="1"/>
  <c r="CE681" i="1"/>
  <c r="CF681" i="1"/>
  <c r="CG681" i="1"/>
  <c r="CH681" i="1"/>
  <c r="J682" i="1"/>
  <c r="BX682" i="1"/>
  <c r="BY682" i="1"/>
  <c r="BZ682" i="1"/>
  <c r="CA682" i="1"/>
  <c r="CB682" i="1"/>
  <c r="CC682" i="1"/>
  <c r="CD682" i="1"/>
  <c r="CE682" i="1"/>
  <c r="CF682" i="1"/>
  <c r="CG682" i="1"/>
  <c r="CH682" i="1"/>
  <c r="J683" i="1"/>
  <c r="BX683" i="1"/>
  <c r="BY683" i="1"/>
  <c r="BZ683" i="1"/>
  <c r="CA683" i="1"/>
  <c r="CB683" i="1"/>
  <c r="CC683" i="1"/>
  <c r="CD683" i="1"/>
  <c r="CE683" i="1"/>
  <c r="CF683" i="1"/>
  <c r="CG683" i="1"/>
  <c r="CH683" i="1"/>
  <c r="J684" i="1"/>
  <c r="BX684" i="1"/>
  <c r="BY684" i="1"/>
  <c r="BZ684" i="1"/>
  <c r="CA684" i="1"/>
  <c r="CB684" i="1"/>
  <c r="CC684" i="1"/>
  <c r="CD684" i="1"/>
  <c r="CE684" i="1"/>
  <c r="CF684" i="1"/>
  <c r="CG684" i="1"/>
  <c r="CH684" i="1"/>
  <c r="J685" i="1"/>
  <c r="BX685" i="1"/>
  <c r="BY685" i="1"/>
  <c r="BZ685" i="1"/>
  <c r="CA685" i="1"/>
  <c r="CB685" i="1"/>
  <c r="CC685" i="1"/>
  <c r="CD685" i="1"/>
  <c r="CE685" i="1"/>
  <c r="CF685" i="1"/>
  <c r="CG685" i="1"/>
  <c r="CH685" i="1"/>
  <c r="J686" i="1"/>
  <c r="BX686" i="1"/>
  <c r="BY686" i="1"/>
  <c r="BZ686" i="1"/>
  <c r="CA686" i="1"/>
  <c r="CB686" i="1"/>
  <c r="CC686" i="1"/>
  <c r="CD686" i="1"/>
  <c r="CE686" i="1"/>
  <c r="CF686" i="1"/>
  <c r="CG686" i="1"/>
  <c r="CH686" i="1"/>
  <c r="J687" i="1"/>
  <c r="BX687" i="1"/>
  <c r="BY687" i="1"/>
  <c r="BZ687" i="1"/>
  <c r="CA687" i="1"/>
  <c r="CB687" i="1"/>
  <c r="CC687" i="1"/>
  <c r="CD687" i="1"/>
  <c r="CE687" i="1"/>
  <c r="CF687" i="1"/>
  <c r="CG687" i="1"/>
  <c r="CH687" i="1"/>
  <c r="J688" i="1"/>
  <c r="BX688" i="1"/>
  <c r="BY688" i="1"/>
  <c r="BZ688" i="1"/>
  <c r="CA688" i="1"/>
  <c r="CB688" i="1"/>
  <c r="CC688" i="1"/>
  <c r="CD688" i="1"/>
  <c r="CE688" i="1"/>
  <c r="CF688" i="1"/>
  <c r="CG688" i="1"/>
  <c r="CH688" i="1"/>
  <c r="J689" i="1"/>
  <c r="BX689" i="1"/>
  <c r="BY689" i="1"/>
  <c r="BZ689" i="1"/>
  <c r="CA689" i="1"/>
  <c r="CB689" i="1"/>
  <c r="CC689" i="1"/>
  <c r="CD689" i="1"/>
  <c r="CE689" i="1"/>
  <c r="CF689" i="1"/>
  <c r="CG689" i="1"/>
  <c r="CH689" i="1"/>
  <c r="J690" i="1"/>
  <c r="BX690" i="1"/>
  <c r="BY690" i="1"/>
  <c r="BZ690" i="1"/>
  <c r="CA690" i="1"/>
  <c r="CB690" i="1"/>
  <c r="CC690" i="1"/>
  <c r="CD690" i="1"/>
  <c r="CE690" i="1"/>
  <c r="CF690" i="1"/>
  <c r="CG690" i="1"/>
  <c r="CH690" i="1"/>
  <c r="J691" i="1"/>
  <c r="BX691" i="1"/>
  <c r="BY691" i="1"/>
  <c r="BZ691" i="1"/>
  <c r="CA691" i="1"/>
  <c r="CB691" i="1"/>
  <c r="CC691" i="1"/>
  <c r="CD691" i="1"/>
  <c r="CE691" i="1"/>
  <c r="CF691" i="1"/>
  <c r="CG691" i="1"/>
  <c r="CH691" i="1"/>
  <c r="J692" i="1"/>
  <c r="BX692" i="1"/>
  <c r="BY692" i="1"/>
  <c r="BZ692" i="1"/>
  <c r="CA692" i="1"/>
  <c r="CB692" i="1"/>
  <c r="CC692" i="1"/>
  <c r="CD692" i="1"/>
  <c r="CE692" i="1"/>
  <c r="CF692" i="1"/>
  <c r="CG692" i="1"/>
  <c r="CH692" i="1"/>
  <c r="J693" i="1"/>
  <c r="BX693" i="1"/>
  <c r="BY693" i="1"/>
  <c r="BZ693" i="1"/>
  <c r="CA693" i="1"/>
  <c r="CB693" i="1"/>
  <c r="CC693" i="1"/>
  <c r="CD693" i="1"/>
  <c r="CE693" i="1"/>
  <c r="CF693" i="1"/>
  <c r="CG693" i="1"/>
  <c r="CH693" i="1"/>
  <c r="J694" i="1"/>
  <c r="BX694" i="1"/>
  <c r="BY694" i="1"/>
  <c r="BZ694" i="1"/>
  <c r="CA694" i="1"/>
  <c r="CB694" i="1"/>
  <c r="CC694" i="1"/>
  <c r="CD694" i="1"/>
  <c r="CE694" i="1"/>
  <c r="CF694" i="1"/>
  <c r="CG694" i="1"/>
  <c r="CH694" i="1"/>
  <c r="J695" i="1"/>
  <c r="BX695" i="1"/>
  <c r="BY695" i="1"/>
  <c r="BZ695" i="1"/>
  <c r="CA695" i="1"/>
  <c r="CB695" i="1"/>
  <c r="CC695" i="1"/>
  <c r="CD695" i="1"/>
  <c r="CE695" i="1"/>
  <c r="CF695" i="1"/>
  <c r="CG695" i="1"/>
  <c r="CH695" i="1"/>
  <c r="BX696" i="1"/>
  <c r="BY696" i="1"/>
  <c r="BZ696" i="1"/>
  <c r="CA696" i="1"/>
  <c r="CB696" i="1"/>
  <c r="CC696" i="1"/>
  <c r="CD696" i="1"/>
  <c r="CE696" i="1"/>
  <c r="CF696" i="1"/>
  <c r="CG696" i="1"/>
  <c r="CH696" i="1"/>
  <c r="J697" i="1"/>
  <c r="BX697" i="1"/>
  <c r="BY697" i="1"/>
  <c r="BZ697" i="1"/>
  <c r="CA697" i="1"/>
  <c r="CB697" i="1"/>
  <c r="CC697" i="1"/>
  <c r="CD697" i="1"/>
  <c r="CE697" i="1"/>
  <c r="CF697" i="1"/>
  <c r="CG697" i="1"/>
  <c r="CH697" i="1"/>
  <c r="J698" i="1"/>
  <c r="BX698" i="1"/>
  <c r="BY698" i="1"/>
  <c r="BZ698" i="1"/>
  <c r="CA698" i="1"/>
  <c r="CB698" i="1"/>
  <c r="CC698" i="1"/>
  <c r="CD698" i="1"/>
  <c r="CE698" i="1"/>
  <c r="CF698" i="1"/>
  <c r="CG698" i="1"/>
  <c r="CH698" i="1"/>
  <c r="J699" i="1"/>
  <c r="BX699" i="1"/>
  <c r="BY699" i="1"/>
  <c r="BZ699" i="1"/>
  <c r="CA699" i="1"/>
  <c r="CB699" i="1"/>
  <c r="CC699" i="1"/>
  <c r="CD699" i="1"/>
  <c r="CE699" i="1"/>
  <c r="CF699" i="1"/>
  <c r="CG699" i="1"/>
  <c r="CH699" i="1"/>
  <c r="J700" i="1"/>
  <c r="BX700" i="1"/>
  <c r="BY700" i="1"/>
  <c r="BZ700" i="1"/>
  <c r="CA700" i="1"/>
  <c r="CB700" i="1"/>
  <c r="CC700" i="1"/>
  <c r="CD700" i="1"/>
  <c r="CE700" i="1"/>
  <c r="CF700" i="1"/>
  <c r="CG700" i="1"/>
  <c r="CH700" i="1"/>
  <c r="J701" i="1"/>
  <c r="BX701" i="1"/>
  <c r="BY701" i="1"/>
  <c r="BZ701" i="1"/>
  <c r="CA701" i="1"/>
  <c r="CB701" i="1"/>
  <c r="CC701" i="1"/>
  <c r="CD701" i="1"/>
  <c r="CE701" i="1"/>
  <c r="CF701" i="1"/>
  <c r="CG701" i="1"/>
  <c r="CH701" i="1"/>
  <c r="J702" i="1"/>
  <c r="BX702" i="1"/>
  <c r="BY702" i="1"/>
  <c r="BZ702" i="1"/>
  <c r="CA702" i="1"/>
  <c r="CB702" i="1"/>
  <c r="CC702" i="1"/>
  <c r="CD702" i="1"/>
  <c r="CE702" i="1"/>
  <c r="CF702" i="1"/>
  <c r="CG702" i="1"/>
  <c r="CH702" i="1"/>
  <c r="J703" i="1"/>
  <c r="BX703" i="1"/>
  <c r="BY703" i="1"/>
  <c r="BZ703" i="1"/>
  <c r="CA703" i="1"/>
  <c r="CB703" i="1"/>
  <c r="CC703" i="1"/>
  <c r="CD703" i="1"/>
  <c r="CE703" i="1"/>
  <c r="CF703" i="1"/>
  <c r="CG703" i="1"/>
  <c r="CH703" i="1"/>
  <c r="J704" i="1"/>
  <c r="BX704" i="1"/>
  <c r="BY704" i="1"/>
  <c r="BZ704" i="1"/>
  <c r="CA704" i="1"/>
  <c r="CB704" i="1"/>
  <c r="CC704" i="1"/>
  <c r="CD704" i="1"/>
  <c r="CE704" i="1"/>
  <c r="CF704" i="1"/>
  <c r="CG704" i="1"/>
  <c r="CH704" i="1"/>
  <c r="J705" i="1"/>
  <c r="BX705" i="1"/>
  <c r="BY705" i="1"/>
  <c r="BZ705" i="1"/>
  <c r="CA705" i="1"/>
  <c r="CB705" i="1"/>
  <c r="CC705" i="1"/>
  <c r="CD705" i="1"/>
  <c r="CE705" i="1"/>
  <c r="CF705" i="1"/>
  <c r="CG705" i="1"/>
  <c r="CH705" i="1"/>
  <c r="BX706" i="1"/>
  <c r="BY706" i="1"/>
  <c r="BZ706" i="1"/>
  <c r="CA706" i="1"/>
  <c r="CB706" i="1"/>
  <c r="CC706" i="1"/>
  <c r="CD706" i="1"/>
  <c r="CE706" i="1"/>
  <c r="CF706" i="1"/>
  <c r="CG706" i="1"/>
  <c r="CH706" i="1"/>
  <c r="J707" i="1"/>
  <c r="BX707" i="1"/>
  <c r="BY707" i="1"/>
  <c r="BZ707" i="1"/>
  <c r="CA707" i="1"/>
  <c r="CB707" i="1"/>
  <c r="CC707" i="1"/>
  <c r="CD707" i="1"/>
  <c r="CE707" i="1"/>
  <c r="CF707" i="1"/>
  <c r="CG707" i="1"/>
  <c r="CH707" i="1"/>
  <c r="J708" i="1"/>
  <c r="BX708" i="1"/>
  <c r="BY708" i="1"/>
  <c r="BZ708" i="1"/>
  <c r="CA708" i="1"/>
  <c r="CB708" i="1"/>
  <c r="CC708" i="1"/>
  <c r="CD708" i="1"/>
  <c r="CE708" i="1"/>
  <c r="CF708" i="1"/>
  <c r="CG708" i="1"/>
  <c r="CH708" i="1"/>
  <c r="J709" i="1"/>
  <c r="BX709" i="1"/>
  <c r="BY709" i="1"/>
  <c r="BZ709" i="1"/>
  <c r="CA709" i="1"/>
  <c r="CB709" i="1"/>
  <c r="CC709" i="1"/>
  <c r="CD709" i="1"/>
  <c r="CE709" i="1"/>
  <c r="CF709" i="1"/>
  <c r="CG709" i="1"/>
  <c r="CH709" i="1"/>
  <c r="J710" i="1"/>
  <c r="BX710" i="1"/>
  <c r="BY710" i="1"/>
  <c r="BZ710" i="1"/>
  <c r="CA710" i="1"/>
  <c r="CB710" i="1"/>
  <c r="CC710" i="1"/>
  <c r="CD710" i="1"/>
  <c r="CE710" i="1"/>
  <c r="CF710" i="1"/>
  <c r="CG710" i="1"/>
  <c r="CH710" i="1"/>
  <c r="J711" i="1"/>
  <c r="BX711" i="1"/>
  <c r="BY711" i="1"/>
  <c r="BZ711" i="1"/>
  <c r="CA711" i="1"/>
  <c r="CB711" i="1"/>
  <c r="CC711" i="1"/>
  <c r="CD711" i="1"/>
  <c r="CE711" i="1"/>
  <c r="CF711" i="1"/>
  <c r="CG711" i="1"/>
  <c r="CH711" i="1"/>
  <c r="J712" i="1"/>
  <c r="BX712" i="1"/>
  <c r="BY712" i="1"/>
  <c r="BZ712" i="1"/>
  <c r="CA712" i="1"/>
  <c r="CB712" i="1"/>
  <c r="CC712" i="1"/>
  <c r="CD712" i="1"/>
  <c r="CE712" i="1"/>
  <c r="CF712" i="1"/>
  <c r="CG712" i="1"/>
  <c r="CH712" i="1"/>
  <c r="J713" i="1"/>
  <c r="BX713" i="1"/>
  <c r="BY713" i="1"/>
  <c r="BZ713" i="1"/>
  <c r="CA713" i="1"/>
  <c r="CB713" i="1"/>
  <c r="CC713" i="1"/>
  <c r="CD713" i="1"/>
  <c r="CE713" i="1"/>
  <c r="CF713" i="1"/>
  <c r="CG713" i="1"/>
  <c r="CH713" i="1"/>
  <c r="BX714" i="1"/>
  <c r="BY714" i="1"/>
  <c r="BZ714" i="1"/>
  <c r="CA714" i="1"/>
  <c r="CB714" i="1"/>
  <c r="CC714" i="1"/>
  <c r="CD714" i="1"/>
  <c r="CE714" i="1"/>
  <c r="CF714" i="1"/>
  <c r="CG714" i="1"/>
  <c r="CH714" i="1"/>
  <c r="J715" i="1"/>
  <c r="BX715" i="1"/>
  <c r="BY715" i="1"/>
  <c r="BZ715" i="1"/>
  <c r="CA715" i="1"/>
  <c r="CB715" i="1"/>
  <c r="CC715" i="1"/>
  <c r="CD715" i="1"/>
  <c r="CE715" i="1"/>
  <c r="CF715" i="1"/>
  <c r="CG715" i="1"/>
  <c r="CH715" i="1"/>
  <c r="J716" i="1"/>
  <c r="BX716" i="1"/>
  <c r="BY716" i="1"/>
  <c r="BZ716" i="1"/>
  <c r="CA716" i="1"/>
  <c r="CB716" i="1"/>
  <c r="CC716" i="1"/>
  <c r="CD716" i="1"/>
  <c r="CE716" i="1"/>
  <c r="CF716" i="1"/>
  <c r="CG716" i="1"/>
  <c r="CH716" i="1"/>
  <c r="J717" i="1"/>
  <c r="BX717" i="1"/>
  <c r="BY717" i="1"/>
  <c r="BZ717" i="1"/>
  <c r="CA717" i="1"/>
  <c r="CB717" i="1"/>
  <c r="CC717" i="1"/>
  <c r="CD717" i="1"/>
  <c r="CE717" i="1"/>
  <c r="CF717" i="1"/>
  <c r="CG717" i="1"/>
  <c r="CH717" i="1"/>
  <c r="J718" i="1"/>
  <c r="BX718" i="1"/>
  <c r="BY718" i="1"/>
  <c r="BZ718" i="1"/>
  <c r="CA718" i="1"/>
  <c r="CB718" i="1"/>
  <c r="CC718" i="1"/>
  <c r="CD718" i="1"/>
  <c r="CE718" i="1"/>
  <c r="CF718" i="1"/>
  <c r="CG718" i="1"/>
  <c r="CH718" i="1"/>
  <c r="J719" i="1"/>
  <c r="BX719" i="1"/>
  <c r="BY719" i="1"/>
  <c r="BZ719" i="1"/>
  <c r="CA719" i="1"/>
  <c r="CB719" i="1"/>
  <c r="CC719" i="1"/>
  <c r="CD719" i="1"/>
  <c r="CE719" i="1"/>
  <c r="CF719" i="1"/>
  <c r="CG719" i="1"/>
  <c r="CH719" i="1"/>
  <c r="J720" i="1"/>
  <c r="BX720" i="1"/>
  <c r="BY720" i="1"/>
  <c r="BZ720" i="1"/>
  <c r="CA720" i="1"/>
  <c r="CB720" i="1"/>
  <c r="CC720" i="1"/>
  <c r="CD720" i="1"/>
  <c r="CE720" i="1"/>
  <c r="CF720" i="1"/>
  <c r="CG720" i="1"/>
  <c r="CH720" i="1"/>
  <c r="J721" i="1"/>
  <c r="BX721" i="1"/>
  <c r="BY721" i="1"/>
  <c r="BZ721" i="1"/>
  <c r="CA721" i="1"/>
  <c r="CB721" i="1"/>
  <c r="CC721" i="1"/>
  <c r="CD721" i="1"/>
  <c r="CE721" i="1"/>
  <c r="CF721" i="1"/>
  <c r="CG721" i="1"/>
  <c r="CH721" i="1"/>
  <c r="J722" i="1"/>
  <c r="BX722" i="1"/>
  <c r="BY722" i="1"/>
  <c r="BZ722" i="1"/>
  <c r="CA722" i="1"/>
  <c r="CB722" i="1"/>
  <c r="CC722" i="1"/>
  <c r="CD722" i="1"/>
  <c r="CE722" i="1"/>
  <c r="CF722" i="1"/>
  <c r="CG722" i="1"/>
  <c r="CH722" i="1"/>
  <c r="J723" i="1"/>
  <c r="BX723" i="1"/>
  <c r="BY723" i="1"/>
  <c r="BZ723" i="1"/>
  <c r="CA723" i="1"/>
  <c r="CB723" i="1"/>
  <c r="CC723" i="1"/>
  <c r="CD723" i="1"/>
  <c r="CE723" i="1"/>
  <c r="CF723" i="1"/>
  <c r="CG723" i="1"/>
  <c r="CH723" i="1"/>
  <c r="J724" i="1"/>
  <c r="BX724" i="1"/>
  <c r="BY724" i="1"/>
  <c r="BZ724" i="1"/>
  <c r="CA724" i="1"/>
  <c r="CB724" i="1"/>
  <c r="CC724" i="1"/>
  <c r="CD724" i="1"/>
  <c r="CE724" i="1"/>
  <c r="CF724" i="1"/>
  <c r="CG724" i="1"/>
  <c r="CH724" i="1"/>
  <c r="J725" i="1"/>
  <c r="BX725" i="1"/>
  <c r="BY725" i="1"/>
  <c r="BZ725" i="1"/>
  <c r="CA725" i="1"/>
  <c r="CB725" i="1"/>
  <c r="CC725" i="1"/>
  <c r="CD725" i="1"/>
  <c r="CE725" i="1"/>
  <c r="CF725" i="1"/>
  <c r="CG725" i="1"/>
  <c r="CH725" i="1"/>
  <c r="J726" i="1"/>
  <c r="BX726" i="1"/>
  <c r="BY726" i="1"/>
  <c r="BZ726" i="1"/>
  <c r="CA726" i="1"/>
  <c r="CB726" i="1"/>
  <c r="CC726" i="1"/>
  <c r="CD726" i="1"/>
  <c r="CE726" i="1"/>
  <c r="CF726" i="1"/>
  <c r="CG726" i="1"/>
  <c r="CH726" i="1"/>
  <c r="J727" i="1"/>
  <c r="BX727" i="1"/>
  <c r="BY727" i="1"/>
  <c r="BZ727" i="1"/>
  <c r="CA727" i="1"/>
  <c r="CB727" i="1"/>
  <c r="CC727" i="1"/>
  <c r="CD727" i="1"/>
  <c r="CE727" i="1"/>
  <c r="CF727" i="1"/>
  <c r="CG727" i="1"/>
  <c r="CH727" i="1"/>
  <c r="J728" i="1"/>
  <c r="BX728" i="1"/>
  <c r="BY728" i="1"/>
  <c r="BZ728" i="1"/>
  <c r="CA728" i="1"/>
  <c r="CB728" i="1"/>
  <c r="CC728" i="1"/>
  <c r="CD728" i="1"/>
  <c r="CE728" i="1"/>
  <c r="CF728" i="1"/>
  <c r="CG728" i="1"/>
  <c r="CH728" i="1"/>
  <c r="J729" i="1"/>
  <c r="BX729" i="1"/>
  <c r="BY729" i="1"/>
  <c r="BZ729" i="1"/>
  <c r="CA729" i="1"/>
  <c r="CB729" i="1"/>
  <c r="CC729" i="1"/>
  <c r="CD729" i="1"/>
  <c r="CE729" i="1"/>
  <c r="CF729" i="1"/>
  <c r="CG729" i="1"/>
  <c r="CH729" i="1"/>
  <c r="J730" i="1"/>
  <c r="BX730" i="1"/>
  <c r="BY730" i="1"/>
  <c r="BZ730" i="1"/>
  <c r="CA730" i="1"/>
  <c r="CB730" i="1"/>
  <c r="CC730" i="1"/>
  <c r="CD730" i="1"/>
  <c r="CE730" i="1"/>
  <c r="CF730" i="1"/>
  <c r="CG730" i="1"/>
  <c r="CH730" i="1"/>
  <c r="J731" i="1"/>
  <c r="BX731" i="1"/>
  <c r="BY731" i="1"/>
  <c r="BZ731" i="1"/>
  <c r="CA731" i="1"/>
  <c r="CB731" i="1"/>
  <c r="CC731" i="1"/>
  <c r="CD731" i="1"/>
  <c r="CE731" i="1"/>
  <c r="CF731" i="1"/>
  <c r="CG731" i="1"/>
  <c r="CH731" i="1"/>
  <c r="J732" i="1"/>
  <c r="BX732" i="1"/>
  <c r="BY732" i="1"/>
  <c r="BZ732" i="1"/>
  <c r="CA732" i="1"/>
  <c r="CB732" i="1"/>
  <c r="CC732" i="1"/>
  <c r="CD732" i="1"/>
  <c r="CE732" i="1"/>
  <c r="CF732" i="1"/>
  <c r="CG732" i="1"/>
  <c r="CH732" i="1"/>
  <c r="J733" i="1"/>
  <c r="BX733" i="1"/>
  <c r="BY733" i="1"/>
  <c r="BZ733" i="1"/>
  <c r="CA733" i="1"/>
  <c r="CB733" i="1"/>
  <c r="CC733" i="1"/>
  <c r="CD733" i="1"/>
  <c r="CE733" i="1"/>
  <c r="CF733" i="1"/>
  <c r="CG733" i="1"/>
  <c r="CH733" i="1"/>
  <c r="J734" i="1"/>
  <c r="BX734" i="1"/>
  <c r="BY734" i="1"/>
  <c r="BZ734" i="1"/>
  <c r="CA734" i="1"/>
  <c r="CB734" i="1"/>
  <c r="CC734" i="1"/>
  <c r="CD734" i="1"/>
  <c r="CE734" i="1"/>
  <c r="CF734" i="1"/>
  <c r="CG734" i="1"/>
  <c r="CH734" i="1"/>
  <c r="J735" i="1"/>
  <c r="BX735" i="1"/>
  <c r="BY735" i="1"/>
  <c r="BZ735" i="1"/>
  <c r="CA735" i="1"/>
  <c r="CB735" i="1"/>
  <c r="CC735" i="1"/>
  <c r="CD735" i="1"/>
  <c r="CE735" i="1"/>
  <c r="CF735" i="1"/>
  <c r="CG735" i="1"/>
  <c r="CH735" i="1"/>
  <c r="J736" i="1"/>
  <c r="BX736" i="1"/>
  <c r="BY736" i="1"/>
  <c r="BZ736" i="1"/>
  <c r="CA736" i="1"/>
  <c r="CB736" i="1"/>
  <c r="CC736" i="1"/>
  <c r="CD736" i="1"/>
  <c r="CE736" i="1"/>
  <c r="CF736" i="1"/>
  <c r="CG736" i="1"/>
  <c r="CH736" i="1"/>
  <c r="J737" i="1"/>
  <c r="BX737" i="1"/>
  <c r="BY737" i="1"/>
  <c r="BZ737" i="1"/>
  <c r="CA737" i="1"/>
  <c r="CB737" i="1"/>
  <c r="CC737" i="1"/>
  <c r="CD737" i="1"/>
  <c r="CE737" i="1"/>
  <c r="CF737" i="1"/>
  <c r="CG737" i="1"/>
  <c r="CH737" i="1"/>
  <c r="J738" i="1"/>
  <c r="BX738" i="1"/>
  <c r="BY738" i="1"/>
  <c r="BZ738" i="1"/>
  <c r="CA738" i="1"/>
  <c r="CB738" i="1"/>
  <c r="CC738" i="1"/>
  <c r="CD738" i="1"/>
  <c r="CE738" i="1"/>
  <c r="CF738" i="1"/>
  <c r="CG738" i="1"/>
  <c r="CH738" i="1"/>
  <c r="J739" i="1"/>
  <c r="BX739" i="1"/>
  <c r="BY739" i="1"/>
  <c r="BZ739" i="1"/>
  <c r="CA739" i="1"/>
  <c r="CB739" i="1"/>
  <c r="CC739" i="1"/>
  <c r="CD739" i="1"/>
  <c r="CE739" i="1"/>
  <c r="CF739" i="1"/>
  <c r="CG739" i="1"/>
  <c r="CH739" i="1"/>
  <c r="J740" i="1"/>
  <c r="BX740" i="1"/>
  <c r="BY740" i="1"/>
  <c r="BZ740" i="1"/>
  <c r="CA740" i="1"/>
  <c r="CB740" i="1"/>
  <c r="CC740" i="1"/>
  <c r="CD740" i="1"/>
  <c r="CE740" i="1"/>
  <c r="CF740" i="1"/>
  <c r="CG740" i="1"/>
  <c r="CH740" i="1"/>
  <c r="J741" i="1"/>
  <c r="BX741" i="1"/>
  <c r="BY741" i="1"/>
  <c r="BZ741" i="1"/>
  <c r="CA741" i="1"/>
  <c r="CB741" i="1"/>
  <c r="CC741" i="1"/>
  <c r="CD741" i="1"/>
  <c r="CE741" i="1"/>
  <c r="CF741" i="1"/>
  <c r="CG741" i="1"/>
  <c r="CH741" i="1"/>
  <c r="J742" i="1"/>
  <c r="BX742" i="1"/>
  <c r="BY742" i="1"/>
  <c r="BZ742" i="1"/>
  <c r="CA742" i="1"/>
  <c r="CB742" i="1"/>
  <c r="CC742" i="1"/>
  <c r="CD742" i="1"/>
  <c r="CE742" i="1"/>
  <c r="CF742" i="1"/>
  <c r="CG742" i="1"/>
  <c r="CH742" i="1"/>
  <c r="J743" i="1"/>
  <c r="BX743" i="1"/>
  <c r="BY743" i="1"/>
  <c r="BZ743" i="1"/>
  <c r="CA743" i="1"/>
  <c r="CB743" i="1"/>
  <c r="CC743" i="1"/>
  <c r="CD743" i="1"/>
  <c r="CE743" i="1"/>
  <c r="CF743" i="1"/>
  <c r="CG743" i="1"/>
  <c r="CH743" i="1"/>
  <c r="J744" i="1"/>
  <c r="BX744" i="1"/>
  <c r="BY744" i="1"/>
  <c r="BZ744" i="1"/>
  <c r="CA744" i="1"/>
  <c r="CB744" i="1"/>
  <c r="CC744" i="1"/>
  <c r="CD744" i="1"/>
  <c r="CE744" i="1"/>
  <c r="CF744" i="1"/>
  <c r="CG744" i="1"/>
  <c r="CH744" i="1"/>
  <c r="J745" i="1"/>
  <c r="BX745" i="1"/>
  <c r="BY745" i="1"/>
  <c r="BZ745" i="1"/>
  <c r="CA745" i="1"/>
  <c r="CB745" i="1"/>
  <c r="CC745" i="1"/>
  <c r="CD745" i="1"/>
  <c r="CE745" i="1"/>
  <c r="CF745" i="1"/>
  <c r="CG745" i="1"/>
  <c r="CH745" i="1"/>
  <c r="J746" i="1"/>
  <c r="BX746" i="1"/>
  <c r="BY746" i="1"/>
  <c r="BZ746" i="1"/>
  <c r="CA746" i="1"/>
  <c r="CB746" i="1"/>
  <c r="CC746" i="1"/>
  <c r="CD746" i="1"/>
  <c r="CE746" i="1"/>
  <c r="CF746" i="1"/>
  <c r="CG746" i="1"/>
  <c r="CH746" i="1"/>
  <c r="J747" i="1"/>
  <c r="BX747" i="1"/>
  <c r="BY747" i="1"/>
  <c r="BZ747" i="1"/>
  <c r="CA747" i="1"/>
  <c r="CB747" i="1"/>
  <c r="CC747" i="1"/>
  <c r="CD747" i="1"/>
  <c r="CE747" i="1"/>
  <c r="CF747" i="1"/>
  <c r="CG747" i="1"/>
  <c r="CH747" i="1"/>
  <c r="J748" i="1"/>
  <c r="BX748" i="1"/>
  <c r="BY748" i="1"/>
  <c r="BZ748" i="1"/>
  <c r="CA748" i="1"/>
  <c r="CB748" i="1"/>
  <c r="CC748" i="1"/>
  <c r="CD748" i="1"/>
  <c r="CE748" i="1"/>
  <c r="CF748" i="1"/>
  <c r="CG748" i="1"/>
  <c r="CH748" i="1"/>
  <c r="J749" i="1"/>
  <c r="BX749" i="1"/>
  <c r="BY749" i="1"/>
  <c r="BZ749" i="1"/>
  <c r="CA749" i="1"/>
  <c r="CB749" i="1"/>
  <c r="CC749" i="1"/>
  <c r="CD749" i="1"/>
  <c r="CE749" i="1"/>
  <c r="CF749" i="1"/>
  <c r="CG749" i="1"/>
  <c r="CH749" i="1"/>
  <c r="J750" i="1"/>
  <c r="BX750" i="1"/>
  <c r="BY750" i="1"/>
  <c r="BZ750" i="1"/>
  <c r="CA750" i="1"/>
  <c r="CB750" i="1"/>
  <c r="CC750" i="1"/>
  <c r="CD750" i="1"/>
  <c r="CE750" i="1"/>
  <c r="CF750" i="1"/>
  <c r="CG750" i="1"/>
  <c r="CH750" i="1"/>
  <c r="J751" i="1"/>
  <c r="BX751" i="1"/>
  <c r="BY751" i="1"/>
  <c r="BZ751" i="1"/>
  <c r="CA751" i="1"/>
  <c r="CB751" i="1"/>
  <c r="CC751" i="1"/>
  <c r="CD751" i="1"/>
  <c r="CE751" i="1"/>
  <c r="CF751" i="1"/>
  <c r="CG751" i="1"/>
  <c r="CH751" i="1"/>
  <c r="J752" i="1"/>
  <c r="BX752" i="1"/>
  <c r="BY752" i="1"/>
  <c r="BZ752" i="1"/>
  <c r="CA752" i="1"/>
  <c r="CB752" i="1"/>
  <c r="CC752" i="1"/>
  <c r="CD752" i="1"/>
  <c r="CE752" i="1"/>
  <c r="CF752" i="1"/>
  <c r="CG752" i="1"/>
  <c r="CH752" i="1"/>
  <c r="J753" i="1"/>
  <c r="BX753" i="1"/>
  <c r="BY753" i="1"/>
  <c r="BZ753" i="1"/>
  <c r="CA753" i="1"/>
  <c r="CB753" i="1"/>
  <c r="CC753" i="1"/>
  <c r="CD753" i="1"/>
  <c r="CE753" i="1"/>
  <c r="CF753" i="1"/>
  <c r="CG753" i="1"/>
  <c r="CH753" i="1"/>
  <c r="J754" i="1"/>
  <c r="BX754" i="1"/>
  <c r="BY754" i="1"/>
  <c r="BZ754" i="1"/>
  <c r="CA754" i="1"/>
  <c r="CB754" i="1"/>
  <c r="CC754" i="1"/>
  <c r="CD754" i="1"/>
  <c r="CE754" i="1"/>
  <c r="CF754" i="1"/>
  <c r="CG754" i="1"/>
  <c r="CH754" i="1"/>
  <c r="J755" i="1"/>
  <c r="BX755" i="1"/>
  <c r="BY755" i="1"/>
  <c r="BZ755" i="1"/>
  <c r="CA755" i="1"/>
  <c r="CB755" i="1"/>
  <c r="CC755" i="1"/>
  <c r="CD755" i="1"/>
  <c r="CE755" i="1"/>
  <c r="CF755" i="1"/>
  <c r="CG755" i="1"/>
  <c r="CH755" i="1"/>
  <c r="J756" i="1"/>
  <c r="BX756" i="1"/>
  <c r="BY756" i="1"/>
  <c r="BZ756" i="1"/>
  <c r="CA756" i="1"/>
  <c r="CB756" i="1"/>
  <c r="CC756" i="1"/>
  <c r="CD756" i="1"/>
  <c r="CE756" i="1"/>
  <c r="CF756" i="1"/>
  <c r="CG756" i="1"/>
  <c r="CH756" i="1"/>
  <c r="J757" i="1"/>
  <c r="BX757" i="1"/>
  <c r="BY757" i="1"/>
  <c r="BZ757" i="1"/>
  <c r="CA757" i="1"/>
  <c r="CB757" i="1"/>
  <c r="CC757" i="1"/>
  <c r="CD757" i="1"/>
  <c r="CE757" i="1"/>
  <c r="CF757" i="1"/>
  <c r="CG757" i="1"/>
  <c r="CH757" i="1"/>
  <c r="J758" i="1"/>
  <c r="BX758" i="1"/>
  <c r="BY758" i="1"/>
  <c r="BZ758" i="1"/>
  <c r="CA758" i="1"/>
  <c r="CB758" i="1"/>
  <c r="CC758" i="1"/>
  <c r="CD758" i="1"/>
  <c r="CE758" i="1"/>
  <c r="CF758" i="1"/>
  <c r="CG758" i="1"/>
  <c r="CH758" i="1"/>
  <c r="J759" i="1"/>
  <c r="BX759" i="1"/>
  <c r="BY759" i="1"/>
  <c r="BZ759" i="1"/>
  <c r="CA759" i="1"/>
  <c r="CB759" i="1"/>
  <c r="CC759" i="1"/>
  <c r="CD759" i="1"/>
  <c r="CE759" i="1"/>
  <c r="CF759" i="1"/>
  <c r="CG759" i="1"/>
  <c r="CH759" i="1"/>
  <c r="J760" i="1"/>
  <c r="BX760" i="1"/>
  <c r="BY760" i="1"/>
  <c r="BZ760" i="1"/>
  <c r="CA760" i="1"/>
  <c r="CB760" i="1"/>
  <c r="CC760" i="1"/>
  <c r="CD760" i="1"/>
  <c r="CE760" i="1"/>
  <c r="CF760" i="1"/>
  <c r="CG760" i="1"/>
  <c r="CH760" i="1"/>
  <c r="J761" i="1"/>
  <c r="BX761" i="1"/>
  <c r="BY761" i="1"/>
  <c r="BZ761" i="1"/>
  <c r="CA761" i="1"/>
  <c r="CB761" i="1"/>
  <c r="CC761" i="1"/>
  <c r="CD761" i="1"/>
  <c r="CE761" i="1"/>
  <c r="CF761" i="1"/>
  <c r="CG761" i="1"/>
  <c r="CH761" i="1"/>
  <c r="J762" i="1"/>
  <c r="BX762" i="1"/>
  <c r="BY762" i="1"/>
  <c r="BZ762" i="1"/>
  <c r="CA762" i="1"/>
  <c r="CB762" i="1"/>
  <c r="CC762" i="1"/>
  <c r="CD762" i="1"/>
  <c r="CE762" i="1"/>
  <c r="CF762" i="1"/>
  <c r="CG762" i="1"/>
  <c r="CH762" i="1"/>
  <c r="J763" i="1"/>
  <c r="BX763" i="1"/>
  <c r="BY763" i="1"/>
  <c r="BZ763" i="1"/>
  <c r="CA763" i="1"/>
  <c r="CB763" i="1"/>
  <c r="CC763" i="1"/>
  <c r="CD763" i="1"/>
  <c r="CE763" i="1"/>
  <c r="CF763" i="1"/>
  <c r="CG763" i="1"/>
  <c r="CH763" i="1"/>
  <c r="J764" i="1"/>
  <c r="BX764" i="1"/>
  <c r="BY764" i="1"/>
  <c r="BZ764" i="1"/>
  <c r="CA764" i="1"/>
  <c r="CB764" i="1"/>
  <c r="CC764" i="1"/>
  <c r="CD764" i="1"/>
  <c r="CE764" i="1"/>
  <c r="CF764" i="1"/>
  <c r="CG764" i="1"/>
  <c r="CH764" i="1"/>
  <c r="J765" i="1"/>
  <c r="BX765" i="1"/>
  <c r="BY765" i="1"/>
  <c r="BZ765" i="1"/>
  <c r="CA765" i="1"/>
  <c r="CB765" i="1"/>
  <c r="CC765" i="1"/>
  <c r="CD765" i="1"/>
  <c r="CE765" i="1"/>
  <c r="CF765" i="1"/>
  <c r="CG765" i="1"/>
  <c r="CH765" i="1"/>
  <c r="J766" i="1"/>
  <c r="BX766" i="1"/>
  <c r="BY766" i="1"/>
  <c r="BZ766" i="1"/>
  <c r="CA766" i="1"/>
  <c r="CB766" i="1"/>
  <c r="CC766" i="1"/>
  <c r="CD766" i="1"/>
  <c r="CE766" i="1"/>
  <c r="CF766" i="1"/>
  <c r="CG766" i="1"/>
  <c r="CH766" i="1"/>
  <c r="J767" i="1"/>
  <c r="BX767" i="1"/>
  <c r="BY767" i="1"/>
  <c r="BZ767" i="1"/>
  <c r="CA767" i="1"/>
  <c r="CB767" i="1"/>
  <c r="CC767" i="1"/>
  <c r="CD767" i="1"/>
  <c r="CE767" i="1"/>
  <c r="CF767" i="1"/>
  <c r="CG767" i="1"/>
  <c r="CH767" i="1"/>
  <c r="J768" i="1"/>
  <c r="BX768" i="1"/>
  <c r="BY768" i="1"/>
  <c r="BZ768" i="1"/>
  <c r="CA768" i="1"/>
  <c r="CB768" i="1"/>
  <c r="CC768" i="1"/>
  <c r="CD768" i="1"/>
  <c r="CE768" i="1"/>
  <c r="CF768" i="1"/>
  <c r="CG768" i="1"/>
  <c r="CH768" i="1"/>
  <c r="J769" i="1"/>
  <c r="BX769" i="1"/>
  <c r="BY769" i="1"/>
  <c r="BZ769" i="1"/>
  <c r="CA769" i="1"/>
  <c r="CB769" i="1"/>
  <c r="CC769" i="1"/>
  <c r="CD769" i="1"/>
  <c r="CE769" i="1"/>
  <c r="CF769" i="1"/>
  <c r="CG769" i="1"/>
  <c r="CH769" i="1"/>
  <c r="J770" i="1"/>
  <c r="BX770" i="1"/>
  <c r="BY770" i="1"/>
  <c r="BZ770" i="1"/>
  <c r="CA770" i="1"/>
  <c r="CB770" i="1"/>
  <c r="CC770" i="1"/>
  <c r="CD770" i="1"/>
  <c r="CE770" i="1"/>
  <c r="CF770" i="1"/>
  <c r="CG770" i="1"/>
  <c r="CH770" i="1"/>
  <c r="J771" i="1"/>
  <c r="BX771" i="1"/>
  <c r="BY771" i="1"/>
  <c r="BZ771" i="1"/>
  <c r="CA771" i="1"/>
  <c r="CB771" i="1"/>
  <c r="CC771" i="1"/>
  <c r="CD771" i="1"/>
  <c r="CE771" i="1"/>
  <c r="CF771" i="1"/>
  <c r="CG771" i="1"/>
  <c r="CH771" i="1"/>
  <c r="J772" i="1"/>
  <c r="BX772" i="1"/>
  <c r="BY772" i="1"/>
  <c r="BZ772" i="1"/>
  <c r="CA772" i="1"/>
  <c r="CB772" i="1"/>
  <c r="CC772" i="1"/>
  <c r="CD772" i="1"/>
  <c r="CE772" i="1"/>
  <c r="CF772" i="1"/>
  <c r="CG772" i="1"/>
  <c r="CH772" i="1"/>
  <c r="J773" i="1"/>
  <c r="BX773" i="1"/>
  <c r="BY773" i="1"/>
  <c r="BZ773" i="1"/>
  <c r="CA773" i="1"/>
  <c r="CB773" i="1"/>
  <c r="CC773" i="1"/>
  <c r="CD773" i="1"/>
  <c r="CE773" i="1"/>
  <c r="CF773" i="1"/>
  <c r="CG773" i="1"/>
  <c r="CH773" i="1"/>
  <c r="J774" i="1"/>
  <c r="BX774" i="1"/>
  <c r="BY774" i="1"/>
  <c r="BZ774" i="1"/>
  <c r="CA774" i="1"/>
  <c r="CB774" i="1"/>
  <c r="CC774" i="1"/>
  <c r="CD774" i="1"/>
  <c r="CE774" i="1"/>
  <c r="CF774" i="1"/>
  <c r="CG774" i="1"/>
  <c r="CH774" i="1"/>
  <c r="J775" i="1"/>
  <c r="BX775" i="1"/>
  <c r="BY775" i="1"/>
  <c r="BZ775" i="1"/>
  <c r="CA775" i="1"/>
  <c r="CB775" i="1"/>
  <c r="CC775" i="1"/>
  <c r="CD775" i="1"/>
  <c r="CE775" i="1"/>
  <c r="CF775" i="1"/>
  <c r="CG775" i="1"/>
  <c r="CH775" i="1"/>
  <c r="J776" i="1"/>
  <c r="BX776" i="1"/>
  <c r="BY776" i="1"/>
  <c r="BZ776" i="1"/>
  <c r="CA776" i="1"/>
  <c r="CB776" i="1"/>
  <c r="CC776" i="1"/>
  <c r="CD776" i="1"/>
  <c r="CE776" i="1"/>
  <c r="CF776" i="1"/>
  <c r="CG776" i="1"/>
  <c r="CH776" i="1"/>
  <c r="J777" i="1"/>
  <c r="BX777" i="1"/>
  <c r="BY777" i="1"/>
  <c r="BZ777" i="1"/>
  <c r="CA777" i="1"/>
  <c r="CB777" i="1"/>
  <c r="CC777" i="1"/>
  <c r="CD777" i="1"/>
  <c r="CE777" i="1"/>
  <c r="CF777" i="1"/>
  <c r="CG777" i="1"/>
  <c r="CH777" i="1"/>
  <c r="J778" i="1"/>
  <c r="BX778" i="1"/>
  <c r="BY778" i="1"/>
  <c r="BZ778" i="1"/>
  <c r="CA778" i="1"/>
  <c r="CB778" i="1"/>
  <c r="CC778" i="1"/>
  <c r="CD778" i="1"/>
  <c r="CE778" i="1"/>
  <c r="CF778" i="1"/>
  <c r="CG778" i="1"/>
  <c r="CH778" i="1"/>
  <c r="J779" i="1"/>
  <c r="BX779" i="1"/>
  <c r="BY779" i="1"/>
  <c r="BZ779" i="1"/>
  <c r="CA779" i="1"/>
  <c r="CB779" i="1"/>
  <c r="CC779" i="1"/>
  <c r="CD779" i="1"/>
  <c r="CE779" i="1"/>
  <c r="CF779" i="1"/>
  <c r="CG779" i="1"/>
  <c r="CH779" i="1"/>
  <c r="J780" i="1"/>
  <c r="BX780" i="1"/>
  <c r="BY780" i="1"/>
  <c r="BZ780" i="1"/>
  <c r="CA780" i="1"/>
  <c r="CB780" i="1"/>
  <c r="CC780" i="1"/>
  <c r="CD780" i="1"/>
  <c r="CE780" i="1"/>
  <c r="CF780" i="1"/>
  <c r="CG780" i="1"/>
  <c r="CH780" i="1"/>
  <c r="J781" i="1"/>
  <c r="BX781" i="1"/>
  <c r="BY781" i="1"/>
  <c r="BZ781" i="1"/>
  <c r="CA781" i="1"/>
  <c r="CB781" i="1"/>
  <c r="CC781" i="1"/>
  <c r="CD781" i="1"/>
  <c r="CE781" i="1"/>
  <c r="CF781" i="1"/>
  <c r="CG781" i="1"/>
  <c r="CH781" i="1"/>
  <c r="J782" i="1"/>
  <c r="BX782" i="1"/>
  <c r="BY782" i="1"/>
  <c r="BZ782" i="1"/>
  <c r="CA782" i="1"/>
  <c r="CB782" i="1"/>
  <c r="CC782" i="1"/>
  <c r="CD782" i="1"/>
  <c r="CE782" i="1"/>
  <c r="CF782" i="1"/>
  <c r="CG782" i="1"/>
  <c r="CH782" i="1"/>
  <c r="J783" i="1"/>
  <c r="BX783" i="1"/>
  <c r="BY783" i="1"/>
  <c r="BZ783" i="1"/>
  <c r="CA783" i="1"/>
  <c r="CB783" i="1"/>
  <c r="CC783" i="1"/>
  <c r="CD783" i="1"/>
  <c r="CE783" i="1"/>
  <c r="CF783" i="1"/>
  <c r="CG783" i="1"/>
  <c r="CH783" i="1"/>
  <c r="J784" i="1"/>
  <c r="BX784" i="1"/>
  <c r="BY784" i="1"/>
  <c r="BZ784" i="1"/>
  <c r="CA784" i="1"/>
  <c r="CB784" i="1"/>
  <c r="CC784" i="1"/>
  <c r="CD784" i="1"/>
  <c r="CE784" i="1"/>
  <c r="CF784" i="1"/>
  <c r="CG784" i="1"/>
  <c r="CH784" i="1"/>
  <c r="J785" i="1"/>
  <c r="BX785" i="1"/>
  <c r="BY785" i="1"/>
  <c r="BZ785" i="1"/>
  <c r="CA785" i="1"/>
  <c r="CB785" i="1"/>
  <c r="CC785" i="1"/>
  <c r="CD785" i="1"/>
  <c r="CE785" i="1"/>
  <c r="CF785" i="1"/>
  <c r="CG785" i="1"/>
  <c r="CH785" i="1"/>
  <c r="J786" i="1"/>
  <c r="BX786" i="1"/>
  <c r="BY786" i="1"/>
  <c r="BZ786" i="1"/>
  <c r="CA786" i="1"/>
  <c r="CB786" i="1"/>
  <c r="CC786" i="1"/>
  <c r="CD786" i="1"/>
  <c r="CE786" i="1"/>
  <c r="CF786" i="1"/>
  <c r="CG786" i="1"/>
  <c r="CH786" i="1"/>
  <c r="J787" i="1"/>
  <c r="BX787" i="1"/>
  <c r="BY787" i="1"/>
  <c r="BZ787" i="1"/>
  <c r="CA787" i="1"/>
  <c r="CB787" i="1"/>
  <c r="CC787" i="1"/>
  <c r="CD787" i="1"/>
  <c r="CE787" i="1"/>
  <c r="CF787" i="1"/>
  <c r="CG787" i="1"/>
  <c r="CH787" i="1"/>
  <c r="J788" i="1"/>
  <c r="BX788" i="1"/>
  <c r="BY788" i="1"/>
  <c r="BZ788" i="1"/>
  <c r="CA788" i="1"/>
  <c r="CB788" i="1"/>
  <c r="CC788" i="1"/>
  <c r="CD788" i="1"/>
  <c r="CE788" i="1"/>
  <c r="CF788" i="1"/>
  <c r="CG788" i="1"/>
  <c r="CH788" i="1"/>
  <c r="J789" i="1"/>
  <c r="BX789" i="1"/>
  <c r="BY789" i="1"/>
  <c r="BZ789" i="1"/>
  <c r="CA789" i="1"/>
  <c r="CB789" i="1"/>
  <c r="CC789" i="1"/>
  <c r="CD789" i="1"/>
  <c r="CE789" i="1"/>
  <c r="CF789" i="1"/>
  <c r="CG789" i="1"/>
  <c r="CH789" i="1"/>
  <c r="J790" i="1"/>
  <c r="BX790" i="1"/>
  <c r="BY790" i="1"/>
  <c r="BZ790" i="1"/>
  <c r="CA790" i="1"/>
  <c r="CB790" i="1"/>
  <c r="CC790" i="1"/>
  <c r="CD790" i="1"/>
  <c r="CE790" i="1"/>
  <c r="CF790" i="1"/>
  <c r="CG790" i="1"/>
  <c r="CH790" i="1"/>
  <c r="J791" i="1"/>
  <c r="BX791" i="1"/>
  <c r="BY791" i="1"/>
  <c r="BZ791" i="1"/>
  <c r="CA791" i="1"/>
  <c r="CB791" i="1"/>
  <c r="CC791" i="1"/>
  <c r="CD791" i="1"/>
  <c r="CE791" i="1"/>
  <c r="CF791" i="1"/>
  <c r="CG791" i="1"/>
  <c r="CH791" i="1"/>
  <c r="J792" i="1"/>
  <c r="BX792" i="1"/>
  <c r="BY792" i="1"/>
  <c r="BZ792" i="1"/>
  <c r="CA792" i="1"/>
  <c r="CB792" i="1"/>
  <c r="CC792" i="1"/>
  <c r="CD792" i="1"/>
  <c r="CE792" i="1"/>
  <c r="CF792" i="1"/>
  <c r="CG792" i="1"/>
  <c r="CH792" i="1"/>
  <c r="J793" i="1"/>
  <c r="BX793" i="1"/>
  <c r="BY793" i="1"/>
  <c r="BZ793" i="1"/>
  <c r="CA793" i="1"/>
  <c r="CB793" i="1"/>
  <c r="CC793" i="1"/>
  <c r="CD793" i="1"/>
  <c r="CE793" i="1"/>
  <c r="CF793" i="1"/>
  <c r="CG793" i="1"/>
  <c r="CH793" i="1"/>
  <c r="J794" i="1"/>
  <c r="BX794" i="1"/>
  <c r="BY794" i="1"/>
  <c r="BZ794" i="1"/>
  <c r="CA794" i="1"/>
  <c r="CB794" i="1"/>
  <c r="CC794" i="1"/>
  <c r="CD794" i="1"/>
  <c r="CE794" i="1"/>
  <c r="CF794" i="1"/>
  <c r="CG794" i="1"/>
  <c r="CH794" i="1"/>
  <c r="J795" i="1"/>
  <c r="BX795" i="1"/>
  <c r="BY795" i="1"/>
  <c r="BZ795" i="1"/>
  <c r="CA795" i="1"/>
  <c r="CB795" i="1"/>
  <c r="CC795" i="1"/>
  <c r="CD795" i="1"/>
  <c r="CE795" i="1"/>
  <c r="CF795" i="1"/>
  <c r="CG795" i="1"/>
  <c r="CH795" i="1"/>
  <c r="J796" i="1"/>
  <c r="BX796" i="1"/>
  <c r="BY796" i="1"/>
  <c r="BZ796" i="1"/>
  <c r="CA796" i="1"/>
  <c r="CB796" i="1"/>
  <c r="CC796" i="1"/>
  <c r="CD796" i="1"/>
  <c r="CE796" i="1"/>
  <c r="CF796" i="1"/>
  <c r="CG796" i="1"/>
  <c r="CH796" i="1"/>
  <c r="J797" i="1"/>
  <c r="BX797" i="1"/>
  <c r="BY797" i="1"/>
  <c r="BZ797" i="1"/>
  <c r="CA797" i="1"/>
  <c r="CB797" i="1"/>
  <c r="CC797" i="1"/>
  <c r="CD797" i="1"/>
  <c r="CE797" i="1"/>
  <c r="CF797" i="1"/>
  <c r="CG797" i="1"/>
  <c r="CH797" i="1"/>
  <c r="J798" i="1"/>
  <c r="BX798" i="1"/>
  <c r="BY798" i="1"/>
  <c r="BZ798" i="1"/>
  <c r="CA798" i="1"/>
  <c r="CB798" i="1"/>
  <c r="CC798" i="1"/>
  <c r="CD798" i="1"/>
  <c r="CE798" i="1"/>
  <c r="CF798" i="1"/>
  <c r="CG798" i="1"/>
  <c r="CH798" i="1"/>
  <c r="J799" i="1"/>
  <c r="BX799" i="1"/>
  <c r="BY799" i="1"/>
  <c r="BZ799" i="1"/>
  <c r="CA799" i="1"/>
  <c r="CB799" i="1"/>
  <c r="CC799" i="1"/>
  <c r="CD799" i="1"/>
  <c r="CE799" i="1"/>
  <c r="CF799" i="1"/>
  <c r="CG799" i="1"/>
  <c r="CH799" i="1"/>
  <c r="J800" i="1"/>
  <c r="BX800" i="1"/>
  <c r="BY800" i="1"/>
  <c r="BZ800" i="1"/>
  <c r="CA800" i="1"/>
  <c r="CB800" i="1"/>
  <c r="CC800" i="1"/>
  <c r="CD800" i="1"/>
  <c r="CE800" i="1"/>
  <c r="CF800" i="1"/>
  <c r="CG800" i="1"/>
  <c r="CH800" i="1"/>
  <c r="J801" i="1"/>
  <c r="BX801" i="1"/>
  <c r="BY801" i="1"/>
  <c r="BZ801" i="1"/>
  <c r="CA801" i="1"/>
  <c r="CB801" i="1"/>
  <c r="CC801" i="1"/>
  <c r="CD801" i="1"/>
  <c r="CE801" i="1"/>
  <c r="CF801" i="1"/>
  <c r="CG801" i="1"/>
  <c r="CH801" i="1"/>
  <c r="J802" i="1"/>
  <c r="BX802" i="1"/>
  <c r="BY802" i="1"/>
  <c r="BZ802" i="1"/>
  <c r="CA802" i="1"/>
  <c r="CB802" i="1"/>
  <c r="CC802" i="1"/>
  <c r="CD802" i="1"/>
  <c r="CE802" i="1"/>
  <c r="CF802" i="1"/>
  <c r="CG802" i="1"/>
  <c r="CH802" i="1"/>
  <c r="J803" i="1"/>
  <c r="BX803" i="1"/>
  <c r="BY803" i="1"/>
  <c r="BZ803" i="1"/>
  <c r="CA803" i="1"/>
  <c r="CB803" i="1"/>
  <c r="CC803" i="1"/>
  <c r="CD803" i="1"/>
  <c r="CE803" i="1"/>
  <c r="CF803" i="1"/>
  <c r="CG803" i="1"/>
  <c r="CH803" i="1"/>
  <c r="J804" i="1"/>
  <c r="BX804" i="1"/>
  <c r="BY804" i="1"/>
  <c r="BZ804" i="1"/>
  <c r="CA804" i="1"/>
  <c r="CB804" i="1"/>
  <c r="CC804" i="1"/>
  <c r="CD804" i="1"/>
  <c r="CE804" i="1"/>
  <c r="CF804" i="1"/>
  <c r="CG804" i="1"/>
  <c r="CH804" i="1"/>
  <c r="J805" i="1"/>
  <c r="BX805" i="1"/>
  <c r="BY805" i="1"/>
  <c r="BZ805" i="1"/>
  <c r="CA805" i="1"/>
  <c r="CB805" i="1"/>
  <c r="CC805" i="1"/>
  <c r="CD805" i="1"/>
  <c r="CE805" i="1"/>
  <c r="CF805" i="1"/>
  <c r="CG805" i="1"/>
  <c r="CH805" i="1"/>
  <c r="J806" i="1"/>
  <c r="BX806" i="1"/>
  <c r="BY806" i="1"/>
  <c r="BZ806" i="1"/>
  <c r="CA806" i="1"/>
  <c r="CB806" i="1"/>
  <c r="CC806" i="1"/>
  <c r="CD806" i="1"/>
  <c r="CE806" i="1"/>
  <c r="CF806" i="1"/>
  <c r="CG806" i="1"/>
  <c r="CH806" i="1"/>
  <c r="J807" i="1"/>
  <c r="BX807" i="1"/>
  <c r="BY807" i="1"/>
  <c r="BZ807" i="1"/>
  <c r="CA807" i="1"/>
  <c r="CB807" i="1"/>
  <c r="CC807" i="1"/>
  <c r="CD807" i="1"/>
  <c r="CE807" i="1"/>
  <c r="CF807" i="1"/>
  <c r="CG807" i="1"/>
  <c r="CH807" i="1"/>
  <c r="J808" i="1"/>
  <c r="BX808" i="1"/>
  <c r="BY808" i="1"/>
  <c r="BZ808" i="1"/>
  <c r="CA808" i="1"/>
  <c r="CB808" i="1"/>
  <c r="CC808" i="1"/>
  <c r="CD808" i="1"/>
  <c r="CE808" i="1"/>
  <c r="CF808" i="1"/>
  <c r="CG808" i="1"/>
  <c r="CH808" i="1"/>
  <c r="J809" i="1"/>
  <c r="BX809" i="1"/>
  <c r="BY809" i="1"/>
  <c r="BZ809" i="1"/>
  <c r="CA809" i="1"/>
  <c r="CB809" i="1"/>
  <c r="CC809" i="1"/>
  <c r="CD809" i="1"/>
  <c r="CE809" i="1"/>
  <c r="CF809" i="1"/>
  <c r="CG809" i="1"/>
  <c r="CH809" i="1"/>
  <c r="J810" i="1"/>
  <c r="BX810" i="1"/>
  <c r="BY810" i="1"/>
  <c r="BZ810" i="1"/>
  <c r="CA810" i="1"/>
  <c r="CB810" i="1"/>
  <c r="CC810" i="1"/>
  <c r="CD810" i="1"/>
  <c r="CE810" i="1"/>
  <c r="CF810" i="1"/>
  <c r="CG810" i="1"/>
  <c r="CH810" i="1"/>
  <c r="J811" i="1"/>
  <c r="BX811" i="1"/>
  <c r="BY811" i="1"/>
  <c r="BZ811" i="1"/>
  <c r="CA811" i="1"/>
  <c r="CB811" i="1"/>
  <c r="CC811" i="1"/>
  <c r="CD811" i="1"/>
  <c r="CE811" i="1"/>
  <c r="CF811" i="1"/>
  <c r="CG811" i="1"/>
  <c r="CH811" i="1"/>
  <c r="J812" i="1"/>
  <c r="BX812" i="1"/>
  <c r="BY812" i="1"/>
  <c r="BZ812" i="1"/>
  <c r="CA812" i="1"/>
  <c r="CB812" i="1"/>
  <c r="CC812" i="1"/>
  <c r="CD812" i="1"/>
  <c r="CE812" i="1"/>
  <c r="CF812" i="1"/>
  <c r="CG812" i="1"/>
  <c r="CH812" i="1"/>
  <c r="J813" i="1"/>
  <c r="BX813" i="1"/>
  <c r="BY813" i="1"/>
  <c r="BZ813" i="1"/>
  <c r="CA813" i="1"/>
  <c r="CB813" i="1"/>
  <c r="CC813" i="1"/>
  <c r="CD813" i="1"/>
  <c r="CE813" i="1"/>
  <c r="CF813" i="1"/>
  <c r="CG813" i="1"/>
  <c r="CH813" i="1"/>
  <c r="J814" i="1"/>
  <c r="BX814" i="1"/>
  <c r="BY814" i="1"/>
  <c r="BZ814" i="1"/>
  <c r="CA814" i="1"/>
  <c r="CB814" i="1"/>
  <c r="CC814" i="1"/>
  <c r="CD814" i="1"/>
  <c r="CE814" i="1"/>
  <c r="CF814" i="1"/>
  <c r="CG814" i="1"/>
  <c r="CH814" i="1"/>
  <c r="J815" i="1"/>
  <c r="BX815" i="1"/>
  <c r="BY815" i="1"/>
  <c r="BZ815" i="1"/>
  <c r="CA815" i="1"/>
  <c r="CB815" i="1"/>
  <c r="CC815" i="1"/>
  <c r="CD815" i="1"/>
  <c r="CE815" i="1"/>
  <c r="CF815" i="1"/>
  <c r="CG815" i="1"/>
  <c r="CH815" i="1"/>
  <c r="J816" i="1"/>
  <c r="BX816" i="1"/>
  <c r="BY816" i="1"/>
  <c r="BZ816" i="1"/>
  <c r="CA816" i="1"/>
  <c r="CB816" i="1"/>
  <c r="CC816" i="1"/>
  <c r="CD816" i="1"/>
  <c r="CE816" i="1"/>
  <c r="CF816" i="1"/>
  <c r="CG816" i="1"/>
  <c r="CH816" i="1"/>
  <c r="J817" i="1"/>
  <c r="BX817" i="1"/>
  <c r="BY817" i="1"/>
  <c r="BZ817" i="1"/>
  <c r="CA817" i="1"/>
  <c r="CB817" i="1"/>
  <c r="CC817" i="1"/>
  <c r="CD817" i="1"/>
  <c r="CE817" i="1"/>
  <c r="CF817" i="1"/>
  <c r="CG817" i="1"/>
  <c r="CH817" i="1"/>
  <c r="J818" i="1"/>
  <c r="BX818" i="1"/>
  <c r="BY818" i="1"/>
  <c r="BZ818" i="1"/>
  <c r="CA818" i="1"/>
  <c r="CB818" i="1"/>
  <c r="CC818" i="1"/>
  <c r="CD818" i="1"/>
  <c r="CE818" i="1"/>
  <c r="CF818" i="1"/>
  <c r="CG818" i="1"/>
  <c r="CH818" i="1"/>
  <c r="J819" i="1"/>
  <c r="BX819" i="1"/>
  <c r="BY819" i="1"/>
  <c r="BZ819" i="1"/>
  <c r="CA819" i="1"/>
  <c r="CB819" i="1"/>
  <c r="CC819" i="1"/>
  <c r="CD819" i="1"/>
  <c r="CE819" i="1"/>
  <c r="CF819" i="1"/>
  <c r="CG819" i="1"/>
  <c r="CH819" i="1"/>
  <c r="J820" i="1"/>
  <c r="BX820" i="1"/>
  <c r="BY820" i="1"/>
  <c r="BZ820" i="1"/>
  <c r="CA820" i="1"/>
  <c r="CB820" i="1"/>
  <c r="CC820" i="1"/>
  <c r="CD820" i="1"/>
  <c r="CE820" i="1"/>
  <c r="CF820" i="1"/>
  <c r="CG820" i="1"/>
  <c r="CH820" i="1"/>
  <c r="J821" i="1"/>
  <c r="BX821" i="1"/>
  <c r="BY821" i="1"/>
  <c r="BZ821" i="1"/>
  <c r="CA821" i="1"/>
  <c r="CB821" i="1"/>
  <c r="CC821" i="1"/>
  <c r="CD821" i="1"/>
  <c r="CE821" i="1"/>
  <c r="CF821" i="1"/>
  <c r="CG821" i="1"/>
  <c r="CH821" i="1"/>
  <c r="J822" i="1"/>
  <c r="BX822" i="1"/>
  <c r="BY822" i="1"/>
  <c r="BZ822" i="1"/>
  <c r="CA822" i="1"/>
  <c r="CB822" i="1"/>
  <c r="CC822" i="1"/>
  <c r="CD822" i="1"/>
  <c r="CE822" i="1"/>
  <c r="CF822" i="1"/>
  <c r="CG822" i="1"/>
  <c r="CH822" i="1"/>
  <c r="J823" i="1"/>
  <c r="BX823" i="1"/>
  <c r="BY823" i="1"/>
  <c r="BZ823" i="1"/>
  <c r="CA823" i="1"/>
  <c r="CB823" i="1"/>
  <c r="CC823" i="1"/>
  <c r="CD823" i="1"/>
  <c r="CE823" i="1"/>
  <c r="CF823" i="1"/>
  <c r="CG823" i="1"/>
  <c r="CH823" i="1"/>
  <c r="J824" i="1"/>
  <c r="BX824" i="1"/>
  <c r="BY824" i="1"/>
  <c r="BZ824" i="1"/>
  <c r="CA824" i="1"/>
  <c r="CB824" i="1"/>
  <c r="CC824" i="1"/>
  <c r="CD824" i="1"/>
  <c r="CE824" i="1"/>
  <c r="CF824" i="1"/>
  <c r="CG824" i="1"/>
  <c r="CH824" i="1"/>
  <c r="J825" i="1"/>
  <c r="BX825" i="1"/>
  <c r="BY825" i="1"/>
  <c r="BZ825" i="1"/>
  <c r="CA825" i="1"/>
  <c r="CB825" i="1"/>
  <c r="CC825" i="1"/>
  <c r="CD825" i="1"/>
  <c r="CE825" i="1"/>
  <c r="CF825" i="1"/>
  <c r="CG825" i="1"/>
  <c r="CH825" i="1"/>
  <c r="J826" i="1"/>
  <c r="BX826" i="1"/>
  <c r="BY826" i="1"/>
  <c r="BZ826" i="1"/>
  <c r="CA826" i="1"/>
  <c r="CB826" i="1"/>
  <c r="CC826" i="1"/>
  <c r="CD826" i="1"/>
  <c r="CE826" i="1"/>
  <c r="CF826" i="1"/>
  <c r="CG826" i="1"/>
  <c r="CH826" i="1"/>
  <c r="J827" i="1"/>
  <c r="BX827" i="1"/>
  <c r="BY827" i="1"/>
  <c r="BZ827" i="1"/>
  <c r="CA827" i="1"/>
  <c r="CB827" i="1"/>
  <c r="CC827" i="1"/>
  <c r="CD827" i="1"/>
  <c r="CE827" i="1"/>
  <c r="CF827" i="1"/>
  <c r="CG827" i="1"/>
  <c r="CH827" i="1"/>
  <c r="J828" i="1"/>
  <c r="BX828" i="1"/>
  <c r="BY828" i="1"/>
  <c r="BZ828" i="1"/>
  <c r="CA828" i="1"/>
  <c r="CB828" i="1"/>
  <c r="CC828" i="1"/>
  <c r="CD828" i="1"/>
  <c r="CE828" i="1"/>
  <c r="CF828" i="1"/>
  <c r="CG828" i="1"/>
  <c r="CH828" i="1"/>
  <c r="J829" i="1"/>
  <c r="BX829" i="1"/>
  <c r="BY829" i="1"/>
  <c r="BZ829" i="1"/>
  <c r="CA829" i="1"/>
  <c r="CB829" i="1"/>
  <c r="CC829" i="1"/>
  <c r="CD829" i="1"/>
  <c r="CE829" i="1"/>
  <c r="CF829" i="1"/>
  <c r="CG829" i="1"/>
  <c r="CH829" i="1"/>
  <c r="J830" i="1"/>
  <c r="BX830" i="1"/>
  <c r="BY830" i="1"/>
  <c r="BZ830" i="1"/>
  <c r="CA830" i="1"/>
  <c r="CB830" i="1"/>
  <c r="CC830" i="1"/>
  <c r="CD830" i="1"/>
  <c r="CE830" i="1"/>
  <c r="CF830" i="1"/>
  <c r="CG830" i="1"/>
  <c r="CH830" i="1"/>
  <c r="J831" i="1"/>
  <c r="BX831" i="1"/>
  <c r="BY831" i="1"/>
  <c r="BZ831" i="1"/>
  <c r="CA831" i="1"/>
  <c r="CB831" i="1"/>
  <c r="CC831" i="1"/>
  <c r="CD831" i="1"/>
  <c r="CE831" i="1"/>
  <c r="CF831" i="1"/>
  <c r="CG831" i="1"/>
  <c r="CH831" i="1"/>
  <c r="J832" i="1"/>
  <c r="BX832" i="1"/>
  <c r="BY832" i="1"/>
  <c r="BZ832" i="1"/>
  <c r="CA832" i="1"/>
  <c r="CB832" i="1"/>
  <c r="CC832" i="1"/>
  <c r="CD832" i="1"/>
  <c r="CE832" i="1"/>
  <c r="CF832" i="1"/>
  <c r="CG832" i="1"/>
  <c r="CH832" i="1"/>
  <c r="J833" i="1"/>
  <c r="BX833" i="1"/>
  <c r="BY833" i="1"/>
  <c r="BZ833" i="1"/>
  <c r="CA833" i="1"/>
  <c r="CB833" i="1"/>
  <c r="CC833" i="1"/>
  <c r="CD833" i="1"/>
  <c r="CE833" i="1"/>
  <c r="CF833" i="1"/>
  <c r="CG833" i="1"/>
  <c r="CH833" i="1"/>
  <c r="J834" i="1"/>
  <c r="BX834" i="1"/>
  <c r="BY834" i="1"/>
  <c r="BZ834" i="1"/>
  <c r="CA834" i="1"/>
  <c r="CB834" i="1"/>
  <c r="CC834" i="1"/>
  <c r="CD834" i="1"/>
  <c r="CE834" i="1"/>
  <c r="CF834" i="1"/>
  <c r="CG834" i="1"/>
  <c r="CH834" i="1"/>
  <c r="J835" i="1"/>
  <c r="BX835" i="1"/>
  <c r="BY835" i="1"/>
  <c r="BZ835" i="1"/>
  <c r="CA835" i="1"/>
  <c r="CB835" i="1"/>
  <c r="CC835" i="1"/>
  <c r="CD835" i="1"/>
  <c r="CE835" i="1"/>
  <c r="CF835" i="1"/>
  <c r="CG835" i="1"/>
  <c r="CH835" i="1"/>
  <c r="J836" i="1"/>
  <c r="BX836" i="1"/>
  <c r="BY836" i="1"/>
  <c r="BZ836" i="1"/>
  <c r="CA836" i="1"/>
  <c r="CB836" i="1"/>
  <c r="CC836" i="1"/>
  <c r="CD836" i="1"/>
  <c r="CE836" i="1"/>
  <c r="CF836" i="1"/>
  <c r="CG836" i="1"/>
  <c r="CH836" i="1"/>
  <c r="J837" i="1"/>
  <c r="BX837" i="1"/>
  <c r="BY837" i="1"/>
  <c r="BZ837" i="1"/>
  <c r="CA837" i="1"/>
  <c r="CB837" i="1"/>
  <c r="CC837" i="1"/>
  <c r="CD837" i="1"/>
  <c r="CE837" i="1"/>
  <c r="CF837" i="1"/>
  <c r="CG837" i="1"/>
  <c r="CH837" i="1"/>
  <c r="J838" i="1"/>
  <c r="BX838" i="1"/>
  <c r="BY838" i="1"/>
  <c r="BZ838" i="1"/>
  <c r="CA838" i="1"/>
  <c r="CB838" i="1"/>
  <c r="CC838" i="1"/>
  <c r="CD838" i="1"/>
  <c r="CE838" i="1"/>
  <c r="CF838" i="1"/>
  <c r="CG838" i="1"/>
  <c r="CH838" i="1"/>
  <c r="J839" i="1"/>
  <c r="BX839" i="1"/>
  <c r="BY839" i="1"/>
  <c r="BZ839" i="1"/>
  <c r="CA839" i="1"/>
  <c r="CB839" i="1"/>
  <c r="CC839" i="1"/>
  <c r="CD839" i="1"/>
  <c r="CE839" i="1"/>
  <c r="CF839" i="1"/>
  <c r="CG839" i="1"/>
  <c r="CH839" i="1"/>
  <c r="J840" i="1"/>
  <c r="BX840" i="1"/>
  <c r="BY840" i="1"/>
  <c r="BZ840" i="1"/>
  <c r="CA840" i="1"/>
  <c r="CB840" i="1"/>
  <c r="CC840" i="1"/>
  <c r="CD840" i="1"/>
  <c r="CE840" i="1"/>
  <c r="CF840" i="1"/>
  <c r="CG840" i="1"/>
  <c r="CH840" i="1"/>
  <c r="J841" i="1"/>
  <c r="BX841" i="1"/>
  <c r="BY841" i="1"/>
  <c r="BZ841" i="1"/>
  <c r="CA841" i="1"/>
  <c r="CB841" i="1"/>
  <c r="CC841" i="1"/>
  <c r="CD841" i="1"/>
  <c r="CE841" i="1"/>
  <c r="CF841" i="1"/>
  <c r="CG841" i="1"/>
  <c r="CH841" i="1"/>
  <c r="J842" i="1"/>
  <c r="BX842" i="1"/>
  <c r="BY842" i="1"/>
  <c r="BZ842" i="1"/>
  <c r="CA842" i="1"/>
  <c r="CB842" i="1"/>
  <c r="CC842" i="1"/>
  <c r="CD842" i="1"/>
  <c r="CE842" i="1"/>
  <c r="CF842" i="1"/>
  <c r="CG842" i="1"/>
  <c r="CH842" i="1"/>
  <c r="J843" i="1"/>
  <c r="BX843" i="1"/>
  <c r="BY843" i="1"/>
  <c r="BZ843" i="1"/>
  <c r="CA843" i="1"/>
  <c r="CB843" i="1"/>
  <c r="CC843" i="1"/>
  <c r="CD843" i="1"/>
  <c r="CE843" i="1"/>
  <c r="CF843" i="1"/>
  <c r="CG843" i="1"/>
  <c r="CH843" i="1"/>
  <c r="J844" i="1"/>
  <c r="BX844" i="1"/>
  <c r="BY844" i="1"/>
  <c r="BZ844" i="1"/>
  <c r="CA844" i="1"/>
  <c r="CB844" i="1"/>
  <c r="CC844" i="1"/>
  <c r="CD844" i="1"/>
  <c r="CE844" i="1"/>
  <c r="CF844" i="1"/>
  <c r="CG844" i="1"/>
  <c r="CH844" i="1"/>
  <c r="J845" i="1"/>
  <c r="BX845" i="1"/>
  <c r="BY845" i="1"/>
  <c r="BZ845" i="1"/>
  <c r="CA845" i="1"/>
  <c r="CB845" i="1"/>
  <c r="CC845" i="1"/>
  <c r="CD845" i="1"/>
  <c r="CE845" i="1"/>
  <c r="CF845" i="1"/>
  <c r="CG845" i="1"/>
  <c r="CH845" i="1"/>
  <c r="J846" i="1"/>
  <c r="BX846" i="1"/>
  <c r="BY846" i="1"/>
  <c r="BZ846" i="1"/>
  <c r="CA846" i="1"/>
  <c r="CB846" i="1"/>
  <c r="CC846" i="1"/>
  <c r="CD846" i="1"/>
  <c r="CE846" i="1"/>
  <c r="CF846" i="1"/>
  <c r="CG846" i="1"/>
  <c r="CH846" i="1"/>
  <c r="J847" i="1"/>
  <c r="BX847" i="1"/>
  <c r="BY847" i="1"/>
  <c r="BZ847" i="1"/>
  <c r="CA847" i="1"/>
  <c r="CB847" i="1"/>
  <c r="CC847" i="1"/>
  <c r="CD847" i="1"/>
  <c r="CE847" i="1"/>
  <c r="CF847" i="1"/>
  <c r="CG847" i="1"/>
  <c r="CH847" i="1"/>
  <c r="J848" i="1"/>
  <c r="BX848" i="1"/>
  <c r="BY848" i="1"/>
  <c r="BZ848" i="1"/>
  <c r="CA848" i="1"/>
  <c r="CB848" i="1"/>
  <c r="CC848" i="1"/>
  <c r="CD848" i="1"/>
  <c r="CE848" i="1"/>
  <c r="CF848" i="1"/>
  <c r="CG848" i="1"/>
  <c r="CH848" i="1"/>
  <c r="J849" i="1"/>
  <c r="BX849" i="1"/>
  <c r="BY849" i="1"/>
  <c r="BZ849" i="1"/>
  <c r="CA849" i="1"/>
  <c r="CB849" i="1"/>
  <c r="CC849" i="1"/>
  <c r="CD849" i="1"/>
  <c r="CE849" i="1"/>
  <c r="CF849" i="1"/>
  <c r="CG849" i="1"/>
  <c r="CH849" i="1"/>
  <c r="J850" i="1"/>
  <c r="BX850" i="1"/>
  <c r="BY850" i="1"/>
  <c r="BZ850" i="1"/>
  <c r="CA850" i="1"/>
  <c r="CB850" i="1"/>
  <c r="CC850" i="1"/>
  <c r="CD850" i="1"/>
  <c r="CE850" i="1"/>
  <c r="CF850" i="1"/>
  <c r="CG850" i="1"/>
  <c r="CH850" i="1"/>
  <c r="J851" i="1"/>
  <c r="BX851" i="1"/>
  <c r="BY851" i="1"/>
  <c r="BZ851" i="1"/>
  <c r="CA851" i="1"/>
  <c r="CB851" i="1"/>
  <c r="CC851" i="1"/>
  <c r="CD851" i="1"/>
  <c r="CE851" i="1"/>
  <c r="CF851" i="1"/>
  <c r="CG851" i="1"/>
  <c r="CH851" i="1"/>
  <c r="J852" i="1"/>
  <c r="BX852" i="1"/>
  <c r="BY852" i="1"/>
  <c r="BZ852" i="1"/>
  <c r="CA852" i="1"/>
  <c r="CB852" i="1"/>
  <c r="CC852" i="1"/>
  <c r="CD852" i="1"/>
  <c r="CE852" i="1"/>
  <c r="CF852" i="1"/>
  <c r="CG852" i="1"/>
  <c r="CH852" i="1"/>
  <c r="J853" i="1"/>
  <c r="BX853" i="1"/>
  <c r="BY853" i="1"/>
  <c r="BZ853" i="1"/>
  <c r="CA853" i="1"/>
  <c r="CB853" i="1"/>
  <c r="CC853" i="1"/>
  <c r="CD853" i="1"/>
  <c r="CE853" i="1"/>
  <c r="CF853" i="1"/>
  <c r="CG853" i="1"/>
  <c r="CH853" i="1"/>
  <c r="J854" i="1"/>
  <c r="BX854" i="1"/>
  <c r="BY854" i="1"/>
  <c r="BZ854" i="1"/>
  <c r="CA854" i="1"/>
  <c r="CB854" i="1"/>
  <c r="CC854" i="1"/>
  <c r="CD854" i="1"/>
  <c r="CE854" i="1"/>
  <c r="CF854" i="1"/>
  <c r="CG854" i="1"/>
  <c r="CH854" i="1"/>
  <c r="J855" i="1"/>
  <c r="BX855" i="1"/>
  <c r="BY855" i="1"/>
  <c r="BZ855" i="1"/>
  <c r="CA855" i="1"/>
  <c r="CB855" i="1"/>
  <c r="CC855" i="1"/>
  <c r="CD855" i="1"/>
  <c r="CE855" i="1"/>
  <c r="CF855" i="1"/>
  <c r="CG855" i="1"/>
  <c r="CH855" i="1"/>
  <c r="J856" i="1"/>
  <c r="BX856" i="1"/>
  <c r="BY856" i="1"/>
  <c r="BZ856" i="1"/>
  <c r="CA856" i="1"/>
  <c r="CB856" i="1"/>
  <c r="CC856" i="1"/>
  <c r="CD856" i="1"/>
  <c r="CE856" i="1"/>
  <c r="CF856" i="1"/>
  <c r="CG856" i="1"/>
  <c r="CH856" i="1"/>
  <c r="J857" i="1"/>
  <c r="BX857" i="1"/>
  <c r="BY857" i="1"/>
  <c r="BZ857" i="1"/>
  <c r="CA857" i="1"/>
  <c r="CB857" i="1"/>
  <c r="CC857" i="1"/>
  <c r="CD857" i="1"/>
  <c r="CE857" i="1"/>
  <c r="CF857" i="1"/>
  <c r="CG857" i="1"/>
  <c r="CH857" i="1"/>
  <c r="J858" i="1"/>
  <c r="BX858" i="1"/>
  <c r="BY858" i="1"/>
  <c r="BZ858" i="1"/>
  <c r="CA858" i="1"/>
  <c r="CB858" i="1"/>
  <c r="CC858" i="1"/>
  <c r="CD858" i="1"/>
  <c r="CE858" i="1"/>
  <c r="CF858" i="1"/>
  <c r="CG858" i="1"/>
  <c r="CH858" i="1"/>
  <c r="J859" i="1"/>
  <c r="BX859" i="1"/>
  <c r="BY859" i="1"/>
  <c r="BZ859" i="1"/>
  <c r="CA859" i="1"/>
  <c r="CB859" i="1"/>
  <c r="CC859" i="1"/>
  <c r="CD859" i="1"/>
  <c r="CE859" i="1"/>
  <c r="CF859" i="1"/>
  <c r="CG859" i="1"/>
  <c r="CH859" i="1"/>
  <c r="J860" i="1"/>
  <c r="BX860" i="1"/>
  <c r="BY860" i="1"/>
  <c r="BZ860" i="1"/>
  <c r="CA860" i="1"/>
  <c r="CB860" i="1"/>
  <c r="CC860" i="1"/>
  <c r="CD860" i="1"/>
  <c r="CE860" i="1"/>
  <c r="CF860" i="1"/>
  <c r="CG860" i="1"/>
  <c r="CH860" i="1"/>
  <c r="J861" i="1"/>
  <c r="BX861" i="1"/>
  <c r="BY861" i="1"/>
  <c r="BZ861" i="1"/>
  <c r="CA861" i="1"/>
  <c r="CB861" i="1"/>
  <c r="CC861" i="1"/>
  <c r="CD861" i="1"/>
  <c r="CE861" i="1"/>
  <c r="CF861" i="1"/>
  <c r="CG861" i="1"/>
  <c r="CH861" i="1"/>
  <c r="J862" i="1"/>
  <c r="BX862" i="1"/>
  <c r="BY862" i="1"/>
  <c r="BZ862" i="1"/>
  <c r="CA862" i="1"/>
  <c r="CB862" i="1"/>
  <c r="CC862" i="1"/>
  <c r="CD862" i="1"/>
  <c r="CE862" i="1"/>
  <c r="CF862" i="1"/>
  <c r="CG862" i="1"/>
  <c r="CH862" i="1"/>
  <c r="J863" i="1"/>
  <c r="BX863" i="1"/>
  <c r="BY863" i="1"/>
  <c r="BZ863" i="1"/>
  <c r="CA863" i="1"/>
  <c r="CB863" i="1"/>
  <c r="CC863" i="1"/>
  <c r="CD863" i="1"/>
  <c r="CE863" i="1"/>
  <c r="CF863" i="1"/>
  <c r="CG863" i="1"/>
  <c r="CH863" i="1"/>
  <c r="J864" i="1"/>
  <c r="BX864" i="1"/>
  <c r="BY864" i="1"/>
  <c r="BZ864" i="1"/>
  <c r="CA864" i="1"/>
  <c r="CB864" i="1"/>
  <c r="CC864" i="1"/>
  <c r="CD864" i="1"/>
  <c r="CE864" i="1"/>
  <c r="CF864" i="1"/>
  <c r="CG864" i="1"/>
  <c r="CH864" i="1"/>
  <c r="J865" i="1"/>
  <c r="BX865" i="1"/>
  <c r="BY865" i="1"/>
  <c r="BZ865" i="1"/>
  <c r="CA865" i="1"/>
  <c r="CB865" i="1"/>
  <c r="CC865" i="1"/>
  <c r="CD865" i="1"/>
  <c r="CE865" i="1"/>
  <c r="CF865" i="1"/>
  <c r="CG865" i="1"/>
  <c r="CH865" i="1"/>
  <c r="J866" i="1"/>
  <c r="BX866" i="1"/>
  <c r="BY866" i="1"/>
  <c r="BZ866" i="1"/>
  <c r="CA866" i="1"/>
  <c r="CB866" i="1"/>
  <c r="CC866" i="1"/>
  <c r="CD866" i="1"/>
  <c r="CE866" i="1"/>
  <c r="CF866" i="1"/>
  <c r="CG866" i="1"/>
  <c r="CH866" i="1"/>
  <c r="J867" i="1"/>
  <c r="BX867" i="1"/>
  <c r="BY867" i="1"/>
  <c r="BZ867" i="1"/>
  <c r="CA867" i="1"/>
  <c r="CB867" i="1"/>
  <c r="CC867" i="1"/>
  <c r="CD867" i="1"/>
  <c r="CE867" i="1"/>
  <c r="CF867" i="1"/>
  <c r="CG867" i="1"/>
  <c r="CH867" i="1"/>
  <c r="J868" i="1"/>
  <c r="BX868" i="1"/>
  <c r="BY868" i="1"/>
  <c r="BZ868" i="1"/>
  <c r="CA868" i="1"/>
  <c r="CB868" i="1"/>
  <c r="CC868" i="1"/>
  <c r="CD868" i="1"/>
  <c r="CE868" i="1"/>
  <c r="CF868" i="1"/>
  <c r="CG868" i="1"/>
  <c r="CH868" i="1"/>
  <c r="J869" i="1"/>
  <c r="BX869" i="1"/>
  <c r="BY869" i="1"/>
  <c r="BZ869" i="1"/>
  <c r="CA869" i="1"/>
  <c r="CB869" i="1"/>
  <c r="CC869" i="1"/>
  <c r="CD869" i="1"/>
  <c r="CE869" i="1"/>
  <c r="CF869" i="1"/>
  <c r="CG869" i="1"/>
  <c r="CH869" i="1"/>
  <c r="J870" i="1"/>
  <c r="BX870" i="1"/>
  <c r="BY870" i="1"/>
  <c r="BZ870" i="1"/>
  <c r="CA870" i="1"/>
  <c r="CB870" i="1"/>
  <c r="CC870" i="1"/>
  <c r="CD870" i="1"/>
  <c r="CE870" i="1"/>
  <c r="CF870" i="1"/>
  <c r="CG870" i="1"/>
  <c r="CH870" i="1"/>
  <c r="J871" i="1"/>
  <c r="BX871" i="1"/>
  <c r="BY871" i="1"/>
  <c r="BZ871" i="1"/>
  <c r="CA871" i="1"/>
  <c r="CB871" i="1"/>
  <c r="CC871" i="1"/>
  <c r="CD871" i="1"/>
  <c r="CE871" i="1"/>
  <c r="CF871" i="1"/>
  <c r="CG871" i="1"/>
  <c r="CH871" i="1"/>
  <c r="J872" i="1"/>
  <c r="BX872" i="1"/>
  <c r="BY872" i="1"/>
  <c r="BZ872" i="1"/>
  <c r="CA872" i="1"/>
  <c r="CB872" i="1"/>
  <c r="CC872" i="1"/>
  <c r="CD872" i="1"/>
  <c r="CE872" i="1"/>
  <c r="CF872" i="1"/>
  <c r="CG872" i="1"/>
  <c r="CH872" i="1"/>
  <c r="J873" i="1"/>
  <c r="BX873" i="1"/>
  <c r="BY873" i="1"/>
  <c r="BZ873" i="1"/>
  <c r="CA873" i="1"/>
  <c r="CB873" i="1"/>
  <c r="CC873" i="1"/>
  <c r="CD873" i="1"/>
  <c r="CE873" i="1"/>
  <c r="CF873" i="1"/>
  <c r="CG873" i="1"/>
  <c r="CH873" i="1"/>
  <c r="J874" i="1"/>
  <c r="BX874" i="1"/>
  <c r="BY874" i="1"/>
  <c r="BZ874" i="1"/>
  <c r="CA874" i="1"/>
  <c r="CB874" i="1"/>
  <c r="CC874" i="1"/>
  <c r="CD874" i="1"/>
  <c r="CE874" i="1"/>
  <c r="CF874" i="1"/>
  <c r="CG874" i="1"/>
  <c r="CH874" i="1"/>
  <c r="J875" i="1"/>
  <c r="BX875" i="1"/>
  <c r="BY875" i="1"/>
  <c r="BZ875" i="1"/>
  <c r="CA875" i="1"/>
  <c r="CB875" i="1"/>
  <c r="CC875" i="1"/>
  <c r="CD875" i="1"/>
  <c r="CE875" i="1"/>
  <c r="CF875" i="1"/>
  <c r="CG875" i="1"/>
  <c r="CH875" i="1"/>
  <c r="J876" i="1"/>
  <c r="BX876" i="1"/>
  <c r="BY876" i="1"/>
  <c r="BZ876" i="1"/>
  <c r="CA876" i="1"/>
  <c r="CB876" i="1"/>
  <c r="CC876" i="1"/>
  <c r="CD876" i="1"/>
  <c r="CE876" i="1"/>
  <c r="CF876" i="1"/>
  <c r="CG876" i="1"/>
  <c r="CH876" i="1"/>
  <c r="J877" i="1"/>
  <c r="BX877" i="1"/>
  <c r="BY877" i="1"/>
  <c r="BZ877" i="1"/>
  <c r="CA877" i="1"/>
  <c r="CB877" i="1"/>
  <c r="CC877" i="1"/>
  <c r="CD877" i="1"/>
  <c r="CE877" i="1"/>
  <c r="CF877" i="1"/>
  <c r="CG877" i="1"/>
  <c r="CH877" i="1"/>
  <c r="J878" i="1"/>
  <c r="BX878" i="1"/>
  <c r="BY878" i="1"/>
  <c r="BZ878" i="1"/>
  <c r="CA878" i="1"/>
  <c r="CB878" i="1"/>
  <c r="CC878" i="1"/>
  <c r="CD878" i="1"/>
  <c r="CE878" i="1"/>
  <c r="CF878" i="1"/>
  <c r="CG878" i="1"/>
  <c r="CH878" i="1"/>
  <c r="J879" i="1"/>
  <c r="BX879" i="1"/>
  <c r="BY879" i="1"/>
  <c r="BZ879" i="1"/>
  <c r="CA879" i="1"/>
  <c r="CB879" i="1"/>
  <c r="CC879" i="1"/>
  <c r="CD879" i="1"/>
  <c r="CE879" i="1"/>
  <c r="CF879" i="1"/>
  <c r="CG879" i="1"/>
  <c r="CH879" i="1"/>
  <c r="J880" i="1"/>
  <c r="BX880" i="1"/>
  <c r="BY880" i="1"/>
  <c r="BZ880" i="1"/>
  <c r="CA880" i="1"/>
  <c r="CB880" i="1"/>
  <c r="CC880" i="1"/>
  <c r="CD880" i="1"/>
  <c r="CE880" i="1"/>
  <c r="CF880" i="1"/>
  <c r="CG880" i="1"/>
  <c r="CH880" i="1"/>
  <c r="J881" i="1"/>
  <c r="BX881" i="1"/>
  <c r="BY881" i="1"/>
  <c r="BZ881" i="1"/>
  <c r="CA881" i="1"/>
  <c r="CB881" i="1"/>
  <c r="CC881" i="1"/>
  <c r="CD881" i="1"/>
  <c r="CE881" i="1"/>
  <c r="CF881" i="1"/>
  <c r="CG881" i="1"/>
  <c r="CH881" i="1"/>
  <c r="BX882" i="1"/>
  <c r="BY882" i="1"/>
  <c r="BZ882" i="1"/>
  <c r="CA882" i="1"/>
  <c r="CB882" i="1"/>
  <c r="CC882" i="1"/>
  <c r="CD882" i="1"/>
  <c r="CE882" i="1"/>
  <c r="CF882" i="1"/>
  <c r="CG882" i="1"/>
  <c r="CH882" i="1"/>
  <c r="BX883" i="1"/>
  <c r="BY883" i="1"/>
  <c r="BZ883" i="1"/>
  <c r="CA883" i="1"/>
  <c r="CB883" i="1"/>
  <c r="CC883" i="1"/>
  <c r="CD883" i="1"/>
  <c r="CE883" i="1"/>
  <c r="CF883" i="1"/>
  <c r="CG883" i="1"/>
  <c r="CH883" i="1"/>
  <c r="J884" i="1"/>
  <c r="BX884" i="1"/>
  <c r="BY884" i="1"/>
  <c r="BZ884" i="1"/>
  <c r="CA884" i="1"/>
  <c r="CB884" i="1"/>
  <c r="CC884" i="1"/>
  <c r="CD884" i="1"/>
  <c r="CE884" i="1"/>
  <c r="CF884" i="1"/>
  <c r="CG884" i="1"/>
  <c r="CH884" i="1"/>
  <c r="J885" i="1"/>
  <c r="BX885" i="1"/>
  <c r="BY885" i="1"/>
  <c r="BZ885" i="1"/>
  <c r="CA885" i="1"/>
  <c r="CB885" i="1"/>
  <c r="CC885" i="1"/>
  <c r="CD885" i="1"/>
  <c r="CE885" i="1"/>
  <c r="CF885" i="1"/>
  <c r="CG885" i="1"/>
  <c r="CH885" i="1"/>
  <c r="J886" i="1"/>
  <c r="BX886" i="1"/>
  <c r="BY886" i="1"/>
  <c r="BZ886" i="1"/>
  <c r="CA886" i="1"/>
  <c r="CB886" i="1"/>
  <c r="CC886" i="1"/>
  <c r="CD886" i="1"/>
  <c r="CE886" i="1"/>
  <c r="CF886" i="1"/>
  <c r="CG886" i="1"/>
  <c r="CH886" i="1"/>
  <c r="J887" i="1"/>
  <c r="BX887" i="1"/>
  <c r="BY887" i="1"/>
  <c r="BZ887" i="1"/>
  <c r="CA887" i="1"/>
  <c r="CB887" i="1"/>
  <c r="CC887" i="1"/>
  <c r="CD887" i="1"/>
  <c r="CE887" i="1"/>
  <c r="CF887" i="1"/>
  <c r="CG887" i="1"/>
  <c r="CH887" i="1"/>
  <c r="J888" i="1"/>
  <c r="BX888" i="1"/>
  <c r="BY888" i="1"/>
  <c r="BZ888" i="1"/>
  <c r="CA888" i="1"/>
  <c r="CB888" i="1"/>
  <c r="CC888" i="1"/>
  <c r="CD888" i="1"/>
  <c r="CE888" i="1"/>
  <c r="CF888" i="1"/>
  <c r="CG888" i="1"/>
  <c r="CH888" i="1"/>
  <c r="J889" i="1"/>
  <c r="BX889" i="1"/>
  <c r="BY889" i="1"/>
  <c r="BZ889" i="1"/>
  <c r="CA889" i="1"/>
  <c r="CB889" i="1"/>
  <c r="CC889" i="1"/>
  <c r="CD889" i="1"/>
  <c r="CE889" i="1"/>
  <c r="CF889" i="1"/>
  <c r="CG889" i="1"/>
  <c r="CH889" i="1"/>
  <c r="J890" i="1"/>
  <c r="BX890" i="1"/>
  <c r="BY890" i="1"/>
  <c r="BZ890" i="1"/>
  <c r="CA890" i="1"/>
  <c r="CB890" i="1"/>
  <c r="CC890" i="1"/>
  <c r="CD890" i="1"/>
  <c r="CE890" i="1"/>
  <c r="CF890" i="1"/>
  <c r="CG890" i="1"/>
  <c r="CH890" i="1"/>
  <c r="J891" i="1"/>
  <c r="BX891" i="1"/>
  <c r="BY891" i="1"/>
  <c r="BZ891" i="1"/>
  <c r="CA891" i="1"/>
  <c r="CB891" i="1"/>
  <c r="CC891" i="1"/>
  <c r="CD891" i="1"/>
  <c r="CE891" i="1"/>
  <c r="CF891" i="1"/>
  <c r="CG891" i="1"/>
  <c r="CH891" i="1"/>
  <c r="J892" i="1"/>
  <c r="BX892" i="1"/>
  <c r="BY892" i="1"/>
  <c r="BZ892" i="1"/>
  <c r="CA892" i="1"/>
  <c r="CB892" i="1"/>
  <c r="CC892" i="1"/>
  <c r="CD892" i="1"/>
  <c r="CE892" i="1"/>
  <c r="CF892" i="1"/>
  <c r="CG892" i="1"/>
  <c r="CH892" i="1"/>
  <c r="J893" i="1"/>
  <c r="BX893" i="1"/>
  <c r="BY893" i="1"/>
  <c r="BZ893" i="1"/>
  <c r="CA893" i="1"/>
  <c r="CB893" i="1"/>
  <c r="CC893" i="1"/>
  <c r="CD893" i="1"/>
  <c r="CE893" i="1"/>
  <c r="CF893" i="1"/>
  <c r="CG893" i="1"/>
  <c r="CH893" i="1"/>
  <c r="BX894" i="1"/>
  <c r="BY894" i="1"/>
  <c r="BZ894" i="1"/>
  <c r="CA894" i="1"/>
  <c r="CB894" i="1"/>
  <c r="CC894" i="1"/>
  <c r="CD894" i="1"/>
  <c r="CE894" i="1"/>
  <c r="CF894" i="1"/>
  <c r="CG894" i="1"/>
  <c r="CH894" i="1"/>
  <c r="J895" i="1"/>
  <c r="BX895" i="1"/>
  <c r="BY895" i="1"/>
  <c r="BZ895" i="1"/>
  <c r="CA895" i="1"/>
  <c r="CB895" i="1"/>
  <c r="CC895" i="1"/>
  <c r="CD895" i="1"/>
  <c r="CE895" i="1"/>
  <c r="CF895" i="1"/>
  <c r="CG895" i="1"/>
  <c r="CH895" i="1"/>
  <c r="J896" i="1"/>
  <c r="BX896" i="1"/>
  <c r="BY896" i="1"/>
  <c r="BZ896" i="1"/>
  <c r="CA896" i="1"/>
  <c r="CB896" i="1"/>
  <c r="CC896" i="1"/>
  <c r="CD896" i="1"/>
  <c r="CE896" i="1"/>
  <c r="CF896" i="1"/>
  <c r="CG896" i="1"/>
  <c r="CH896" i="1"/>
  <c r="J897" i="1"/>
  <c r="BX897" i="1"/>
  <c r="BY897" i="1"/>
  <c r="BZ897" i="1"/>
  <c r="CA897" i="1"/>
  <c r="CB897" i="1"/>
  <c r="CC897" i="1"/>
  <c r="CD897" i="1"/>
  <c r="CE897" i="1"/>
  <c r="CF897" i="1"/>
  <c r="CG897" i="1"/>
  <c r="CH897" i="1"/>
  <c r="J898" i="1"/>
  <c r="BX898" i="1"/>
  <c r="BY898" i="1"/>
  <c r="BZ898" i="1"/>
  <c r="CA898" i="1"/>
  <c r="CB898" i="1"/>
  <c r="CC898" i="1"/>
  <c r="CD898" i="1"/>
  <c r="CE898" i="1"/>
  <c r="CF898" i="1"/>
  <c r="CG898" i="1"/>
  <c r="CH898" i="1"/>
  <c r="J899" i="1"/>
  <c r="BX899" i="1"/>
  <c r="BY899" i="1"/>
  <c r="BZ899" i="1"/>
  <c r="CA899" i="1"/>
  <c r="CB899" i="1"/>
  <c r="CC899" i="1"/>
  <c r="CD899" i="1"/>
  <c r="CE899" i="1"/>
  <c r="CF899" i="1"/>
  <c r="CG899" i="1"/>
  <c r="CH899" i="1"/>
  <c r="J900" i="1"/>
  <c r="BX900" i="1"/>
  <c r="BY900" i="1"/>
  <c r="BZ900" i="1"/>
  <c r="CA900" i="1"/>
  <c r="CB900" i="1"/>
  <c r="CC900" i="1"/>
  <c r="CD900" i="1"/>
  <c r="CE900" i="1"/>
  <c r="CF900" i="1"/>
  <c r="CG900" i="1"/>
  <c r="CH900" i="1"/>
  <c r="J901" i="1"/>
  <c r="BX901" i="1"/>
  <c r="BY901" i="1"/>
  <c r="BZ901" i="1"/>
  <c r="CA901" i="1"/>
  <c r="CB901" i="1"/>
  <c r="CC901" i="1"/>
  <c r="CD901" i="1"/>
  <c r="CE901" i="1"/>
  <c r="CF901" i="1"/>
  <c r="CG901" i="1"/>
  <c r="CH901" i="1"/>
  <c r="J902" i="1"/>
  <c r="BX902" i="1"/>
  <c r="BY902" i="1"/>
  <c r="BZ902" i="1"/>
  <c r="CA902" i="1"/>
  <c r="CB902" i="1"/>
  <c r="CC902" i="1"/>
  <c r="CD902" i="1"/>
  <c r="CE902" i="1"/>
  <c r="CF902" i="1"/>
  <c r="CG902" i="1"/>
  <c r="CH902" i="1"/>
  <c r="J903" i="1"/>
  <c r="BX903" i="1"/>
  <c r="BY903" i="1"/>
  <c r="BZ903" i="1"/>
  <c r="CA903" i="1"/>
  <c r="CB903" i="1"/>
  <c r="CC903" i="1"/>
  <c r="CD903" i="1"/>
  <c r="CE903" i="1"/>
  <c r="CF903" i="1"/>
  <c r="CG903" i="1"/>
  <c r="CH903" i="1"/>
  <c r="J904" i="1"/>
  <c r="BX904" i="1"/>
  <c r="BY904" i="1"/>
  <c r="BZ904" i="1"/>
  <c r="CA904" i="1"/>
  <c r="CB904" i="1"/>
  <c r="CC904" i="1"/>
  <c r="CD904" i="1"/>
  <c r="CE904" i="1"/>
  <c r="CF904" i="1"/>
  <c r="CG904" i="1"/>
  <c r="CH904" i="1"/>
  <c r="J905" i="1"/>
  <c r="BX905" i="1"/>
  <c r="BY905" i="1"/>
  <c r="BZ905" i="1"/>
  <c r="CA905" i="1"/>
  <c r="CB905" i="1"/>
  <c r="CC905" i="1"/>
  <c r="CD905" i="1"/>
  <c r="CE905" i="1"/>
  <c r="CF905" i="1"/>
  <c r="CG905" i="1"/>
  <c r="CH905" i="1"/>
  <c r="J906" i="1"/>
  <c r="BX906" i="1"/>
  <c r="BY906" i="1"/>
  <c r="BZ906" i="1"/>
  <c r="CA906" i="1"/>
  <c r="CB906" i="1"/>
  <c r="CC906" i="1"/>
  <c r="CD906" i="1"/>
  <c r="CE906" i="1"/>
  <c r="CF906" i="1"/>
  <c r="CG906" i="1"/>
  <c r="CH906" i="1"/>
  <c r="J907" i="1"/>
  <c r="BX907" i="1"/>
  <c r="BY907" i="1"/>
  <c r="BZ907" i="1"/>
  <c r="CA907" i="1"/>
  <c r="CB907" i="1"/>
  <c r="CC907" i="1"/>
  <c r="CD907" i="1"/>
  <c r="CE907" i="1"/>
  <c r="CF907" i="1"/>
  <c r="CG907" i="1"/>
  <c r="CH907" i="1"/>
  <c r="J908" i="1"/>
  <c r="BX908" i="1"/>
  <c r="BY908" i="1"/>
  <c r="BZ908" i="1"/>
  <c r="CA908" i="1"/>
  <c r="CB908" i="1"/>
  <c r="CC908" i="1"/>
  <c r="CD908" i="1"/>
  <c r="CE908" i="1"/>
  <c r="CF908" i="1"/>
  <c r="CG908" i="1"/>
  <c r="CH908" i="1"/>
  <c r="J909" i="1"/>
  <c r="BX909" i="1"/>
  <c r="BY909" i="1"/>
  <c r="BZ909" i="1"/>
  <c r="CA909" i="1"/>
  <c r="CB909" i="1"/>
  <c r="CC909" i="1"/>
  <c r="CD909" i="1"/>
  <c r="CE909" i="1"/>
  <c r="CF909" i="1"/>
  <c r="CG909" i="1"/>
  <c r="CH909" i="1"/>
  <c r="J910" i="1"/>
  <c r="BX910" i="1"/>
  <c r="BY910" i="1"/>
  <c r="BZ910" i="1"/>
  <c r="CA910" i="1"/>
  <c r="CB910" i="1"/>
  <c r="CC910" i="1"/>
  <c r="CD910" i="1"/>
  <c r="CE910" i="1"/>
  <c r="CF910" i="1"/>
  <c r="CG910" i="1"/>
  <c r="CH910" i="1"/>
  <c r="J911" i="1"/>
  <c r="BX911" i="1"/>
  <c r="BY911" i="1"/>
  <c r="BZ911" i="1"/>
  <c r="CA911" i="1"/>
  <c r="CB911" i="1"/>
  <c r="CC911" i="1"/>
  <c r="CD911" i="1"/>
  <c r="CE911" i="1"/>
  <c r="CF911" i="1"/>
  <c r="CG911" i="1"/>
  <c r="CH911" i="1"/>
  <c r="J912" i="1"/>
  <c r="BX912" i="1"/>
  <c r="BY912" i="1"/>
  <c r="BZ912" i="1"/>
  <c r="CA912" i="1"/>
  <c r="CB912" i="1"/>
  <c r="CC912" i="1"/>
  <c r="CD912" i="1"/>
  <c r="CE912" i="1"/>
  <c r="CF912" i="1"/>
  <c r="CG912" i="1"/>
  <c r="CH912" i="1"/>
  <c r="J913" i="1"/>
  <c r="BX913" i="1"/>
  <c r="BY913" i="1"/>
  <c r="BZ913" i="1"/>
  <c r="CA913" i="1"/>
  <c r="CB913" i="1"/>
  <c r="CC913" i="1"/>
  <c r="CD913" i="1"/>
  <c r="CE913" i="1"/>
  <c r="CF913" i="1"/>
  <c r="CG913" i="1"/>
  <c r="CH913" i="1"/>
  <c r="J914" i="1"/>
  <c r="BX914" i="1"/>
  <c r="BY914" i="1"/>
  <c r="BZ914" i="1"/>
  <c r="CA914" i="1"/>
  <c r="CB914" i="1"/>
  <c r="CC914" i="1"/>
  <c r="CD914" i="1"/>
  <c r="CE914" i="1"/>
  <c r="CF914" i="1"/>
  <c r="CG914" i="1"/>
  <c r="CH914" i="1"/>
  <c r="J915" i="1"/>
  <c r="BX915" i="1"/>
  <c r="BY915" i="1"/>
  <c r="BZ915" i="1"/>
  <c r="CA915" i="1"/>
  <c r="CB915" i="1"/>
  <c r="CC915" i="1"/>
  <c r="CD915" i="1"/>
  <c r="CE915" i="1"/>
  <c r="CF915" i="1"/>
  <c r="CG915" i="1"/>
  <c r="CH915" i="1"/>
  <c r="J916" i="1"/>
  <c r="BX916" i="1"/>
  <c r="BY916" i="1"/>
  <c r="BZ916" i="1"/>
  <c r="CA916" i="1"/>
  <c r="CB916" i="1"/>
  <c r="CC916" i="1"/>
  <c r="CD916" i="1"/>
  <c r="CE916" i="1"/>
  <c r="CF916" i="1"/>
  <c r="CG916" i="1"/>
  <c r="CH916" i="1"/>
  <c r="J917" i="1"/>
  <c r="BX917" i="1"/>
  <c r="BY917" i="1"/>
  <c r="BZ917" i="1"/>
  <c r="CA917" i="1"/>
  <c r="CB917" i="1"/>
  <c r="CC917" i="1"/>
  <c r="CD917" i="1"/>
  <c r="CE917" i="1"/>
  <c r="CF917" i="1"/>
  <c r="CG917" i="1"/>
  <c r="CH917" i="1"/>
  <c r="J918" i="1"/>
  <c r="BX918" i="1"/>
  <c r="BY918" i="1"/>
  <c r="BZ918" i="1"/>
  <c r="CA918" i="1"/>
  <c r="CB918" i="1"/>
  <c r="CC918" i="1"/>
  <c r="CD918" i="1"/>
  <c r="CE918" i="1"/>
  <c r="CF918" i="1"/>
  <c r="CG918" i="1"/>
  <c r="CH918" i="1"/>
  <c r="J919" i="1"/>
  <c r="BX919" i="1"/>
  <c r="BY919" i="1"/>
  <c r="BZ919" i="1"/>
  <c r="CA919" i="1"/>
  <c r="CB919" i="1"/>
  <c r="CC919" i="1"/>
  <c r="CD919" i="1"/>
  <c r="CE919" i="1"/>
  <c r="CF919" i="1"/>
  <c r="CG919" i="1"/>
  <c r="CH919" i="1"/>
  <c r="J920" i="1"/>
  <c r="BX920" i="1"/>
  <c r="BY920" i="1"/>
  <c r="BZ920" i="1"/>
  <c r="CA920" i="1"/>
  <c r="CB920" i="1"/>
  <c r="CC920" i="1"/>
  <c r="CD920" i="1"/>
  <c r="CE920" i="1"/>
  <c r="CF920" i="1"/>
  <c r="CG920" i="1"/>
  <c r="CH920" i="1"/>
  <c r="J921" i="1"/>
  <c r="BX921" i="1"/>
  <c r="BY921" i="1"/>
  <c r="BZ921" i="1"/>
  <c r="CA921" i="1"/>
  <c r="CB921" i="1"/>
  <c r="CC921" i="1"/>
  <c r="CD921" i="1"/>
  <c r="CE921" i="1"/>
  <c r="CF921" i="1"/>
  <c r="CG921" i="1"/>
  <c r="CH921" i="1"/>
  <c r="J922" i="1"/>
  <c r="BX922" i="1"/>
  <c r="BY922" i="1"/>
  <c r="BZ922" i="1"/>
  <c r="CA922" i="1"/>
  <c r="CB922" i="1"/>
  <c r="CC922" i="1"/>
  <c r="CD922" i="1"/>
  <c r="CE922" i="1"/>
  <c r="CF922" i="1"/>
  <c r="CG922" i="1"/>
  <c r="CH922" i="1"/>
  <c r="J923" i="1"/>
  <c r="BX923" i="1"/>
  <c r="BY923" i="1"/>
  <c r="BZ923" i="1"/>
  <c r="CA923" i="1"/>
  <c r="CB923" i="1"/>
  <c r="CC923" i="1"/>
  <c r="CD923" i="1"/>
  <c r="CE923" i="1"/>
  <c r="CF923" i="1"/>
  <c r="CG923" i="1"/>
  <c r="CH923" i="1"/>
  <c r="J924" i="1"/>
  <c r="BX924" i="1"/>
  <c r="BY924" i="1"/>
  <c r="BZ924" i="1"/>
  <c r="CA924" i="1"/>
  <c r="CB924" i="1"/>
  <c r="CC924" i="1"/>
  <c r="CD924" i="1"/>
  <c r="CE924" i="1"/>
  <c r="CF924" i="1"/>
  <c r="CG924" i="1"/>
  <c r="CH924" i="1"/>
  <c r="J925" i="1"/>
  <c r="BX925" i="1"/>
  <c r="BY925" i="1"/>
  <c r="BZ925" i="1"/>
  <c r="CA925" i="1"/>
  <c r="CB925" i="1"/>
  <c r="CC925" i="1"/>
  <c r="CD925" i="1"/>
  <c r="CE925" i="1"/>
  <c r="CF925" i="1"/>
  <c r="CG925" i="1"/>
  <c r="CH925" i="1"/>
  <c r="J926" i="1"/>
  <c r="BX926" i="1"/>
  <c r="BY926" i="1"/>
  <c r="BZ926" i="1"/>
  <c r="CA926" i="1"/>
  <c r="CB926" i="1"/>
  <c r="CC926" i="1"/>
  <c r="CD926" i="1"/>
  <c r="CE926" i="1"/>
  <c r="CF926" i="1"/>
  <c r="CG926" i="1"/>
  <c r="CH926" i="1"/>
  <c r="J927" i="1"/>
  <c r="BX927" i="1"/>
  <c r="BY927" i="1"/>
  <c r="BZ927" i="1"/>
  <c r="CA927" i="1"/>
  <c r="CB927" i="1"/>
  <c r="CC927" i="1"/>
  <c r="CD927" i="1"/>
  <c r="CE927" i="1"/>
  <c r="CF927" i="1"/>
  <c r="CG927" i="1"/>
  <c r="CH927" i="1"/>
  <c r="J928" i="1"/>
  <c r="BX928" i="1"/>
  <c r="BY928" i="1"/>
  <c r="BZ928" i="1"/>
  <c r="CA928" i="1"/>
  <c r="CB928" i="1"/>
  <c r="CC928" i="1"/>
  <c r="CD928" i="1"/>
  <c r="CE928" i="1"/>
  <c r="CF928" i="1"/>
  <c r="CG928" i="1"/>
  <c r="CH928" i="1"/>
  <c r="J929" i="1"/>
  <c r="BX929" i="1"/>
  <c r="BY929" i="1"/>
  <c r="BZ929" i="1"/>
  <c r="CA929" i="1"/>
  <c r="CB929" i="1"/>
  <c r="CC929" i="1"/>
  <c r="CD929" i="1"/>
  <c r="CE929" i="1"/>
  <c r="CF929" i="1"/>
  <c r="CG929" i="1"/>
  <c r="CH929" i="1"/>
  <c r="J930" i="1"/>
  <c r="BX930" i="1"/>
  <c r="BY930" i="1"/>
  <c r="BZ930" i="1"/>
  <c r="CA930" i="1"/>
  <c r="CB930" i="1"/>
  <c r="CC930" i="1"/>
  <c r="CD930" i="1"/>
  <c r="CE930" i="1"/>
  <c r="CF930" i="1"/>
  <c r="CG930" i="1"/>
  <c r="CH930" i="1"/>
  <c r="J931" i="1"/>
  <c r="BX931" i="1"/>
  <c r="BY931" i="1"/>
  <c r="BZ931" i="1"/>
  <c r="CA931" i="1"/>
  <c r="CB931" i="1"/>
  <c r="CC931" i="1"/>
  <c r="CD931" i="1"/>
  <c r="CE931" i="1"/>
  <c r="CF931" i="1"/>
  <c r="CG931" i="1"/>
  <c r="CH931" i="1"/>
  <c r="J932" i="1"/>
  <c r="BX932" i="1"/>
  <c r="BY932" i="1"/>
  <c r="BZ932" i="1"/>
  <c r="CA932" i="1"/>
  <c r="CB932" i="1"/>
  <c r="CC932" i="1"/>
  <c r="CD932" i="1"/>
  <c r="CE932" i="1"/>
  <c r="CF932" i="1"/>
  <c r="CG932" i="1"/>
  <c r="CH932" i="1"/>
  <c r="J933" i="1"/>
  <c r="BX933" i="1"/>
  <c r="BY933" i="1"/>
  <c r="BZ933" i="1"/>
  <c r="CA933" i="1"/>
  <c r="CB933" i="1"/>
  <c r="CC933" i="1"/>
  <c r="CD933" i="1"/>
  <c r="CE933" i="1"/>
  <c r="CF933" i="1"/>
  <c r="CG933" i="1"/>
  <c r="CH933" i="1"/>
  <c r="J934" i="1"/>
  <c r="BX934" i="1"/>
  <c r="BY934" i="1"/>
  <c r="BZ934" i="1"/>
  <c r="CA934" i="1"/>
  <c r="CB934" i="1"/>
  <c r="CC934" i="1"/>
  <c r="CD934" i="1"/>
  <c r="CE934" i="1"/>
  <c r="CF934" i="1"/>
  <c r="CG934" i="1"/>
  <c r="CH934" i="1"/>
  <c r="J935" i="1"/>
  <c r="BX935" i="1"/>
  <c r="BY935" i="1"/>
  <c r="BZ935" i="1"/>
  <c r="CA935" i="1"/>
  <c r="CB935" i="1"/>
  <c r="CC935" i="1"/>
  <c r="CD935" i="1"/>
  <c r="CE935" i="1"/>
  <c r="CF935" i="1"/>
  <c r="CG935" i="1"/>
  <c r="CH935" i="1"/>
  <c r="J936" i="1"/>
  <c r="BX936" i="1"/>
  <c r="BY936" i="1"/>
  <c r="BZ936" i="1"/>
  <c r="CA936" i="1"/>
  <c r="CB936" i="1"/>
  <c r="CC936" i="1"/>
  <c r="CD936" i="1"/>
  <c r="CE936" i="1"/>
  <c r="CF936" i="1"/>
  <c r="CG936" i="1"/>
  <c r="CH936" i="1"/>
  <c r="J937" i="1"/>
  <c r="BX937" i="1"/>
  <c r="BY937" i="1"/>
  <c r="BZ937" i="1"/>
  <c r="CA937" i="1"/>
  <c r="CB937" i="1"/>
  <c r="CC937" i="1"/>
  <c r="CD937" i="1"/>
  <c r="CE937" i="1"/>
  <c r="CF937" i="1"/>
  <c r="CG937" i="1"/>
  <c r="CH937" i="1"/>
  <c r="J938" i="1"/>
  <c r="BX938" i="1"/>
  <c r="BY938" i="1"/>
  <c r="BZ938" i="1"/>
  <c r="CA938" i="1"/>
  <c r="CB938" i="1"/>
  <c r="CC938" i="1"/>
  <c r="CD938" i="1"/>
  <c r="CE938" i="1"/>
  <c r="CF938" i="1"/>
  <c r="CG938" i="1"/>
  <c r="CH938" i="1"/>
  <c r="J939" i="1"/>
  <c r="BX939" i="1"/>
  <c r="BY939" i="1"/>
  <c r="BZ939" i="1"/>
  <c r="CA939" i="1"/>
  <c r="CB939" i="1"/>
  <c r="CC939" i="1"/>
  <c r="CD939" i="1"/>
  <c r="CE939" i="1"/>
  <c r="CF939" i="1"/>
  <c r="CG939" i="1"/>
  <c r="CH939" i="1"/>
  <c r="J940" i="1"/>
  <c r="BX940" i="1"/>
  <c r="BY940" i="1"/>
  <c r="BZ940" i="1"/>
  <c r="CA940" i="1"/>
  <c r="CB940" i="1"/>
  <c r="CC940" i="1"/>
  <c r="CD940" i="1"/>
  <c r="CE940" i="1"/>
  <c r="CF940" i="1"/>
  <c r="CG940" i="1"/>
  <c r="CH940" i="1"/>
  <c r="J941" i="1"/>
  <c r="BX941" i="1"/>
  <c r="BY941" i="1"/>
  <c r="BZ941" i="1"/>
  <c r="CA941" i="1"/>
  <c r="CB941" i="1"/>
  <c r="CC941" i="1"/>
  <c r="CD941" i="1"/>
  <c r="CE941" i="1"/>
  <c r="CF941" i="1"/>
  <c r="CG941" i="1"/>
  <c r="CH941" i="1"/>
  <c r="J942" i="1"/>
  <c r="BX942" i="1"/>
  <c r="BY942" i="1"/>
  <c r="BZ942" i="1"/>
  <c r="CA942" i="1"/>
  <c r="CB942" i="1"/>
  <c r="CC942" i="1"/>
  <c r="CD942" i="1"/>
  <c r="CE942" i="1"/>
  <c r="CF942" i="1"/>
  <c r="CG942" i="1"/>
  <c r="CH942" i="1"/>
  <c r="J943" i="1"/>
  <c r="BX943" i="1"/>
  <c r="BY943" i="1"/>
  <c r="BZ943" i="1"/>
  <c r="CA943" i="1"/>
  <c r="CB943" i="1"/>
  <c r="CC943" i="1"/>
  <c r="CD943" i="1"/>
  <c r="CE943" i="1"/>
  <c r="CF943" i="1"/>
  <c r="CG943" i="1"/>
  <c r="CH943" i="1"/>
  <c r="J944" i="1"/>
  <c r="BX944" i="1"/>
  <c r="BY944" i="1"/>
  <c r="BZ944" i="1"/>
  <c r="CA944" i="1"/>
  <c r="CB944" i="1"/>
  <c r="CC944" i="1"/>
  <c r="CD944" i="1"/>
  <c r="CE944" i="1"/>
  <c r="CF944" i="1"/>
  <c r="CG944" i="1"/>
  <c r="CH944" i="1"/>
  <c r="J945" i="1"/>
  <c r="BX945" i="1"/>
  <c r="BY945" i="1"/>
  <c r="BZ945" i="1"/>
  <c r="CA945" i="1"/>
  <c r="CB945" i="1"/>
  <c r="CC945" i="1"/>
  <c r="CD945" i="1"/>
  <c r="CE945" i="1"/>
  <c r="CF945" i="1"/>
  <c r="CG945" i="1"/>
  <c r="CH945" i="1"/>
  <c r="J946" i="1"/>
  <c r="BX946" i="1"/>
  <c r="BY946" i="1"/>
  <c r="BZ946" i="1"/>
  <c r="CA946" i="1"/>
  <c r="CB946" i="1"/>
  <c r="CC946" i="1"/>
  <c r="CD946" i="1"/>
  <c r="CE946" i="1"/>
  <c r="CF946" i="1"/>
  <c r="CG946" i="1"/>
  <c r="CH946" i="1"/>
  <c r="J947" i="1"/>
  <c r="BX947" i="1"/>
  <c r="BY947" i="1"/>
  <c r="BZ947" i="1"/>
  <c r="CA947" i="1"/>
  <c r="CB947" i="1"/>
  <c r="CC947" i="1"/>
  <c r="CD947" i="1"/>
  <c r="CE947" i="1"/>
  <c r="CF947" i="1"/>
  <c r="CG947" i="1"/>
  <c r="CH947" i="1"/>
  <c r="J948" i="1"/>
  <c r="BX948" i="1"/>
  <c r="BY948" i="1"/>
  <c r="BZ948" i="1"/>
  <c r="CA948" i="1"/>
  <c r="CB948" i="1"/>
  <c r="CC948" i="1"/>
  <c r="CD948" i="1"/>
  <c r="CE948" i="1"/>
  <c r="CF948" i="1"/>
  <c r="CG948" i="1"/>
  <c r="CH948" i="1"/>
  <c r="J949" i="1"/>
  <c r="BX949" i="1"/>
  <c r="BY949" i="1"/>
  <c r="BZ949" i="1"/>
  <c r="CA949" i="1"/>
  <c r="CB949" i="1"/>
  <c r="CC949" i="1"/>
  <c r="CD949" i="1"/>
  <c r="CE949" i="1"/>
  <c r="CF949" i="1"/>
  <c r="CG949" i="1"/>
  <c r="CH949" i="1"/>
  <c r="J950" i="1"/>
  <c r="BX950" i="1"/>
  <c r="BY950" i="1"/>
  <c r="BZ950" i="1"/>
  <c r="CA950" i="1"/>
  <c r="CB950" i="1"/>
  <c r="CC950" i="1"/>
  <c r="CD950" i="1"/>
  <c r="CE950" i="1"/>
  <c r="CF950" i="1"/>
  <c r="CG950" i="1"/>
  <c r="CH950" i="1"/>
  <c r="J951" i="1"/>
  <c r="BX951" i="1"/>
  <c r="BY951" i="1"/>
  <c r="BZ951" i="1"/>
  <c r="CA951" i="1"/>
  <c r="CB951" i="1"/>
  <c r="CC951" i="1"/>
  <c r="CD951" i="1"/>
  <c r="CE951" i="1"/>
  <c r="CF951" i="1"/>
  <c r="CG951" i="1"/>
  <c r="CH951" i="1"/>
  <c r="J952" i="1"/>
  <c r="BX952" i="1"/>
  <c r="BY952" i="1"/>
  <c r="BZ952" i="1"/>
  <c r="CA952" i="1"/>
  <c r="CB952" i="1"/>
  <c r="CC952" i="1"/>
  <c r="CD952" i="1"/>
  <c r="CE952" i="1"/>
  <c r="CF952" i="1"/>
  <c r="CG952" i="1"/>
  <c r="CH952" i="1"/>
  <c r="J953" i="1"/>
  <c r="BX953" i="1"/>
  <c r="BY953" i="1"/>
  <c r="BZ953" i="1"/>
  <c r="CA953" i="1"/>
  <c r="CB953" i="1"/>
  <c r="CC953" i="1"/>
  <c r="CD953" i="1"/>
  <c r="CE953" i="1"/>
  <c r="CF953" i="1"/>
  <c r="CG953" i="1"/>
  <c r="CH953" i="1"/>
  <c r="J954" i="1"/>
  <c r="BX954" i="1"/>
  <c r="BY954" i="1"/>
  <c r="BZ954" i="1"/>
  <c r="CA954" i="1"/>
  <c r="CB954" i="1"/>
  <c r="CC954" i="1"/>
  <c r="CD954" i="1"/>
  <c r="CE954" i="1"/>
  <c r="CF954" i="1"/>
  <c r="CG954" i="1"/>
  <c r="CH954" i="1"/>
  <c r="J955" i="1"/>
  <c r="BX955" i="1"/>
  <c r="BY955" i="1"/>
  <c r="BZ955" i="1"/>
  <c r="CA955" i="1"/>
  <c r="CB955" i="1"/>
  <c r="CC955" i="1"/>
  <c r="CD955" i="1"/>
  <c r="CE955" i="1"/>
  <c r="CF955" i="1"/>
  <c r="CG955" i="1"/>
  <c r="CH955" i="1"/>
  <c r="J956" i="1"/>
  <c r="BX956" i="1"/>
  <c r="BY956" i="1"/>
  <c r="BZ956" i="1"/>
  <c r="CA956" i="1"/>
  <c r="CB956" i="1"/>
  <c r="CC956" i="1"/>
  <c r="CD956" i="1"/>
  <c r="CE956" i="1"/>
  <c r="CF956" i="1"/>
  <c r="CG956" i="1"/>
  <c r="CH956" i="1"/>
  <c r="J957" i="1"/>
  <c r="BX957" i="1"/>
  <c r="BY957" i="1"/>
  <c r="BZ957" i="1"/>
  <c r="CA957" i="1"/>
  <c r="CB957" i="1"/>
  <c r="CC957" i="1"/>
  <c r="CD957" i="1"/>
  <c r="CE957" i="1"/>
  <c r="CF957" i="1"/>
  <c r="CG957" i="1"/>
  <c r="CH957" i="1"/>
  <c r="J958" i="1"/>
  <c r="BX958" i="1"/>
  <c r="BY958" i="1"/>
  <c r="BZ958" i="1"/>
  <c r="CA958" i="1"/>
  <c r="CB958" i="1"/>
  <c r="CC958" i="1"/>
  <c r="CD958" i="1"/>
  <c r="CE958" i="1"/>
  <c r="CF958" i="1"/>
  <c r="CG958" i="1"/>
  <c r="CH958" i="1"/>
  <c r="J959" i="1"/>
  <c r="BX959" i="1"/>
  <c r="BY959" i="1"/>
  <c r="BZ959" i="1"/>
  <c r="CA959" i="1"/>
  <c r="CB959" i="1"/>
  <c r="CC959" i="1"/>
  <c r="CD959" i="1"/>
  <c r="CE959" i="1"/>
  <c r="CF959" i="1"/>
  <c r="CG959" i="1"/>
  <c r="CH959" i="1"/>
  <c r="J960" i="1"/>
  <c r="BX960" i="1"/>
  <c r="BY960" i="1"/>
  <c r="BZ960" i="1"/>
  <c r="CA960" i="1"/>
  <c r="CB960" i="1"/>
  <c r="CC960" i="1"/>
  <c r="CD960" i="1"/>
  <c r="CE960" i="1"/>
  <c r="CF960" i="1"/>
  <c r="CG960" i="1"/>
  <c r="CH960" i="1"/>
  <c r="J961" i="1"/>
  <c r="BX961" i="1"/>
  <c r="BY961" i="1"/>
  <c r="BZ961" i="1"/>
  <c r="CA961" i="1"/>
  <c r="CB961" i="1"/>
  <c r="CC961" i="1"/>
  <c r="CD961" i="1"/>
  <c r="CE961" i="1"/>
  <c r="CF961" i="1"/>
  <c r="CG961" i="1"/>
  <c r="CH961" i="1"/>
  <c r="J962" i="1"/>
  <c r="BX962" i="1"/>
  <c r="BY962" i="1"/>
  <c r="BZ962" i="1"/>
  <c r="CA962" i="1"/>
  <c r="CB962" i="1"/>
  <c r="CC962" i="1"/>
  <c r="CD962" i="1"/>
  <c r="CE962" i="1"/>
  <c r="CF962" i="1"/>
  <c r="CG962" i="1"/>
  <c r="CH962" i="1"/>
  <c r="J963" i="1"/>
  <c r="BX963" i="1"/>
  <c r="BY963" i="1"/>
  <c r="BZ963" i="1"/>
  <c r="CA963" i="1"/>
  <c r="CB963" i="1"/>
  <c r="CC963" i="1"/>
  <c r="CD963" i="1"/>
  <c r="CE963" i="1"/>
  <c r="CF963" i="1"/>
  <c r="CG963" i="1"/>
  <c r="CH963" i="1"/>
  <c r="J964" i="1"/>
  <c r="BX964" i="1"/>
  <c r="BY964" i="1"/>
  <c r="BZ964" i="1"/>
  <c r="CA964" i="1"/>
  <c r="CB964" i="1"/>
  <c r="CC964" i="1"/>
  <c r="CD964" i="1"/>
  <c r="CE964" i="1"/>
  <c r="CF964" i="1"/>
  <c r="CG964" i="1"/>
  <c r="CH964" i="1"/>
  <c r="J965" i="1"/>
  <c r="BX965" i="1"/>
  <c r="BY965" i="1"/>
  <c r="BZ965" i="1"/>
  <c r="CA965" i="1"/>
  <c r="CB965" i="1"/>
  <c r="CC965" i="1"/>
  <c r="CD965" i="1"/>
  <c r="CE965" i="1"/>
  <c r="CF965" i="1"/>
  <c r="CG965" i="1"/>
  <c r="CH965" i="1"/>
  <c r="J966" i="1"/>
  <c r="BX966" i="1"/>
  <c r="BY966" i="1"/>
  <c r="BZ966" i="1"/>
  <c r="CA966" i="1"/>
  <c r="CB966" i="1"/>
  <c r="CC966" i="1"/>
  <c r="CD966" i="1"/>
  <c r="CE966" i="1"/>
  <c r="CF966" i="1"/>
  <c r="CG966" i="1"/>
  <c r="CH966" i="1"/>
  <c r="J967" i="1"/>
  <c r="BX967" i="1"/>
  <c r="BY967" i="1"/>
  <c r="BZ967" i="1"/>
  <c r="CA967" i="1"/>
  <c r="CB967" i="1"/>
  <c r="CC967" i="1"/>
  <c r="CD967" i="1"/>
  <c r="CE967" i="1"/>
  <c r="CF967" i="1"/>
  <c r="CG967" i="1"/>
  <c r="CH967" i="1"/>
  <c r="J968" i="1"/>
  <c r="BX968" i="1"/>
  <c r="BY968" i="1"/>
  <c r="BZ968" i="1"/>
  <c r="CA968" i="1"/>
  <c r="CB968" i="1"/>
  <c r="CC968" i="1"/>
  <c r="CD968" i="1"/>
  <c r="CE968" i="1"/>
  <c r="CF968" i="1"/>
  <c r="CG968" i="1"/>
  <c r="CH968" i="1"/>
  <c r="J969" i="1"/>
  <c r="BX969" i="1"/>
  <c r="BY969" i="1"/>
  <c r="BZ969" i="1"/>
  <c r="CA969" i="1"/>
  <c r="CB969" i="1"/>
  <c r="CC969" i="1"/>
  <c r="CD969" i="1"/>
  <c r="CE969" i="1"/>
  <c r="CF969" i="1"/>
  <c r="CG969" i="1"/>
  <c r="CH969" i="1"/>
  <c r="J970" i="1"/>
  <c r="BX970" i="1"/>
  <c r="BY970" i="1"/>
  <c r="BZ970" i="1"/>
  <c r="CA970" i="1"/>
  <c r="CB970" i="1"/>
  <c r="CC970" i="1"/>
  <c r="CD970" i="1"/>
  <c r="CE970" i="1"/>
  <c r="CF970" i="1"/>
  <c r="CG970" i="1"/>
  <c r="CH970" i="1"/>
  <c r="J971" i="1"/>
  <c r="BX971" i="1"/>
  <c r="BY971" i="1"/>
  <c r="BZ971" i="1"/>
  <c r="CA971" i="1"/>
  <c r="CB971" i="1"/>
  <c r="CC971" i="1"/>
  <c r="CD971" i="1"/>
  <c r="CE971" i="1"/>
  <c r="CF971" i="1"/>
  <c r="CG971" i="1"/>
  <c r="CH971" i="1"/>
  <c r="J972" i="1"/>
  <c r="BX972" i="1"/>
  <c r="BY972" i="1"/>
  <c r="BZ972" i="1"/>
  <c r="CA972" i="1"/>
  <c r="CB972" i="1"/>
  <c r="CC972" i="1"/>
  <c r="CD972" i="1"/>
  <c r="CE972" i="1"/>
  <c r="CF972" i="1"/>
  <c r="CG972" i="1"/>
  <c r="CH972" i="1"/>
  <c r="J973" i="1"/>
  <c r="BX973" i="1"/>
  <c r="BY973" i="1"/>
  <c r="BZ973" i="1"/>
  <c r="CA973" i="1"/>
  <c r="CB973" i="1"/>
  <c r="CC973" i="1"/>
  <c r="CD973" i="1"/>
  <c r="CE973" i="1"/>
  <c r="CF973" i="1"/>
  <c r="CG973" i="1"/>
  <c r="CH973" i="1"/>
  <c r="J974" i="1"/>
  <c r="BX974" i="1"/>
  <c r="BY974" i="1"/>
  <c r="BZ974" i="1"/>
  <c r="CA974" i="1"/>
  <c r="CB974" i="1"/>
  <c r="CC974" i="1"/>
  <c r="CD974" i="1"/>
  <c r="CE974" i="1"/>
  <c r="CF974" i="1"/>
  <c r="CG974" i="1"/>
  <c r="CH974" i="1"/>
</calcChain>
</file>

<file path=xl/sharedStrings.xml><?xml version="1.0" encoding="utf-8"?>
<sst xmlns="http://schemas.openxmlformats.org/spreadsheetml/2006/main" count="41495" uniqueCount="6905">
  <si>
    <t>949-753-9713</t>
  </si>
  <si>
    <t>33.656771,-117.733695</t>
  </si>
  <si>
    <t>IRVL</t>
  </si>
  <si>
    <t>ISE</t>
  </si>
  <si>
    <t>Isleton, California</t>
  </si>
  <si>
    <t>100 2nd Street</t>
  </si>
  <si>
    <t>Delta Breeze Transit Stop</t>
  </si>
  <si>
    <t>at the Isleton Fire Department</t>
  </si>
  <si>
    <t>Isleton</t>
  </si>
  <si>
    <t>38.161723,-121.612580</t>
  </si>
  <si>
    <t>JAN</t>
  </si>
  <si>
    <t>Jackson, Mississippi</t>
  </si>
  <si>
    <t>300 West Capitol Street</t>
  </si>
  <si>
    <t>Jackson</t>
  </si>
  <si>
    <t>601-355-6350</t>
  </si>
  <si>
    <t>32.300808,-90.190936</t>
  </si>
  <si>
    <t>Intermodal Station - Greyhound in same building.</t>
  </si>
  <si>
    <t>JANL</t>
  </si>
  <si>
    <t>JAX</t>
  </si>
  <si>
    <t>Jacksonville, Florida</t>
  </si>
  <si>
    <t>3570 Clifford Lane</t>
  </si>
  <si>
    <t>Jacksonville</t>
  </si>
  <si>
    <t>904-766-5110</t>
  </si>
  <si>
    <t>30.365601,-81.723893</t>
  </si>
  <si>
    <t>JEF</t>
  </si>
  <si>
    <t>Jefferson City, Missouri</t>
  </si>
  <si>
    <t>101 Jefferson Street</t>
  </si>
  <si>
    <t>Jefferson City</t>
  </si>
  <si>
    <t>38.578870,-92.169906</t>
  </si>
  <si>
    <t>Caretaker opens building at station hours shown</t>
  </si>
  <si>
    <t>St. Louis, MIssouri</t>
  </si>
  <si>
    <t>JES</t>
  </si>
  <si>
    <t>Jessup, Maryland</t>
  </si>
  <si>
    <t>8 Old Jessup Road</t>
  </si>
  <si>
    <t>Jessup</t>
  </si>
  <si>
    <t>JMN</t>
  </si>
  <si>
    <t>Jamestown, New York</t>
  </si>
  <si>
    <t>4th and Clinton Streets - temporary bus stop</t>
  </si>
  <si>
    <t>111 West 3rd Street, US News - bus co tickets</t>
  </si>
  <si>
    <t>Jamestown</t>
  </si>
  <si>
    <t>Coach USA Erie</t>
  </si>
  <si>
    <t>42.096008,-79.242948</t>
  </si>
  <si>
    <t>Jamestown News</t>
  </si>
  <si>
    <t>Buffalo-Depew , NY 14043</t>
  </si>
  <si>
    <t>JNL</t>
  </si>
  <si>
    <t>June Lake, California</t>
  </si>
  <si>
    <t>June Lake Loop</t>
  </si>
  <si>
    <t>June Lake Ski Area Parking Lot</t>
  </si>
  <si>
    <t>June Lake</t>
  </si>
  <si>
    <t>37.768016,-119.090692</t>
  </si>
  <si>
    <t>Summertime only stop, hwy 120 closed over the pass in winter</t>
  </si>
  <si>
    <t>Unstaffed Thruway Bus Stop - No Amtrak services</t>
  </si>
  <si>
    <t>JOL</t>
  </si>
  <si>
    <t>Joliet, Illinois</t>
  </si>
  <si>
    <t>50 East Jefferson Street</t>
  </si>
  <si>
    <t>Joliet</t>
  </si>
  <si>
    <t>815-727-9279</t>
  </si>
  <si>
    <t>41.524521,-88.079753</t>
  </si>
  <si>
    <t>JOLL</t>
  </si>
  <si>
    <t>JSP</t>
  </si>
  <si>
    <t>Jesup, Georgia</t>
  </si>
  <si>
    <t>176 Northwest Broad Street</t>
  </si>
  <si>
    <t>Jesup</t>
  </si>
  <si>
    <t>31.605589,-81.882173</t>
  </si>
  <si>
    <t>JST</t>
  </si>
  <si>
    <t>Johnstown, Pennsylvania</t>
  </si>
  <si>
    <t>47 Walnut Street</t>
  </si>
  <si>
    <t>Johnstown</t>
  </si>
  <si>
    <t>814-535-3313</t>
  </si>
  <si>
    <t>40.329689,-78.921996</t>
  </si>
  <si>
    <t>NOTE:     Tickets must be purchased prior to 5:45pm</t>
  </si>
  <si>
    <t>JSTL</t>
  </si>
  <si>
    <t>JVL</t>
  </si>
  <si>
    <t>Janesville, Wisconsin</t>
  </si>
  <si>
    <t>3120 North Pontiac Drive</t>
  </si>
  <si>
    <t>Bus Station</t>
  </si>
  <si>
    <t>Janesville</t>
  </si>
  <si>
    <t>800-747-0994</t>
  </si>
  <si>
    <t>42.719995,-88.988186</t>
  </si>
  <si>
    <t>JXN</t>
  </si>
  <si>
    <t>Jackson, Michigan</t>
  </si>
  <si>
    <t>501 East Michigan Avenue</t>
  </si>
  <si>
    <t>517-787-6385</t>
  </si>
  <si>
    <t>42.248113,-84.399670</t>
  </si>
  <si>
    <t>Station closes at 3:00 pm</t>
  </si>
  <si>
    <t>JXNL</t>
  </si>
  <si>
    <t>KAL</t>
  </si>
  <si>
    <t>Kalamazoo, Michigan</t>
  </si>
  <si>
    <t>459 North Burdick Street</t>
  </si>
  <si>
    <t>Kalamazoo</t>
  </si>
  <si>
    <t>269-344-1841</t>
  </si>
  <si>
    <t>42.295255,-85.584018</t>
  </si>
  <si>
    <t>No parking at station.  See "parking" screen for nearby lot.</t>
  </si>
  <si>
    <t>KALL</t>
  </si>
  <si>
    <t>KAN</t>
  </si>
  <si>
    <t>Kannapolis, North Carolina</t>
  </si>
  <si>
    <t>201 South Main Street</t>
  </si>
  <si>
    <t>Kannapolis</t>
  </si>
  <si>
    <t>35.496172,-80.624928</t>
  </si>
  <si>
    <t>KCY</t>
  </si>
  <si>
    <t>Kansas City, Missouri</t>
  </si>
  <si>
    <t>30 West Pershing Road</t>
  </si>
  <si>
    <t>Union Station, Suite 160</t>
  </si>
  <si>
    <t>Kansas City</t>
  </si>
  <si>
    <t>816-421-3622</t>
  </si>
  <si>
    <t>39.084576,-94.585129</t>
  </si>
  <si>
    <t>P732</t>
  </si>
  <si>
    <t>Assistant Superintendent Passenger Service</t>
  </si>
  <si>
    <t>KEE</t>
  </si>
  <si>
    <t>Kewanee, Illinois</t>
  </si>
  <si>
    <t>210 West Third Street</t>
  </si>
  <si>
    <t>Near 3rd and North Tremont Streets</t>
  </si>
  <si>
    <t>Kewanee</t>
  </si>
  <si>
    <t>41.245765,-89.927544</t>
  </si>
  <si>
    <t>KEL</t>
  </si>
  <si>
    <t>Kelso-Longview, Washington</t>
  </si>
  <si>
    <t>501 South First Street</t>
  </si>
  <si>
    <t>Kelso</t>
  </si>
  <si>
    <t>46.142264,-122.913016</t>
  </si>
  <si>
    <t>Service Manager Of Stations</t>
  </si>
  <si>
    <t>KFS</t>
  </si>
  <si>
    <t>Klamath Falls, Oregon</t>
  </si>
  <si>
    <t>1600 Oak Avenue</t>
  </si>
  <si>
    <t>Klamath Falls</t>
  </si>
  <si>
    <t>541-884-2822</t>
  </si>
  <si>
    <t>42.225509,-121.771952</t>
  </si>
  <si>
    <t>No unaccompanied children on Train #11</t>
  </si>
  <si>
    <t>KFSL</t>
  </si>
  <si>
    <t>Room 250, 800 NW 6th Ave, Portland, Oregon</t>
  </si>
  <si>
    <t>Seattle</t>
  </si>
  <si>
    <t>KGC</t>
  </si>
  <si>
    <t>King City, California</t>
  </si>
  <si>
    <t>1350 Broadway Circle</t>
  </si>
  <si>
    <t>McDonalds Restaurant - south side parking lot</t>
  </si>
  <si>
    <t>King City</t>
  </si>
  <si>
    <t>36.202547,-121.136344</t>
  </si>
  <si>
    <t>Unstaffed Bus Stop - No Amtrak Services</t>
  </si>
  <si>
    <t>200 SANTA FE AVE. #A, HANFORD, CA. 93230</t>
  </si>
  <si>
    <t>KGS</t>
  </si>
  <si>
    <t>Kingsley, Michigan</t>
  </si>
  <si>
    <t>119 East Main Street (Hwy 113)</t>
  </si>
  <si>
    <t>Kingsley Laundromat</t>
  </si>
  <si>
    <t>Kingsley</t>
  </si>
  <si>
    <t>44.584797,-85.535201</t>
  </si>
  <si>
    <t>KIL</t>
  </si>
  <si>
    <t>Killeen, Texas</t>
  </si>
  <si>
    <t>200 East Avenue C</t>
  </si>
  <si>
    <t>Arrow Trailways Bus Station</t>
  </si>
  <si>
    <t>Killeen</t>
  </si>
  <si>
    <t>31.121152,-97.728617</t>
  </si>
  <si>
    <t>KIN</t>
  </si>
  <si>
    <t>Kingston, Rhode Island</t>
  </si>
  <si>
    <t>1 Railroad Avenue</t>
  </si>
  <si>
    <t>West Kingston</t>
  </si>
  <si>
    <t>RI</t>
  </si>
  <si>
    <t>401-783-2913</t>
  </si>
  <si>
    <t>41.483959,-71.560597</t>
  </si>
  <si>
    <t>Mail:  PO Box 525, West Kingston, RI 02892-0525.</t>
  </si>
  <si>
    <t>P707</t>
  </si>
  <si>
    <t>PVD</t>
  </si>
  <si>
    <t>P78F</t>
  </si>
  <si>
    <t>401-727-7276</t>
  </si>
  <si>
    <t>KIS</t>
  </si>
  <si>
    <t>Kissimmee, Florida</t>
  </si>
  <si>
    <t>111 East Dakin Avenue</t>
  </si>
  <si>
    <t>Kissimmee</t>
  </si>
  <si>
    <t>407-933-1170</t>
  </si>
  <si>
    <t>28.293835,-81.404234</t>
  </si>
  <si>
    <t>KISL</t>
  </si>
  <si>
    <t>Orlando Station</t>
  </si>
  <si>
    <t>MOE7</t>
  </si>
  <si>
    <t>KKI</t>
  </si>
  <si>
    <t>Kankakee, Illinois</t>
  </si>
  <si>
    <t>199 South East Ave.</t>
  </si>
  <si>
    <t>Kankakee</t>
  </si>
  <si>
    <t>41.119259,-87.865430</t>
  </si>
  <si>
    <t>ST LOUIS MISSOURI</t>
  </si>
  <si>
    <t>KLK</t>
  </si>
  <si>
    <t>Kalkaska, Michigan</t>
  </si>
  <si>
    <t>906 North Cedar St.</t>
  </si>
  <si>
    <t>Arby's</t>
  </si>
  <si>
    <t>Kalkaska</t>
  </si>
  <si>
    <t>44.743685,-85.173641</t>
  </si>
  <si>
    <t>Picks up at Ace Hardware</t>
  </si>
  <si>
    <t>KNG</t>
  </si>
  <si>
    <t>Kingman, Arizona</t>
  </si>
  <si>
    <t>106 4th Street</t>
  </si>
  <si>
    <t>Kingman</t>
  </si>
  <si>
    <t>KGX</t>
  </si>
  <si>
    <t>35.188279,-114.052816</t>
  </si>
  <si>
    <t>KNT</t>
  </si>
  <si>
    <t>Kent Island, Maryland</t>
  </si>
  <si>
    <t>3206 Main Street</t>
  </si>
  <si>
    <t>Hilton Garden Inn</t>
  </si>
  <si>
    <t>Grasonville</t>
  </si>
  <si>
    <t>38.966498,-76.240827</t>
  </si>
  <si>
    <t>KSM</t>
  </si>
  <si>
    <t>Kensington, Maryland</t>
  </si>
  <si>
    <t>10417 Howard Ave.</t>
  </si>
  <si>
    <t>KTC</t>
  </si>
  <si>
    <t>Kettleman City, California</t>
  </si>
  <si>
    <t>3300 Hubert Way</t>
  </si>
  <si>
    <t>I-5 &amp; Hwy 41 (Carl's Jr Restaurant)</t>
  </si>
  <si>
    <t>Kettleman City</t>
  </si>
  <si>
    <t>35.988483,-119.960609</t>
  </si>
  <si>
    <t>KTF</t>
  </si>
  <si>
    <t>Kettle Falls, Washington</t>
  </si>
  <si>
    <t>425 West Third Avenue</t>
  </si>
  <si>
    <t>Kettle Falls</t>
  </si>
  <si>
    <t>48.610370,-118.061899</t>
  </si>
  <si>
    <t>KTR</t>
  </si>
  <si>
    <t>Kingstree, South Carolina</t>
  </si>
  <si>
    <t>101 East Main St.</t>
  </si>
  <si>
    <t>Kingstree</t>
  </si>
  <si>
    <t>33.663882,-79.829026</t>
  </si>
  <si>
    <t>3570 Clifford Lane Jacksonville Fl</t>
  </si>
  <si>
    <t>KWD</t>
  </si>
  <si>
    <t>Kirkwood, Missouri</t>
  </si>
  <si>
    <t>110 West Argonne Drive</t>
  </si>
  <si>
    <t>Kirkwood</t>
  </si>
  <si>
    <t>38.806503,-77.062330</t>
  </si>
  <si>
    <t>ALXL</t>
  </si>
  <si>
    <t>Station Manager, Customer Services</t>
  </si>
  <si>
    <t>Washington D.C.</t>
  </si>
  <si>
    <t>was</t>
  </si>
  <si>
    <t>P438</t>
  </si>
  <si>
    <t>????</t>
  </si>
  <si>
    <t>ALY</t>
  </si>
  <si>
    <t>Albany, Oregon</t>
  </si>
  <si>
    <t>110 10th Avenue SW</t>
  </si>
  <si>
    <t>Albany</t>
  </si>
  <si>
    <t>Pacific Northwest</t>
  </si>
  <si>
    <t>541-928-0885</t>
  </si>
  <si>
    <t>44.630464,-123.102774</t>
  </si>
  <si>
    <t>ALYL</t>
  </si>
  <si>
    <t>District Manager</t>
  </si>
  <si>
    <t>Portland, OR</t>
  </si>
  <si>
    <t>PD7</t>
  </si>
  <si>
    <t>YCE7</t>
  </si>
  <si>
    <t>Asst Superintendent Passenger Service</t>
  </si>
  <si>
    <t>Seattle, WA</t>
  </si>
  <si>
    <t>SE7</t>
  </si>
  <si>
    <t>P706</t>
  </si>
  <si>
    <t>AMM</t>
  </si>
  <si>
    <t>Amherst, Massachusetts</t>
  </si>
  <si>
    <t>13 Railroad Street</t>
  </si>
  <si>
    <t>Amherst</t>
  </si>
  <si>
    <t>MA</t>
  </si>
  <si>
    <t>42.375315,-72.511567</t>
  </si>
  <si>
    <t>Supervisor customer Services</t>
  </si>
  <si>
    <t>Springfield, MA</t>
  </si>
  <si>
    <t>SPG</t>
  </si>
  <si>
    <t>SPGL</t>
  </si>
  <si>
    <t>Manager of Cusotmer Service</t>
  </si>
  <si>
    <t>New Haven, CT</t>
  </si>
  <si>
    <t>NH7</t>
  </si>
  <si>
    <t>NHVL</t>
  </si>
  <si>
    <t>AMS</t>
  </si>
  <si>
    <t>Amsterdam, New York</t>
  </si>
  <si>
    <t>466 West Main Street</t>
  </si>
  <si>
    <t>Route 5 West</t>
  </si>
  <si>
    <t>Amsterdam</t>
  </si>
  <si>
    <t>42.953719,-74.219500</t>
  </si>
  <si>
    <t>Station building closed due to flood damage</t>
  </si>
  <si>
    <t>ALBANY/RENSSELAER NY</t>
  </si>
  <si>
    <t>Al7</t>
  </si>
  <si>
    <t>ANA</t>
  </si>
  <si>
    <t>Anaheim, California</t>
  </si>
  <si>
    <t>2150 East Katella Avenue</t>
  </si>
  <si>
    <t>Anaheim Stadium Parking Lot</t>
  </si>
  <si>
    <t>Anaheim</t>
  </si>
  <si>
    <t>714-385-1448</t>
  </si>
  <si>
    <t>33.803507,-117.882263</t>
  </si>
  <si>
    <t>future hall of famer Barry Bonds played near here</t>
  </si>
  <si>
    <t>A07F</t>
  </si>
  <si>
    <t>Santa Barbara, CA</t>
  </si>
  <si>
    <t>SB7</t>
  </si>
  <si>
    <t>SBAL</t>
  </si>
  <si>
    <t>APP</t>
  </si>
  <si>
    <t>Appleton, Wisconsin</t>
  </si>
  <si>
    <t>100 East Washington Street</t>
  </si>
  <si>
    <t>Appleton Transit Center</t>
  </si>
  <si>
    <t>Appleton</t>
  </si>
  <si>
    <t>414-733-2318</t>
  </si>
  <si>
    <t>44.263311,-88.405852</t>
  </si>
  <si>
    <t>unstaffed</t>
  </si>
  <si>
    <t>433 West St. Paul Avenue / Milwaukee / WI / 53203</t>
  </si>
  <si>
    <t>MK7</t>
  </si>
  <si>
    <t>MKEL</t>
  </si>
  <si>
    <t>ASSISTANT SUPERINTENDENT, PASSENGER SERVICES</t>
  </si>
  <si>
    <t>525 W. Van Buren St., Chicago, IL 60607</t>
  </si>
  <si>
    <t>ARB</t>
  </si>
  <si>
    <t>Ann Arbor, Michigan</t>
  </si>
  <si>
    <t>325 Depot Street</t>
  </si>
  <si>
    <t>Ann Arbor</t>
  </si>
  <si>
    <t>734-994-4906</t>
  </si>
  <si>
    <t>VIA Rail Canada</t>
  </si>
  <si>
    <t>42.287692,-83.743154</t>
  </si>
  <si>
    <t>Minimal parking esp weekends/holidays, see "parking" screen</t>
  </si>
  <si>
    <t>ARBL</t>
  </si>
  <si>
    <t>District Station Manager-East</t>
  </si>
  <si>
    <t>Assist. Superintendent, Customer Service</t>
  </si>
  <si>
    <t>ARC</t>
  </si>
  <si>
    <t>Arcata, California</t>
  </si>
  <si>
    <t>925 E Street</t>
  </si>
  <si>
    <t>Transit Center</t>
  </si>
  <si>
    <t>Arcata</t>
  </si>
  <si>
    <t>40.868633,-124.083805</t>
  </si>
  <si>
    <t>Unstaffed Thruway Bus Stop</t>
  </si>
  <si>
    <t>Manager Thruway Bus Operations</t>
  </si>
  <si>
    <t>Director of Bus Operations</t>
  </si>
  <si>
    <t>Los Angeles, California</t>
  </si>
  <si>
    <t>ARD</t>
  </si>
  <si>
    <t>Ardmore, Pennsylvania</t>
  </si>
  <si>
    <t>Station Road and Lancaster Avenue</t>
  </si>
  <si>
    <t>Septa</t>
  </si>
  <si>
    <t>40.008278,-75.290399</t>
  </si>
  <si>
    <t>Station Manager</t>
  </si>
  <si>
    <t>Philadelphia, PA</t>
  </si>
  <si>
    <t>PH7</t>
  </si>
  <si>
    <t xml:space="preserve"> Assistant Superintendent, Stations</t>
  </si>
  <si>
    <t>ARI</t>
  </si>
  <si>
    <t>Astoria (Shell Station Mini Mart), Oregon</t>
  </si>
  <si>
    <t>95 West Marine Drive</t>
  </si>
  <si>
    <t>Shell Station/Mini Mart</t>
  </si>
  <si>
    <t>Astoria</t>
  </si>
  <si>
    <t>503-325-4162</t>
  </si>
  <si>
    <t>ARX</t>
  </si>
  <si>
    <t>For Bus to PDX</t>
  </si>
  <si>
    <t>46.190543,-123.844997</t>
  </si>
  <si>
    <t>Service Manager</t>
  </si>
  <si>
    <t>Portland, Oregon</t>
  </si>
  <si>
    <t>ARK</t>
  </si>
  <si>
    <t>Arkadelphia, Arkansas</t>
  </si>
  <si>
    <t>798 South 5th Street</t>
  </si>
  <si>
    <t>Arkadelphia</t>
  </si>
  <si>
    <t>AR</t>
  </si>
  <si>
    <t>34.113919,-93.053284</t>
  </si>
  <si>
    <t>UnStaffed Station</t>
  </si>
  <si>
    <t>St.Louis, MO</t>
  </si>
  <si>
    <t>asst. Superintendent - Passenger Services</t>
  </si>
  <si>
    <t>ARN</t>
  </si>
  <si>
    <t>Auburn, California</t>
  </si>
  <si>
    <t>277 Nevada Street</t>
  </si>
  <si>
    <t>at Fulweiler Street</t>
  </si>
  <si>
    <t>Auburn</t>
  </si>
  <si>
    <t>38.903638,-121.083187</t>
  </si>
  <si>
    <t>Manager Of Stations</t>
  </si>
  <si>
    <t>Sacramento, CA</t>
  </si>
  <si>
    <t>District Manager Of Stations</t>
  </si>
  <si>
    <t>ART</t>
  </si>
  <si>
    <t>Astoria (Transit Center), Oregon</t>
  </si>
  <si>
    <t>900 Marine Drive</t>
  </si>
  <si>
    <t>Astoria Transit Center</t>
  </si>
  <si>
    <t>503-861-7433</t>
  </si>
  <si>
    <t>Bus to Portland</t>
  </si>
  <si>
    <t>46.190210,-123.833290</t>
  </si>
  <si>
    <t>None</t>
  </si>
  <si>
    <t>Asst Superintendent Passenger Services</t>
  </si>
  <si>
    <t>Seattle, Washington</t>
  </si>
  <si>
    <t>ASD</t>
  </si>
  <si>
    <t>Ashland, Virginia</t>
  </si>
  <si>
    <t>112 North Railroad Avenue</t>
  </si>
  <si>
    <t>37.759596,-77.481304</t>
  </si>
  <si>
    <t>Acting District Manager, Customer Services</t>
  </si>
  <si>
    <t>Richmond, VA (RVR)</t>
  </si>
  <si>
    <t>Assistant Superintendent, Customer Service</t>
  </si>
  <si>
    <t>Washington, DC</t>
  </si>
  <si>
    <t>AST</t>
  </si>
  <si>
    <t>Aldershot, Ontario</t>
  </si>
  <si>
    <t>1199 Waterdown Road</t>
  </si>
  <si>
    <t>Aldershot</t>
  </si>
  <si>
    <t>ON</t>
  </si>
  <si>
    <t>Canada</t>
  </si>
  <si>
    <t>VIA Rail Canada Inc.</t>
  </si>
  <si>
    <t>888-842-7245</t>
  </si>
  <si>
    <t>XLY</t>
  </si>
  <si>
    <t>VIAnet:  ALDR</t>
  </si>
  <si>
    <t>43.313413,-79.855712</t>
  </si>
  <si>
    <t>Ticketing:  G/OCC/VIA/P33</t>
  </si>
  <si>
    <t>Station Staffed By Via Rail Canada</t>
  </si>
  <si>
    <t>Manager, Terminal Services (VIA)</t>
  </si>
  <si>
    <t>Room 222, Toronto, Ontario</t>
  </si>
  <si>
    <t>TWO</t>
  </si>
  <si>
    <t>Manager, Terminal Services (Via Rail)</t>
  </si>
  <si>
    <t>ATA</t>
  </si>
  <si>
    <t>Atascadero, California</t>
  </si>
  <si>
    <t>6904 El Camino Real</t>
  </si>
  <si>
    <t xml:space="preserve">Atascadero Transit stop </t>
  </si>
  <si>
    <t>in front of Chamber of Commerce</t>
  </si>
  <si>
    <t>Atascadero</t>
  </si>
  <si>
    <t>35.487255,-120.666534</t>
  </si>
  <si>
    <t>For more information, See "Thruway Service"</t>
  </si>
  <si>
    <t>BUS</t>
  </si>
  <si>
    <t>Director Thruway Bus Operations</t>
  </si>
  <si>
    <t>LADP</t>
  </si>
  <si>
    <t>ATI</t>
  </si>
  <si>
    <t>Athol, Idaho</t>
  </si>
  <si>
    <t>29801 US Highway 95</t>
  </si>
  <si>
    <t>Cydco Cenex Gas Station</t>
  </si>
  <si>
    <t>Athol</t>
  </si>
  <si>
    <t>ID</t>
  </si>
  <si>
    <t>47.947193,-116.699808</t>
  </si>
  <si>
    <t>ATL</t>
  </si>
  <si>
    <t>Atlanta, Georgia</t>
  </si>
  <si>
    <t>1688 Peachtree Street, NW</t>
  </si>
  <si>
    <t>Atlanta</t>
  </si>
  <si>
    <t>GA</t>
  </si>
  <si>
    <t>Southern</t>
  </si>
  <si>
    <t>404-881-3060</t>
  </si>
  <si>
    <t>33.799445,-84.392477</t>
  </si>
  <si>
    <t>Passenger Check-in Is 90mins Before Train Departure</t>
  </si>
  <si>
    <t>ATLL</t>
  </si>
  <si>
    <t>1688 Peachtree St NW, Atlanta, GA 30309</t>
  </si>
  <si>
    <t>AT7</t>
  </si>
  <si>
    <t>1001 Loyola Ave., Suite 207A, New Orleans, LA 70013</t>
  </si>
  <si>
    <t>NO7</t>
  </si>
  <si>
    <t>N0F6</t>
  </si>
  <si>
    <t>ATN</t>
  </si>
  <si>
    <t>Anniston, Alabama</t>
  </si>
  <si>
    <t>126 West 4th Street</t>
  </si>
  <si>
    <t>Anniston</t>
  </si>
  <si>
    <t>AL</t>
  </si>
  <si>
    <t>33.649112,-85.832145</t>
  </si>
  <si>
    <t>Unstaffed station,caretaker opens waiting room at train time</t>
  </si>
  <si>
    <t>Unstaffed station</t>
  </si>
  <si>
    <t>1688 Peachtree St. NW, Atlanta, GA 30309</t>
  </si>
  <si>
    <t>1001 Loyola Ave, New Orleans, LA 70013</t>
  </si>
  <si>
    <t>ATO</t>
  </si>
  <si>
    <t>Atco, New Jersey</t>
  </si>
  <si>
    <t>Cooper Road and Raritan Avenue</t>
  </si>
  <si>
    <t>Atco</t>
  </si>
  <si>
    <t>39.783504,-74.907893</t>
  </si>
  <si>
    <t>Austin, Texas</t>
  </si>
  <si>
    <t>250 North Lamar Boulevard</t>
  </si>
  <si>
    <t>Austin</t>
  </si>
  <si>
    <t>512-476-5684</t>
  </si>
  <si>
    <t>30.269449,-97.756940</t>
  </si>
  <si>
    <t>aus</t>
  </si>
  <si>
    <t>BAG</t>
  </si>
  <si>
    <t>Baggage</t>
  </si>
  <si>
    <t>BAK</t>
  </si>
  <si>
    <t>Baker City, Oregon</t>
  </si>
  <si>
    <t>515 Campbell Street</t>
  </si>
  <si>
    <t>Baker Truck Corral / TRUKORP</t>
  </si>
  <si>
    <t>Amtrak Thruway Bus Stop</t>
  </si>
  <si>
    <t>Baker City</t>
  </si>
  <si>
    <t>541-523-5011</t>
  </si>
  <si>
    <t>Greyhound only</t>
  </si>
  <si>
    <t>44.781551,-117.813137</t>
  </si>
  <si>
    <t>Unstaffed Stop</t>
  </si>
  <si>
    <t>Baltimore (Penn Station), Maryland</t>
  </si>
  <si>
    <t>1500 North Charles Street</t>
  </si>
  <si>
    <t>Penn Station</t>
  </si>
  <si>
    <t>Baltimore</t>
  </si>
  <si>
    <t>410-291-4262</t>
  </si>
  <si>
    <t>MARC/Via Rail Canada</t>
  </si>
  <si>
    <t>39.307302,-76.615688</t>
  </si>
  <si>
    <t>MARC commuter services operated by Amtrak</t>
  </si>
  <si>
    <t>P43A</t>
  </si>
  <si>
    <t>Washington</t>
  </si>
  <si>
    <t>WAS</t>
  </si>
  <si>
    <t>BAM</t>
  </si>
  <si>
    <t>Bangor, Michigan</t>
  </si>
  <si>
    <t>541 Railroad Street</t>
  </si>
  <si>
    <t>Bangor</t>
  </si>
  <si>
    <t>42.314519,-86.111646</t>
  </si>
  <si>
    <t>Manager of Customer Service</t>
  </si>
  <si>
    <t>BAN</t>
  </si>
  <si>
    <t>Bangor, Maine</t>
  </si>
  <si>
    <t>1039 Union Street</t>
  </si>
  <si>
    <t>Bangor Transportation Center</t>
  </si>
  <si>
    <t>207-945-4000</t>
  </si>
  <si>
    <t>Concord Trailways</t>
  </si>
  <si>
    <t>44.816614,-68.808747</t>
  </si>
  <si>
    <t>Concord Trailways agents - do not sell Amtrak</t>
  </si>
  <si>
    <t>Project Director</t>
  </si>
  <si>
    <t>Portland, Maine</t>
  </si>
  <si>
    <t>BAR</t>
  </si>
  <si>
    <t>Barstow (Amtrak), California</t>
  </si>
  <si>
    <t>685 North First Avenue</t>
  </si>
  <si>
    <t>Barstow</t>
  </si>
  <si>
    <t>BAX</t>
  </si>
  <si>
    <t>34.904820,-117.025435</t>
  </si>
  <si>
    <t>Trains 3/4 and Thruway buses 3612, 3617,3657. Also see BBS.</t>
  </si>
  <si>
    <t>LA7</t>
  </si>
  <si>
    <t>BAT</t>
  </si>
  <si>
    <t>Bath, Maine</t>
  </si>
  <si>
    <t>10 State Road</t>
  </si>
  <si>
    <t>Mail It 4 U - Suite 9, Coastal Plaza</t>
  </si>
  <si>
    <t>Bath</t>
  </si>
  <si>
    <t>207-443-1457</t>
  </si>
  <si>
    <t>43.906147,-69.830947</t>
  </si>
  <si>
    <t>Concord Trailways contracted agent, no Amtrak sales</t>
  </si>
  <si>
    <t>BAV</t>
  </si>
  <si>
    <t>Barnesville, Maryland</t>
  </si>
  <si>
    <t>8 Beallsville Road</t>
  </si>
  <si>
    <t>MARC Station</t>
  </si>
  <si>
    <t>Barnesville</t>
  </si>
  <si>
    <t>MARC</t>
  </si>
  <si>
    <t>800-325-RAIL</t>
  </si>
  <si>
    <t>MARC commuter trains only, no Amtrak trains stop here</t>
  </si>
  <si>
    <t>BBS</t>
  </si>
  <si>
    <t>Barstow (Bus), California</t>
  </si>
  <si>
    <t>1611 East Main Street</t>
  </si>
  <si>
    <t>34.891277,-116.998434</t>
  </si>
  <si>
    <t>See also city code 'BAR'</t>
  </si>
  <si>
    <t>Manager of Bus Operations</t>
  </si>
  <si>
    <t>BBY</t>
  </si>
  <si>
    <t>Boston (Back Bay), Massachusetts</t>
  </si>
  <si>
    <t>145 Dartmouth Street</t>
  </si>
  <si>
    <t>Boston</t>
  </si>
  <si>
    <t>617-345-7998</t>
  </si>
  <si>
    <t>42.347317,-71.075828</t>
  </si>
  <si>
    <t>For Maine service take Orange Line subway to North Station.</t>
  </si>
  <si>
    <t>P3CE</t>
  </si>
  <si>
    <t>BOS</t>
  </si>
  <si>
    <t>P43B</t>
  </si>
  <si>
    <t>DISTRICT MANAGER STATIONS</t>
  </si>
  <si>
    <t>SOUTH STATION BOSTON</t>
  </si>
  <si>
    <t>BO7</t>
  </si>
  <si>
    <t>SUPERINTENDENT STATIONS NEW ENGLAND</t>
  </si>
  <si>
    <t>BOSTON SOUTH STATION</t>
  </si>
  <si>
    <t>P424</t>
  </si>
  <si>
    <t>BCA</t>
  </si>
  <si>
    <t>Baltimore (Camden Station), Maryland</t>
  </si>
  <si>
    <t>301 West Camden Street</t>
  </si>
  <si>
    <t>BCV</t>
  </si>
  <si>
    <t>Burke Centre, Virginia</t>
  </si>
  <si>
    <t>10399 Premier Court</t>
  </si>
  <si>
    <t>Virginia Railway Express Station</t>
  </si>
  <si>
    <t>Burke</t>
  </si>
  <si>
    <t>38.797271,-77.298790</t>
  </si>
  <si>
    <t>BCY</t>
  </si>
  <si>
    <t>Bay City, Michigan</t>
  </si>
  <si>
    <t>1124 Washington Avenue</t>
  </si>
  <si>
    <t>Central Bus Terminal</t>
  </si>
  <si>
    <t>Bay City</t>
  </si>
  <si>
    <t>989-893-6589</t>
  </si>
  <si>
    <t>Indian Trails</t>
  </si>
  <si>
    <t>43.601847,-83.886922</t>
  </si>
  <si>
    <t>District Mananger, Customer Service</t>
  </si>
  <si>
    <t>Superintendent Passenger Services</t>
  </si>
  <si>
    <t>BDR</t>
  </si>
  <si>
    <t>Bend (Riverhouse), Oregon</t>
  </si>
  <si>
    <t>3075 North Business Highway 97</t>
  </si>
  <si>
    <t>The Riverhouse Resort</t>
  </si>
  <si>
    <t>Board at Main Entrance under Veranda</t>
  </si>
  <si>
    <t>Bend</t>
  </si>
  <si>
    <t>BDX</t>
  </si>
  <si>
    <t>44.080868,-121.305716</t>
  </si>
  <si>
    <t>FOR MORE INFORMATION, SEE "THRUWAY SERVICE"</t>
  </si>
  <si>
    <t>Unstaffed stop</t>
  </si>
  <si>
    <t>BDT</t>
  </si>
  <si>
    <t>Bradenton, Florida</t>
  </si>
  <si>
    <t>1113 Manatee Avenue West</t>
  </si>
  <si>
    <t>Manatee County Courthouse</t>
  </si>
  <si>
    <t>Bradenton</t>
  </si>
  <si>
    <t>FL</t>
  </si>
  <si>
    <t>27.495234,-82.573385</t>
  </si>
  <si>
    <t>Orlando, Fl.</t>
  </si>
  <si>
    <t>ORL</t>
  </si>
  <si>
    <t>ORLL</t>
  </si>
  <si>
    <t>Asst.Supt. Station/PSD</t>
  </si>
  <si>
    <t>Miami, Fl.</t>
  </si>
  <si>
    <t>BED</t>
  </si>
  <si>
    <t>Bend (Bus Station), Oregon</t>
  </si>
  <si>
    <t>1555 NE Forbes Road</t>
  </si>
  <si>
    <t>at Lava Lanes Bowling Alley</t>
  </si>
  <si>
    <t>541-382-2151</t>
  </si>
  <si>
    <t>For bus companies</t>
  </si>
  <si>
    <t>44.055598,-121.282490</t>
  </si>
  <si>
    <t>BEL</t>
  </si>
  <si>
    <t>Bellingham, Washington</t>
  </si>
  <si>
    <t>401 Harris Avenue</t>
  </si>
  <si>
    <t>Bellingham</t>
  </si>
  <si>
    <t>WA</t>
  </si>
  <si>
    <t>360-734-8851</t>
  </si>
  <si>
    <t>48.720263,-122.511255</t>
  </si>
  <si>
    <t>Alaska Marine Hwy: 1-800-642-0066 one blk to ferry terminal</t>
  </si>
  <si>
    <t>BELL</t>
  </si>
  <si>
    <t>Seattle - Holgate Facility Offices</t>
  </si>
  <si>
    <t>BEN</t>
  </si>
  <si>
    <t>Benson, Arizona</t>
  </si>
  <si>
    <t>105 East 4th Street</t>
  </si>
  <si>
    <t>Benson</t>
  </si>
  <si>
    <t>AZ</t>
  </si>
  <si>
    <t>31.968758,-110.296904</t>
  </si>
  <si>
    <t>BER</t>
  </si>
  <si>
    <t>Berlin, Connecticut</t>
  </si>
  <si>
    <t>51 Depot Road</t>
  </si>
  <si>
    <t>Kensington</t>
  </si>
  <si>
    <t>CT</t>
  </si>
  <si>
    <t>860-828-9718</t>
  </si>
  <si>
    <t>41.635595,-72.765274</t>
  </si>
  <si>
    <t>Mail:  PO Box 125, Berlin, CT 06037-0125//Closed wkends/holi</t>
  </si>
  <si>
    <t>BERL</t>
  </si>
  <si>
    <t>Assistant Manager of Stations</t>
  </si>
  <si>
    <t>BET</t>
  </si>
  <si>
    <t>South Beloit, Illinois</t>
  </si>
  <si>
    <t>15766 Manchester Road</t>
  </si>
  <si>
    <t>McDonalds/BP Amoco Travel Plaza</t>
  </si>
  <si>
    <t>South Beloit</t>
  </si>
  <si>
    <t>42.490067,-88.989116</t>
  </si>
  <si>
    <t>NOT AN AMTRAK FACILITY</t>
  </si>
  <si>
    <t>SERVICE MANAGER</t>
  </si>
  <si>
    <t>CHICAGO, ILL</t>
  </si>
  <si>
    <t>BFD</t>
  </si>
  <si>
    <t>601 Truxtun Avenue</t>
  </si>
  <si>
    <t>Off Truxtun Ave and S Street</t>
  </si>
  <si>
    <t>Bakersfield</t>
  </si>
  <si>
    <t>661-395-3175</t>
  </si>
  <si>
    <t>35.372140,-119.008210</t>
  </si>
  <si>
    <t>BFDL</t>
  </si>
  <si>
    <t>Assistant Superintendent of passenger services</t>
  </si>
  <si>
    <t>BFT</t>
  </si>
  <si>
    <t>Belfast, Maine</t>
  </si>
  <si>
    <t>22 Belmont Avenue</t>
  </si>
  <si>
    <t>Shell Station/Dead River Convenience Store</t>
  </si>
  <si>
    <t>Belfast</t>
  </si>
  <si>
    <t>207-338-3239</t>
  </si>
  <si>
    <t>44.422692,-69.025984</t>
  </si>
  <si>
    <t>Concord Trailways contract agent. No Amtrak sales.</t>
  </si>
  <si>
    <t>BFX</t>
  </si>
  <si>
    <t>Buffalo (Exchange St), New York</t>
  </si>
  <si>
    <t>75 Exchange Street</t>
  </si>
  <si>
    <t>Buffalo</t>
  </si>
  <si>
    <t>716-856-2075</t>
  </si>
  <si>
    <t>BUX</t>
  </si>
  <si>
    <t>42.878449,-78.873748</t>
  </si>
  <si>
    <t>BFXL</t>
  </si>
  <si>
    <t>Buffalo-Depew, NY 14043</t>
  </si>
  <si>
    <t>BU7</t>
  </si>
  <si>
    <t>BUFK</t>
  </si>
  <si>
    <t>District Superintendent</t>
  </si>
  <si>
    <t>Albany, NY</t>
  </si>
  <si>
    <t>BGP</t>
  </si>
  <si>
    <t>Big Rapids, Michigan</t>
  </si>
  <si>
    <t>14342 Northland Drive</t>
  </si>
  <si>
    <t>Ferris State Fitness Center</t>
  </si>
  <si>
    <t>Big Rapids</t>
  </si>
  <si>
    <t>43.673182,-85.480951</t>
  </si>
  <si>
    <t>Picks up at Racquet and Fitness Center</t>
  </si>
  <si>
    <t>District Manager Stations-East</t>
  </si>
  <si>
    <t>Toledo, Oh.</t>
  </si>
  <si>
    <t>BHM</t>
  </si>
  <si>
    <t>Birmingham, Alabama</t>
  </si>
  <si>
    <t>1819 Morris Avenue</t>
  </si>
  <si>
    <t>Birmingham</t>
  </si>
  <si>
    <t>205-324-3033</t>
  </si>
  <si>
    <t>33.512467,-86.807364</t>
  </si>
  <si>
    <t>BHML</t>
  </si>
  <si>
    <t>1688 Peachtree  St. NW., Atlanta, Georgia 30309</t>
  </si>
  <si>
    <t>Asst. Superintendent - Passenger Services</t>
  </si>
  <si>
    <t>1001 Loyola Avenue, New Orleans, LA 70013</t>
  </si>
  <si>
    <t>BIN</t>
  </si>
  <si>
    <t>Berlin, New Hampshire</t>
  </si>
  <si>
    <t>318 Glen Avenue</t>
  </si>
  <si>
    <t>Irving Station/Circle K Convenience Store</t>
  </si>
  <si>
    <t>Berlin</t>
  </si>
  <si>
    <t>NH</t>
  </si>
  <si>
    <t>44.459040,-71.187430</t>
  </si>
  <si>
    <t>BKO</t>
  </si>
  <si>
    <t>Brookings, Oregon</t>
  </si>
  <si>
    <t xml:space="preserve">624 Railroad Street  </t>
  </si>
  <si>
    <t>Southwest Point Depot</t>
  </si>
  <si>
    <t>Brookings</t>
  </si>
  <si>
    <t>Bus company</t>
  </si>
  <si>
    <t>42.050778,-124.281564</t>
  </si>
  <si>
    <t>BKY</t>
  </si>
  <si>
    <t>Berkeley, California</t>
  </si>
  <si>
    <t>700 University Avenue</t>
  </si>
  <si>
    <t>Under University Av overpass west of 4th St</t>
  </si>
  <si>
    <t>Berkeley</t>
  </si>
  <si>
    <t>37.867254,-122.300707</t>
  </si>
  <si>
    <t>Assistant Superintendent of Passenger Services</t>
  </si>
  <si>
    <t>BLF</t>
  </si>
  <si>
    <t>Bellows Falls, Vermont</t>
  </si>
  <si>
    <t>54 Depot Street</t>
  </si>
  <si>
    <t>Bellows Falls</t>
  </si>
  <si>
    <t>VT</t>
  </si>
  <si>
    <t>43.136540,-72.444597</t>
  </si>
  <si>
    <t>station is just a waiting room no telephone</t>
  </si>
  <si>
    <t>Green Mountain Railroad Building</t>
  </si>
  <si>
    <t>Supervisor Customer Services</t>
  </si>
  <si>
    <t>Springfield MA</t>
  </si>
  <si>
    <t>BMM</t>
  </si>
  <si>
    <t>Birmingham, Michigan</t>
  </si>
  <si>
    <t>Villa Road and Lewis Street</t>
  </si>
  <si>
    <t>42.545509,-83.194198</t>
  </si>
  <si>
    <t>BMT</t>
  </si>
  <si>
    <t>Beaumont, Texas</t>
  </si>
  <si>
    <t>2555 West Cedar Street</t>
  </si>
  <si>
    <t>Beaumont</t>
  </si>
  <si>
    <t>30.076458,-94.127367</t>
  </si>
  <si>
    <t>No facilities at all at this location, open platform only.</t>
  </si>
  <si>
    <t>BNC</t>
  </si>
  <si>
    <t>Burlington, North Carolina</t>
  </si>
  <si>
    <t>101 North Main Street</t>
  </si>
  <si>
    <t>Burlington</t>
  </si>
  <si>
    <t>NC</t>
  </si>
  <si>
    <t>36.094225,-79.434531</t>
  </si>
  <si>
    <t>NCDOT Station Attendant on duty for all trains</t>
  </si>
  <si>
    <t>District Manager - Stations</t>
  </si>
  <si>
    <t>400 South West Street, Raleigh, NC 27601</t>
  </si>
  <si>
    <t>RG7</t>
  </si>
  <si>
    <t>BND</t>
  </si>
  <si>
    <t>Bend (Hawthorne Intermodal Center), Oregon</t>
  </si>
  <si>
    <t>334 Hawthorne Avenue</t>
  </si>
  <si>
    <t>Hawthorne Station Intermodal Center</t>
  </si>
  <si>
    <t>44.058220,-121.301266</t>
  </si>
  <si>
    <t>Next door to Juniper Swim &amp; Fitness Center</t>
  </si>
  <si>
    <t>Director, Amtrak Bus Operations</t>
  </si>
  <si>
    <t>BNF</t>
  </si>
  <si>
    <t>Branford, Connecticut</t>
  </si>
  <si>
    <t>39 Maple Street</t>
  </si>
  <si>
    <t>Branford</t>
  </si>
  <si>
    <t>Shore Line East</t>
  </si>
  <si>
    <t>203-777-7433</t>
  </si>
  <si>
    <t>Shore Line East commuter trains only, no Amtrak trains here</t>
  </si>
  <si>
    <t>BNG</t>
  </si>
  <si>
    <t>Bingen-White Salmon, Washington</t>
  </si>
  <si>
    <t>Highway 14 and Walnut Street</t>
  </si>
  <si>
    <t>Bingen</t>
  </si>
  <si>
    <t>45.715020,-121.468730</t>
  </si>
  <si>
    <t>low, uneven platform, not advised for disabled boarding</t>
  </si>
  <si>
    <t>BNL</t>
  </si>
  <si>
    <t>Bloomington-Normal, Illinois</t>
  </si>
  <si>
    <t>100 East Parkinson Street</t>
  </si>
  <si>
    <t>Normal</t>
  </si>
  <si>
    <t>309-862-2000</t>
  </si>
  <si>
    <t>40.508192,-88.984093</t>
  </si>
  <si>
    <t>BNLL</t>
  </si>
  <si>
    <t>ST. LOUIS, MISSOURI</t>
  </si>
  <si>
    <t>BNS</t>
  </si>
  <si>
    <t>Burns, Oregon</t>
  </si>
  <si>
    <t>63 North Buena Vista</t>
  </si>
  <si>
    <t>Figaro's Italian Kitchen</t>
  </si>
  <si>
    <t>Burns</t>
  </si>
  <si>
    <t>43.586545,-119.056491</t>
  </si>
  <si>
    <t>BOI</t>
  </si>
  <si>
    <t>Boise, Idaho</t>
  </si>
  <si>
    <t>1212 West Bannock Street</t>
  </si>
  <si>
    <t>Greyhound Station</t>
  </si>
  <si>
    <t>Boise</t>
  </si>
  <si>
    <t>208-343-3861</t>
  </si>
  <si>
    <t>Bus tickets only.</t>
  </si>
  <si>
    <t>43.619899,-116.207169</t>
  </si>
  <si>
    <t>Greyhound Agent - No Amtrak Services</t>
  </si>
  <si>
    <t>BON</t>
  </si>
  <si>
    <t>Boston (North Station), Massachusetts</t>
  </si>
  <si>
    <t>135 Causeway Street</t>
  </si>
  <si>
    <t>Under the TD Garden</t>
  </si>
  <si>
    <t>BOX</t>
  </si>
  <si>
    <t>MBTA</t>
  </si>
  <si>
    <t>42.366235,-71.061122</t>
  </si>
  <si>
    <t>Only Downeaster and MBTA tickets sold - see "Miscellaneous"</t>
  </si>
  <si>
    <t>R3A8</t>
  </si>
  <si>
    <t>CUSTOMER SERVICES MANAGER   MBCR</t>
  </si>
  <si>
    <t>Boston North Station, MA</t>
  </si>
  <si>
    <t>SENIOR TRAINMASTER NORTHSIDE</t>
  </si>
  <si>
    <t>Boston (South Station), Massachusetts</t>
  </si>
  <si>
    <t>2 South Station</t>
  </si>
  <si>
    <t>Summer Street &amp; Atlantic Avenue</t>
  </si>
  <si>
    <t>617-345-7551</t>
  </si>
  <si>
    <t>42.352311,-71.055304</t>
  </si>
  <si>
    <t>Boston South Station</t>
  </si>
  <si>
    <t>BRA</t>
  </si>
  <si>
    <t>Brattleboro, Vermont</t>
  </si>
  <si>
    <t>10 Vernon Road</t>
  </si>
  <si>
    <t>Brattleboro</t>
  </si>
  <si>
    <t>802-254-2301</t>
  </si>
  <si>
    <t>42.850849,-72.556497</t>
  </si>
  <si>
    <t>caretaker at train time</t>
  </si>
  <si>
    <t>BRH</t>
  </si>
  <si>
    <t>Brookhaven, Mississippi</t>
  </si>
  <si>
    <t>440 North Railroad Avenue</t>
  </si>
  <si>
    <t>Godbold Transportation Center</t>
  </si>
  <si>
    <t>Brookhaven</t>
  </si>
  <si>
    <t>MS</t>
  </si>
  <si>
    <t>31.582961,-90.441070</t>
  </si>
  <si>
    <t>New Orleans, LA</t>
  </si>
  <si>
    <t>NOF6</t>
  </si>
  <si>
    <t>New Orleans</t>
  </si>
  <si>
    <t>BRK</t>
  </si>
  <si>
    <t>Brunswick, Maine</t>
  </si>
  <si>
    <t>16 Station Avenue</t>
  </si>
  <si>
    <t>Brunswick Visitors' Center</t>
  </si>
  <si>
    <t>Brunswick</t>
  </si>
  <si>
    <t>207-729-9869</t>
  </si>
  <si>
    <t>43.911388,-69.965541</t>
  </si>
  <si>
    <t>Concord Trailways contract agent - no Amtrak sales</t>
  </si>
  <si>
    <t>BRL</t>
  </si>
  <si>
    <t>Burlington, Iowa</t>
  </si>
  <si>
    <t>300 South Main Street</t>
  </si>
  <si>
    <t>IA</t>
  </si>
  <si>
    <t>40.805788,-91.101951</t>
  </si>
  <si>
    <t>Unstaffed station - Caretaker City of Burlington</t>
  </si>
  <si>
    <t>Galesburg, IL</t>
  </si>
  <si>
    <t>BRO</t>
  </si>
  <si>
    <t>Browning, Montana</t>
  </si>
  <si>
    <t>Heart Butte Road and Depot Road</t>
  </si>
  <si>
    <t>Browning</t>
  </si>
  <si>
    <t>MT</t>
  </si>
  <si>
    <t>GPX</t>
  </si>
  <si>
    <t>48.534067,-113.013151</t>
  </si>
  <si>
    <t>Seasonal Stop October 6 2012</t>
  </si>
  <si>
    <t>BRP</t>
  </si>
  <si>
    <t>Bridgeport, Connecticut</t>
  </si>
  <si>
    <t>525 Water Street</t>
  </si>
  <si>
    <t>Metro North Station</t>
  </si>
  <si>
    <t>Bridgeport</t>
  </si>
  <si>
    <t>203-336-2891</t>
  </si>
  <si>
    <t>Metro North Railroad</t>
  </si>
  <si>
    <t>41.178006,-73.187539</t>
  </si>
  <si>
    <t>Unstaffed Station - MetroNorth Commuter Railroad Office</t>
  </si>
  <si>
    <t>50 Union Ave., New Haven, CT 06519</t>
  </si>
  <si>
    <t>BTL</t>
  </si>
  <si>
    <t>Battle Creek, Michigan</t>
  </si>
  <si>
    <t>119 McCamly Street South</t>
  </si>
  <si>
    <t>Battle Creek</t>
  </si>
  <si>
    <t>269-963-3351</t>
  </si>
  <si>
    <t>42.318453,-85.187825</t>
  </si>
  <si>
    <t>Back in the newly renovated station May 23, 2012</t>
  </si>
  <si>
    <t>BTLL</t>
  </si>
  <si>
    <t>BTR</t>
  </si>
  <si>
    <t>Baton Rouge, Louisiana</t>
  </si>
  <si>
    <t>1253 Florida Boulevard</t>
  </si>
  <si>
    <t>Greyhound Bus Station</t>
  </si>
  <si>
    <t>Baton Rouge</t>
  </si>
  <si>
    <t>LA</t>
  </si>
  <si>
    <t>30.449741,-91.176374</t>
  </si>
  <si>
    <t>BUF</t>
  </si>
  <si>
    <t>Buffalo-Depew, New York</t>
  </si>
  <si>
    <t>55 Dick Road</t>
  </si>
  <si>
    <t>Depew</t>
  </si>
  <si>
    <t>716-683-8440</t>
  </si>
  <si>
    <t>42.907017,-78.726584</t>
  </si>
  <si>
    <t>BUL</t>
  </si>
  <si>
    <t>Buellton, California</t>
  </si>
  <si>
    <t>238 East Highway 246</t>
  </si>
  <si>
    <t>Burger King Restaurant</t>
  </si>
  <si>
    <t>Buellton</t>
  </si>
  <si>
    <t>34.610660,-120.186595</t>
  </si>
  <si>
    <t>Manager Thruway Bus Opertions</t>
  </si>
  <si>
    <t>BUR</t>
  </si>
  <si>
    <t>Burbank (Airport), California</t>
  </si>
  <si>
    <t>3750 Empire Avenue</t>
  </si>
  <si>
    <t>Burbank</t>
  </si>
  <si>
    <t>34.193072,-118.353767</t>
  </si>
  <si>
    <t>For boarding location of Thruway buses see "Thruway Service"</t>
  </si>
  <si>
    <t>Santa Barbara, California</t>
  </si>
  <si>
    <t>SBA</t>
  </si>
  <si>
    <t>BVD</t>
  </si>
  <si>
    <t>Beaver Dam, Wisconsin</t>
  </si>
  <si>
    <t>817 Park Avenue</t>
  </si>
  <si>
    <t>Crossroads Shell Station</t>
  </si>
  <si>
    <t>Beaver Dam</t>
  </si>
  <si>
    <t>43.456040,-88.816942</t>
  </si>
  <si>
    <t>BWC</t>
  </si>
  <si>
    <t>Brunswick (Bowdoin College), Maine</t>
  </si>
  <si>
    <t>Campus Bus Stop at Druckenmiller Hall, Sills Road</t>
  </si>
  <si>
    <t>800-639-3317</t>
  </si>
  <si>
    <t>43.909295,-69.959306</t>
  </si>
  <si>
    <t>No service when school not in session, use BRK</t>
  </si>
  <si>
    <t>none - see Brunswick Clipper Mart - BRK</t>
  </si>
  <si>
    <t>BWE</t>
  </si>
  <si>
    <t>Bowie State, Maryland</t>
  </si>
  <si>
    <t>13900 Old Jericho Park Road</t>
  </si>
  <si>
    <t>MARC Station - Bowie State University</t>
  </si>
  <si>
    <t>Bowie</t>
  </si>
  <si>
    <t>BWI</t>
  </si>
  <si>
    <t>BWI Thurgood Marshall Airport Station, Maryland</t>
  </si>
  <si>
    <t>7 Amtrak Way</t>
  </si>
  <si>
    <t>BWI Airport</t>
  </si>
  <si>
    <t>410-672-6169</t>
  </si>
  <si>
    <t>39.192362,-76.694300</t>
  </si>
  <si>
    <t>Mail: P.O. Box 8642, BWI Airport, MD 21240-0642</t>
  </si>
  <si>
    <t>BWIL</t>
  </si>
  <si>
    <t>Baltimore, Md 21201</t>
  </si>
  <si>
    <t>BWK</t>
  </si>
  <si>
    <t>Brunswick, Maryland</t>
  </si>
  <si>
    <t>100 South Maple Ave.</t>
  </si>
  <si>
    <t>BWW</t>
  </si>
  <si>
    <t>Brewster, Washington</t>
  </si>
  <si>
    <t>405 Highway 97</t>
  </si>
  <si>
    <t xml:space="preserve">Triangle Shell </t>
  </si>
  <si>
    <t>Brewster</t>
  </si>
  <si>
    <t>48.103585,-119.781412</t>
  </si>
  <si>
    <t>unstaffed bus stop at Triangle Texaco</t>
  </si>
  <si>
    <t>BYD</t>
  </si>
  <si>
    <t>Boyds, Maryland</t>
  </si>
  <si>
    <t>15031 Clopper Road</t>
  </si>
  <si>
    <t>Boyds</t>
  </si>
  <si>
    <t>BYF</t>
  </si>
  <si>
    <t>Boyne Falls, Michigan</t>
  </si>
  <si>
    <t>2568 US Hwy 131 South</t>
  </si>
  <si>
    <t>Mobil EZ Mart</t>
  </si>
  <si>
    <t>Boyne Falls</t>
  </si>
  <si>
    <t>800-292-3831</t>
  </si>
  <si>
    <t>45.167539,-84.916986</t>
  </si>
  <si>
    <t>Toledo,Oh.</t>
  </si>
  <si>
    <t>BYN</t>
  </si>
  <si>
    <t>Bryan, Ohio</t>
  </si>
  <si>
    <t>Paige and Lynn Street</t>
  </si>
  <si>
    <t>Bryan</t>
  </si>
  <si>
    <t>41.480319,-84.551799</t>
  </si>
  <si>
    <t>/Assist. Superintendent, Customer Service</t>
  </si>
  <si>
    <t>CAL</t>
  </si>
  <si>
    <t>California Rail Pass</t>
  </si>
  <si>
    <t>CAM</t>
  </si>
  <si>
    <t>Camden, South Carolina</t>
  </si>
  <si>
    <t>1060 West Dekalb Street</t>
  </si>
  <si>
    <t>Camden</t>
  </si>
  <si>
    <t>SC</t>
  </si>
  <si>
    <t>34.248157,-80.625190</t>
  </si>
  <si>
    <t>Unstaffed Station - Station Attendant meets all trains</t>
  </si>
  <si>
    <t>1688 Peachtree Street NW, Atlanta, Ga 30309</t>
  </si>
  <si>
    <t>1001 Loyola Ave., Suite 207A , New Orleans, La 70013</t>
  </si>
  <si>
    <t>CAY</t>
  </si>
  <si>
    <t>Conway, New Hampshire</t>
  </si>
  <si>
    <t>13 West Main Street</t>
  </si>
  <si>
    <t>First Stop Market &amp; Deli</t>
  </si>
  <si>
    <t>Conway</t>
  </si>
  <si>
    <t>43.978298,-71.126573</t>
  </si>
  <si>
    <t>CBN</t>
  </si>
  <si>
    <t>Canadian Border New York</t>
  </si>
  <si>
    <t>43.109235,-79.058357</t>
  </si>
  <si>
    <t>CBO</t>
  </si>
  <si>
    <t>Cannon Beach, Oregon</t>
  </si>
  <si>
    <t>1170 South Hemlock Street</t>
  </si>
  <si>
    <t>Sunset Empire Bus Stop across from Family Mkt</t>
  </si>
  <si>
    <t>Cannon Beach</t>
  </si>
  <si>
    <t>503-436-0515</t>
  </si>
  <si>
    <t>At Family Market</t>
  </si>
  <si>
    <t>45.889496,-123.961842</t>
  </si>
  <si>
    <t>CBR</t>
  </si>
  <si>
    <t>Cleburne, Texas</t>
  </si>
  <si>
    <t>206 North Border Street</t>
  </si>
  <si>
    <t>Cleburne Intermodal Depot</t>
  </si>
  <si>
    <t>Cleburne</t>
  </si>
  <si>
    <t>32.349743,-97.382333</t>
  </si>
  <si>
    <t>CBS</t>
  </si>
  <si>
    <t>Columbus, Wisconsin</t>
  </si>
  <si>
    <t>359 North Ludington Street</t>
  </si>
  <si>
    <t>Columbus</t>
  </si>
  <si>
    <t>920-623-3831</t>
  </si>
  <si>
    <t>43.340611,-89.012609</t>
  </si>
  <si>
    <t>CBSL</t>
  </si>
  <si>
    <t>433 W. St. Paul Avenue, Milwaukee, WI 53203</t>
  </si>
  <si>
    <t>Assistant Superintendent of Stations - Midwest</t>
  </si>
  <si>
    <t xml:space="preserve">   </t>
  </si>
  <si>
    <t xml:space="preserve">    </t>
  </si>
  <si>
    <t>CBY</t>
  </si>
  <si>
    <t>Coos Bay, Oregon</t>
  </si>
  <si>
    <t>126 East Market Avenue</t>
  </si>
  <si>
    <t>Porter Stage Lines Bus Station</t>
  </si>
  <si>
    <t>Coos Bay</t>
  </si>
  <si>
    <t>541-269-7183</t>
  </si>
  <si>
    <t>buses only</t>
  </si>
  <si>
    <t>43.369039,-124.213694</t>
  </si>
  <si>
    <t>CBZ</t>
  </si>
  <si>
    <t>Cabazon, California</t>
  </si>
  <si>
    <t>49500 Seminole Drive</t>
  </si>
  <si>
    <t>Morongo Casino, Hotel &amp; Spa</t>
  </si>
  <si>
    <t>Cabazon</t>
  </si>
  <si>
    <t>33.921822,-116.801756</t>
  </si>
  <si>
    <t>Thruway service to begin on April 4, 2011</t>
  </si>
  <si>
    <t>Manager, Amtrak Bus Operations</t>
  </si>
  <si>
    <t>Bakersfield, CA</t>
  </si>
  <si>
    <t xml:space="preserve">Los Angeles, CA </t>
  </si>
  <si>
    <t>CDE</t>
  </si>
  <si>
    <t>Cambridge, Maryland</t>
  </si>
  <si>
    <t>100 Heron Boulevard</t>
  </si>
  <si>
    <t>Hyatt Regency Chesapeake Bay Resort</t>
  </si>
  <si>
    <t>Cambridge</t>
  </si>
  <si>
    <t>410-912-6000</t>
  </si>
  <si>
    <t>38.561752,-76.048392</t>
  </si>
  <si>
    <t>CDL</t>
  </si>
  <si>
    <t>Carbondale, Illinois</t>
  </si>
  <si>
    <t>401 South Illinois Street</t>
  </si>
  <si>
    <t>Carbondale</t>
  </si>
  <si>
    <t>618-457-3388</t>
  </si>
  <si>
    <t>37.724235,-89.216628</t>
  </si>
  <si>
    <t>CDLL</t>
  </si>
  <si>
    <t>St. Louis, MO</t>
  </si>
  <si>
    <t>Superintendent - Passenger Services</t>
  </si>
  <si>
    <t>CH3</t>
  </si>
  <si>
    <t>CDN</t>
  </si>
  <si>
    <t>Camden/Rockport, Maine</t>
  </si>
  <si>
    <t>20 Commercial Street</t>
  </si>
  <si>
    <t>Maritime Farms</t>
  </si>
  <si>
    <t>Rockport</t>
  </si>
  <si>
    <t>207-236-4597</t>
  </si>
  <si>
    <t>44.199095,-69.078634</t>
  </si>
  <si>
    <t>Coeur d'Alene, Idaho</t>
  </si>
  <si>
    <t>356 East Appleway Avenue</t>
  </si>
  <si>
    <t>A&amp;D Gas Station and Mini Mart</t>
  </si>
  <si>
    <t>Coeur d'Alene</t>
  </si>
  <si>
    <t>47.701388,-116.808586</t>
  </si>
  <si>
    <t>CFX</t>
  </si>
  <si>
    <t>Colfax, Washington</t>
  </si>
  <si>
    <t>610 South Main St.</t>
  </si>
  <si>
    <t>Ace Hardware</t>
  </si>
  <si>
    <t>Colfax</t>
  </si>
  <si>
    <t>46.875679,-117.365156</t>
  </si>
  <si>
    <t>ACE Hardware / Ticket sales - No Amtrak info or services</t>
  </si>
  <si>
    <t>CHG</t>
  </si>
  <si>
    <t>Charge</t>
  </si>
  <si>
    <t>CHI</t>
  </si>
  <si>
    <t>Chicago (Union Station), Illinois</t>
  </si>
  <si>
    <t>225 South Canal Street</t>
  </si>
  <si>
    <t>Chicago</t>
  </si>
  <si>
    <t>312-655-2101</t>
  </si>
  <si>
    <t>Metra/Via Rail Canad</t>
  </si>
  <si>
    <t>41.878684,-87.639443</t>
  </si>
  <si>
    <t>Ticketing ends 10 min, and gates close 5 min, before dp time</t>
  </si>
  <si>
    <t>P43D</t>
  </si>
  <si>
    <t>Agent on duty</t>
  </si>
  <si>
    <t>Y425</t>
  </si>
  <si>
    <t xml:space="preserve"> Susie Terrell 2004- Vince Pryor 3345  Heidi Monytoya 2056</t>
  </si>
  <si>
    <t>Chicago Union Station</t>
  </si>
  <si>
    <t>CH7</t>
  </si>
  <si>
    <t>CHM</t>
  </si>
  <si>
    <t>Champaign-Urbana, Illinois</t>
  </si>
  <si>
    <t>45 East University Avenue</t>
  </si>
  <si>
    <t>2nd floor</t>
  </si>
  <si>
    <t>Champaign</t>
  </si>
  <si>
    <t>217-352-5905</t>
  </si>
  <si>
    <t>40.115843,-88.241366</t>
  </si>
  <si>
    <t>See Miscellaneous Page for Important Lost and Found Info</t>
  </si>
  <si>
    <t>CHML</t>
  </si>
  <si>
    <t>St. Paul, MN</t>
  </si>
  <si>
    <t>CHP</t>
  </si>
  <si>
    <t>Chippewa Falls, Wisconsin</t>
  </si>
  <si>
    <t>2750 120th Street</t>
  </si>
  <si>
    <t>Holiday Gas Station</t>
  </si>
  <si>
    <t>Chippewa Falls</t>
  </si>
  <si>
    <t>44.883096,-91.427794</t>
  </si>
  <si>
    <t>District Manager Stations - Amtrak</t>
  </si>
  <si>
    <t>Assistant Superintendent of Stations</t>
  </si>
  <si>
    <t>CHS</t>
  </si>
  <si>
    <t>Charleston, South Carolina</t>
  </si>
  <si>
    <t>4565 Gaynor Avenue</t>
  </si>
  <si>
    <t>North Charleston</t>
  </si>
  <si>
    <t>843-744-8264</t>
  </si>
  <si>
    <t>32.874866,-79.998002</t>
  </si>
  <si>
    <t>CHSL</t>
  </si>
  <si>
    <t>3570 Clifford Lane, Jacksonville, Fl.</t>
  </si>
  <si>
    <t>JA7</t>
  </si>
  <si>
    <t>JAXL</t>
  </si>
  <si>
    <t>Miami Fl</t>
  </si>
  <si>
    <t>MI7</t>
  </si>
  <si>
    <t>Exemption 6</t>
  </si>
  <si>
    <t>District Manager, Customer Services</t>
  </si>
  <si>
    <t>7519 Staples Mill Road, Richmond, Va. 23228</t>
  </si>
  <si>
    <t>Union Station, Washington, DC 20001</t>
  </si>
  <si>
    <t>CWH</t>
  </si>
  <si>
    <t>Cornwells Heights, Pennsylvania</t>
  </si>
  <si>
    <t>700 Station Avenue</t>
  </si>
  <si>
    <t>Station Avenue and Railroad Avenue</t>
  </si>
  <si>
    <t>Cornwells Heights</t>
  </si>
  <si>
    <t>SEPTA</t>
  </si>
  <si>
    <t>40.071663,-74.952187</t>
  </si>
  <si>
    <t>Newark, NJ</t>
  </si>
  <si>
    <t>NWK</t>
  </si>
  <si>
    <t>P739</t>
  </si>
  <si>
    <t>New York, NY</t>
  </si>
  <si>
    <t>NY7</t>
  </si>
  <si>
    <t>P741</t>
  </si>
  <si>
    <t>CWL</t>
  </si>
  <si>
    <t>Chewelah, Washington</t>
  </si>
  <si>
    <t>214 East Main Avenue</t>
  </si>
  <si>
    <t>Chamber of Commerce</t>
  </si>
  <si>
    <t>Chewelah</t>
  </si>
  <si>
    <t>48.276184,-117.713875</t>
  </si>
  <si>
    <t>CWT</t>
  </si>
  <si>
    <t>Chatsworth, California</t>
  </si>
  <si>
    <t>10040 Old Depot Plaza Road</t>
  </si>
  <si>
    <t>Chatsworth</t>
  </si>
  <si>
    <t>Metrolink</t>
  </si>
  <si>
    <t>34.253205,-118.599417</t>
  </si>
  <si>
    <t>CYN</t>
  </si>
  <si>
    <t>Cary, North Carolina</t>
  </si>
  <si>
    <t>211 North Academy Street</t>
  </si>
  <si>
    <t>Cary</t>
  </si>
  <si>
    <t>919-462-6434</t>
  </si>
  <si>
    <t>35.788294,-78.782246</t>
  </si>
  <si>
    <t>73/74/75/76/79/80 use Platform A -- 91/92 use Platform B</t>
  </si>
  <si>
    <t>C5E3</t>
  </si>
  <si>
    <t>Raleigh, North Carolina</t>
  </si>
  <si>
    <t>RGHL</t>
  </si>
  <si>
    <t>DAL</t>
  </si>
  <si>
    <t>Dallas, Texas</t>
  </si>
  <si>
    <t>400 South Houston Street</t>
  </si>
  <si>
    <t>Union Station</t>
  </si>
  <si>
    <t>Dallas</t>
  </si>
  <si>
    <t>214-653-1101</t>
  </si>
  <si>
    <t>32.776094,-96.807235</t>
  </si>
  <si>
    <t>DALL</t>
  </si>
  <si>
    <t>DAM</t>
  </si>
  <si>
    <t>Damariscotta, Maine</t>
  </si>
  <si>
    <t>167 Main Street</t>
  </si>
  <si>
    <t>Waltz Pharmacy</t>
  </si>
  <si>
    <t>Damariscotta</t>
  </si>
  <si>
    <t>207-563-3128</t>
  </si>
  <si>
    <t>44.032398,-69.531009</t>
  </si>
  <si>
    <t>DAN</t>
  </si>
  <si>
    <t>Danville, Virginia</t>
  </si>
  <si>
    <t>677 Craghead Street</t>
  </si>
  <si>
    <t>Danville</t>
  </si>
  <si>
    <t>36.584090,-79.383968</t>
  </si>
  <si>
    <t>Unstaffed Station - Security Officer On Duty - call ext 301</t>
  </si>
  <si>
    <t>Unstaffed Station - Security Officer on Duty - call ext 301</t>
  </si>
  <si>
    <t>DAV</t>
  </si>
  <si>
    <t>Davis, California</t>
  </si>
  <si>
    <t>840 Second Street</t>
  </si>
  <si>
    <t>Amtrak Passenger Station</t>
  </si>
  <si>
    <t>Davis</t>
  </si>
  <si>
    <t>530-758-4220</t>
  </si>
  <si>
    <t>38.543562,-121.737707</t>
  </si>
  <si>
    <t>DAVL</t>
  </si>
  <si>
    <t>401 I. Street Sacramento, CA 95814</t>
  </si>
  <si>
    <t>DBP</t>
  </si>
  <si>
    <t>Dublin-Pleasanton, California</t>
  </si>
  <si>
    <t>5801 Owens Drive</t>
  </si>
  <si>
    <t>BART Station, North side, East curb near parking structure.</t>
  </si>
  <si>
    <t>for Thruway Bus Service see page 6</t>
  </si>
  <si>
    <t>Pleasanton</t>
  </si>
  <si>
    <t>37.702833,-121.897697</t>
  </si>
  <si>
    <t>DDE</t>
  </si>
  <si>
    <t>Dade City, Florida</t>
  </si>
  <si>
    <t>14218 US Highway 98</t>
  </si>
  <si>
    <t>Highway 98/301 Truck Route</t>
  </si>
  <si>
    <t>Dade City</t>
  </si>
  <si>
    <t>352-567-9982</t>
  </si>
  <si>
    <t>28.364669,-82.184459</t>
  </si>
  <si>
    <t>Orlando, FLorida</t>
  </si>
  <si>
    <t>OR7</t>
  </si>
  <si>
    <t>Jacksonville, FL</t>
  </si>
  <si>
    <t>DDG</t>
  </si>
  <si>
    <t>Dodge City, Kansas</t>
  </si>
  <si>
    <t>Central Avenue &amp; Wyatt Earp Street</t>
  </si>
  <si>
    <t>Dodge City</t>
  </si>
  <si>
    <t>KS</t>
  </si>
  <si>
    <t>37.752306,-100.016961</t>
  </si>
  <si>
    <t>GCK 620-275-9533 Nearest Open Station, Check Hours</t>
  </si>
  <si>
    <t>Volunteers Open Waiting Room</t>
  </si>
  <si>
    <t>DEB</t>
  </si>
  <si>
    <t>Denver (Bus Station), Colorado</t>
  </si>
  <si>
    <t>1055 19th Street</t>
  </si>
  <si>
    <t>Denver</t>
  </si>
  <si>
    <t>303-293-6555</t>
  </si>
  <si>
    <t>DEX</t>
  </si>
  <si>
    <t>Greyhound,Powder Rvr</t>
  </si>
  <si>
    <t>39.750405,-104.991508</t>
  </si>
  <si>
    <t>Non-Amtrak staffed Greyhound bus station</t>
  </si>
  <si>
    <t>Service Manager Customer Service</t>
  </si>
  <si>
    <t>DEM</t>
  </si>
  <si>
    <t>Deming, New Mexico</t>
  </si>
  <si>
    <t>400 East Railroad Avenue</t>
  </si>
  <si>
    <t>Deming</t>
  </si>
  <si>
    <t>32.271770,-107.754346</t>
  </si>
  <si>
    <t>Unstaffed Loction</t>
  </si>
  <si>
    <t>DEN</t>
  </si>
  <si>
    <t>Denver, Colorado</t>
  </si>
  <si>
    <t>1800 21st Street</t>
  </si>
  <si>
    <t>Denver Temporary Station</t>
  </si>
  <si>
    <t>303-825-2583</t>
  </si>
  <si>
    <t>39.757120,-104.996859</t>
  </si>
  <si>
    <t>Temporary location during Denver Union Station rebuilding.</t>
  </si>
  <si>
    <t>DENL</t>
  </si>
  <si>
    <t>District Manager, Station-West</t>
  </si>
  <si>
    <t>Asst. Superintendent Passenger Services</t>
  </si>
  <si>
    <t>DER</t>
  </si>
  <si>
    <t>Dearborn, Michigan</t>
  </si>
  <si>
    <t>16121 Michigan Avenue</t>
  </si>
  <si>
    <t>Univ of Wisconsin Memorial Union</t>
  </si>
  <si>
    <t>MSX</t>
  </si>
  <si>
    <t>Van Galder</t>
  </si>
  <si>
    <t>43.075929,-89.399274</t>
  </si>
  <si>
    <t>V.G. 7 and 10 AM buses go to downtown CHI: 11:30 AM  doesn't</t>
  </si>
  <si>
    <t>District Manager-Stations</t>
  </si>
  <si>
    <t>St. Paul, Minnesota</t>
  </si>
  <si>
    <t>Supt.-Psgr. Services</t>
  </si>
  <si>
    <t>MSP</t>
  </si>
  <si>
    <t>St. Paul-Minneapolis, Minnesota</t>
  </si>
  <si>
    <t>Midway Station</t>
  </si>
  <si>
    <t>730 Transfer Road</t>
  </si>
  <si>
    <t>St. Paul</t>
  </si>
  <si>
    <t>651-644-6012</t>
  </si>
  <si>
    <t>44.962906,-93.184942</t>
  </si>
  <si>
    <t xml:space="preserve">525 West Van Buren Chicago Illinois, 60607 </t>
  </si>
  <si>
    <t>MSS</t>
  </si>
  <si>
    <t>Manassas, Virginia</t>
  </si>
  <si>
    <t>9431 West Street</t>
  </si>
  <si>
    <t>Manassas</t>
  </si>
  <si>
    <t>38.750084,-77.472577</t>
  </si>
  <si>
    <t>VRE commuter service to WAS at this station also.</t>
  </si>
  <si>
    <t>MTC</t>
  </si>
  <si>
    <t>Manitowoc, Wisconsin</t>
  </si>
  <si>
    <t>1701 South 41st Street</t>
  </si>
  <si>
    <t>Manitowoc</t>
  </si>
  <si>
    <t>44.078388,-87.698759</t>
  </si>
  <si>
    <t>MTG</t>
  </si>
  <si>
    <t>Metropolitan Grove, Maryland</t>
  </si>
  <si>
    <t>2 Metropolitan Court</t>
  </si>
  <si>
    <t>MARC Station - behind MVA office</t>
  </si>
  <si>
    <t>MTO</t>
  </si>
  <si>
    <t>Manton, Michigan</t>
  </si>
  <si>
    <t>102 South Michigan Avenue</t>
  </si>
  <si>
    <t>Manton Shell Station</t>
  </si>
  <si>
    <t>Manton</t>
  </si>
  <si>
    <t>44.410563,-85.398401</t>
  </si>
  <si>
    <t>MTP</t>
  </si>
  <si>
    <t>Mt. Pleasant, Iowa</t>
  </si>
  <si>
    <t>418 North Adams Street</t>
  </si>
  <si>
    <t>Mt. Pleasant</t>
  </si>
  <si>
    <t>319-385-8801</t>
  </si>
  <si>
    <t>40.971179,-91.550772</t>
  </si>
  <si>
    <t>Ticket office closed 5/15/12 thru 5/17/12</t>
  </si>
  <si>
    <t>MTPL</t>
  </si>
  <si>
    <t>MTR</t>
  </si>
  <si>
    <t>Montreal (Gare Centrale), Quebec</t>
  </si>
  <si>
    <t>41.354267,-72.093225</t>
  </si>
  <si>
    <t>NLCL</t>
  </si>
  <si>
    <t xml:space="preserve"> Assistant Manager of Stations - Passenger Services</t>
  </si>
  <si>
    <t>NLS</t>
  </si>
  <si>
    <t>Niles, Michigan</t>
  </si>
  <si>
    <t>598 Dey Street</t>
  </si>
  <si>
    <t>Niles</t>
  </si>
  <si>
    <t>269-687-2211</t>
  </si>
  <si>
    <t>41.837412,-86.252372</t>
  </si>
  <si>
    <t>NLSL</t>
  </si>
  <si>
    <t>NNI</t>
  </si>
  <si>
    <t>Nanaimo, British Columbia</t>
  </si>
  <si>
    <t>1 North Terminal Avenue</t>
  </si>
  <si>
    <t>Greyhound Canada Bus Depot</t>
  </si>
  <si>
    <t>Nanaimo</t>
  </si>
  <si>
    <t>800-661-8747</t>
  </si>
  <si>
    <t>49.170781,-123.943117</t>
  </si>
  <si>
    <t>See G/AMW/B02/P63-P6</t>
  </si>
  <si>
    <t>NOL</t>
  </si>
  <si>
    <t>New Orleans, Louisiana</t>
  </si>
  <si>
    <t>1001 Loyola Avenue</t>
  </si>
  <si>
    <t>New Orleans Union Passenger Terminal</t>
  </si>
  <si>
    <t>504-528-1612</t>
  </si>
  <si>
    <t>29.946085,-90.078291</t>
  </si>
  <si>
    <t>See Page 21 for Layovers // Check-in 1 hour before departure</t>
  </si>
  <si>
    <t>NOR</t>
  </si>
  <si>
    <t>Norman, Oklahoma</t>
  </si>
  <si>
    <t>200 South Jones Avenue</t>
  </si>
  <si>
    <t>Norman</t>
  </si>
  <si>
    <t>35.219963,-97.443013</t>
  </si>
  <si>
    <t>NPN</t>
  </si>
  <si>
    <t>Newport News, Virginia</t>
  </si>
  <si>
    <t>9304 Warwick Boulevard</t>
  </si>
  <si>
    <t>Newport News</t>
  </si>
  <si>
    <t>757-245-3589</t>
  </si>
  <si>
    <t>37.022731,-76.451970</t>
  </si>
  <si>
    <t>NPNL</t>
  </si>
  <si>
    <t>NPO</t>
  </si>
  <si>
    <t>Newport, Oregon</t>
  </si>
  <si>
    <t>956 SW 10th Street</t>
  </si>
  <si>
    <t>Valley Retriever Station</t>
  </si>
  <si>
    <t>Newport</t>
  </si>
  <si>
    <t>541-265-2253</t>
  </si>
  <si>
    <t>44.627396,-124.060478</t>
  </si>
  <si>
    <t>NONE</t>
  </si>
  <si>
    <t>NPV</t>
  </si>
  <si>
    <t>Naperville, Illinois</t>
  </si>
  <si>
    <t>105 E. Fourth Ave.</t>
  </si>
  <si>
    <t>Corner of 4th Avenue &amp; Ellsworth Street</t>
  </si>
  <si>
    <t>Naperville</t>
  </si>
  <si>
    <t>630-357-9114</t>
  </si>
  <si>
    <t>Metra / Via</t>
  </si>
  <si>
    <t>41.779514,-88.145497</t>
  </si>
  <si>
    <t>NPVL</t>
  </si>
  <si>
    <t>NPW</t>
  </si>
  <si>
    <t>Napa (Wine Train Station), California</t>
  </si>
  <si>
    <t>1275 McKinstry Street</t>
  </si>
  <si>
    <t>38.302059,-122.283725</t>
  </si>
  <si>
    <t>NRK</t>
  </si>
  <si>
    <t>Newark, Delaware</t>
  </si>
  <si>
    <t>429 South College Ave.</t>
  </si>
  <si>
    <t>302-429-6556</t>
  </si>
  <si>
    <t>39.669686,-75.753513</t>
  </si>
  <si>
    <t>Mgr. Customer Service</t>
  </si>
  <si>
    <t>Wilmington Psgr Station.  Wilmington DE.</t>
  </si>
  <si>
    <t>NRO</t>
  </si>
  <si>
    <t>New Rochelle, New York</t>
  </si>
  <si>
    <t>1 Railroad Plaza</t>
  </si>
  <si>
    <t>New Rochelle</t>
  </si>
  <si>
    <t>914-632-3737</t>
  </si>
  <si>
    <t>40.911451,-73.784329</t>
  </si>
  <si>
    <t>NSF</t>
  </si>
  <si>
    <t>North Carolina State Fair, North Carolina</t>
  </si>
  <si>
    <t>1025 Blue Ridge Boulevard</t>
  </si>
  <si>
    <t>at the railroad crossing</t>
  </si>
  <si>
    <t>See "directions" page for more information</t>
  </si>
  <si>
    <t>North Carolina State Fair</t>
  </si>
  <si>
    <t>35.794203,-78.706292</t>
  </si>
  <si>
    <t>Train stops at State Fair Dates -- October 11-21, 2012</t>
  </si>
  <si>
    <t>Boarding Platform - No Ticket Office</t>
  </si>
  <si>
    <t>Boarding Platform - No Station Services</t>
  </si>
  <si>
    <t>Manager - Station Services</t>
  </si>
  <si>
    <t>Raleigh, NC</t>
  </si>
  <si>
    <t>R849</t>
  </si>
  <si>
    <t>Assistant Superintendent - Station Services</t>
  </si>
  <si>
    <t>NSH</t>
  </si>
  <si>
    <t>Nashua, New Hampshire</t>
  </si>
  <si>
    <t>8 North Southwood Drive</t>
  </si>
  <si>
    <t>Nashua</t>
  </si>
  <si>
    <t xml:space="preserve">Northeast </t>
  </si>
  <si>
    <t>42.790718,-71.503866</t>
  </si>
  <si>
    <t>Newark (Penn Station), New Jersey</t>
  </si>
  <si>
    <t>1 Raymond Plaza West</t>
  </si>
  <si>
    <t>Market Street</t>
  </si>
  <si>
    <t>973-596-2335</t>
  </si>
  <si>
    <t>NJ Transit/VIA Rail</t>
  </si>
  <si>
    <t>40.734706,-74.164750</t>
  </si>
  <si>
    <t>See Miscellaneous for MAAS for trn 90 and for late arrivals</t>
  </si>
  <si>
    <t>Station Managers (see below)</t>
  </si>
  <si>
    <t>nwk</t>
  </si>
  <si>
    <t>p739</t>
  </si>
  <si>
    <t>p741</t>
  </si>
  <si>
    <t>NYF</t>
  </si>
  <si>
    <t>New York State Fair, New York</t>
  </si>
  <si>
    <t>581 State Fair Blvd.</t>
  </si>
  <si>
    <t>Gate 11</t>
  </si>
  <si>
    <t>Syracuse</t>
  </si>
  <si>
    <t>43.071924,-76.229473</t>
  </si>
  <si>
    <t>Fair dates August 26 through September 6, 2010.</t>
  </si>
  <si>
    <t>Superintendent</t>
  </si>
  <si>
    <t>NYP</t>
  </si>
  <si>
    <t>New York (Penn Station), New York</t>
  </si>
  <si>
    <t>234 W. 31st Street-Pennsylvania Station</t>
  </si>
  <si>
    <t>8th Avenue and W. 31st/33rd Streets</t>
  </si>
  <si>
    <t>(Elevator entrance at 7th Ave and 31st St)</t>
  </si>
  <si>
    <t>New York</t>
  </si>
  <si>
    <t>212-630-6400</t>
  </si>
  <si>
    <t>40.750327,-73.994459</t>
  </si>
  <si>
    <t>EGH</t>
  </si>
  <si>
    <t>Egg Harbor City, New Jersey</t>
  </si>
  <si>
    <t>South Philadelphia Avenue &amp; Atlantic Avenue</t>
  </si>
  <si>
    <t>Egg Harbor City</t>
  </si>
  <si>
    <t>39.526494,-74.648020</t>
  </si>
  <si>
    <t>EKA</t>
  </si>
  <si>
    <t>Eureka, California</t>
  </si>
  <si>
    <t>6th and C Streets</t>
  </si>
  <si>
    <t>Bus stop behind Denny's</t>
  </si>
  <si>
    <t>Eureka</t>
  </si>
  <si>
    <t>40.800739,-124.169330</t>
  </si>
  <si>
    <t>EKG</t>
  </si>
  <si>
    <t>Elk Grove, California</t>
  </si>
  <si>
    <t>9180 Harbour Point Drive</t>
  </si>
  <si>
    <t>e-tran transit stop in front of Kelly's exp carwash</t>
  </si>
  <si>
    <t>Elk Grove</t>
  </si>
  <si>
    <t>38.424746,-121.480807</t>
  </si>
  <si>
    <t>for pick up and drop off information see Thruway page</t>
  </si>
  <si>
    <t>EKH</t>
  </si>
  <si>
    <t>Elkhart, Indiana</t>
  </si>
  <si>
    <t>131 Tyler Avenue</t>
  </si>
  <si>
    <t>Elkhart</t>
  </si>
  <si>
    <t>41.680748,-85.971848</t>
  </si>
  <si>
    <t>Unmanned station</t>
  </si>
  <si>
    <t>ELK</t>
  </si>
  <si>
    <t>Elko, Nevada</t>
  </si>
  <si>
    <t>1300 Water Street (Train 5)</t>
  </si>
  <si>
    <t>1301 Sharps Access Road (Train 6)</t>
  </si>
  <si>
    <t>Elko</t>
  </si>
  <si>
    <t>NV</t>
  </si>
  <si>
    <t>40.836483,-115.750530</t>
  </si>
  <si>
    <t>See "Miscellaneous" for details on station location</t>
  </si>
  <si>
    <t>ELP</t>
  </si>
  <si>
    <t>El Paso, Texas</t>
  </si>
  <si>
    <t>700 West San Francisco Avenue</t>
  </si>
  <si>
    <t>El Paso</t>
  </si>
  <si>
    <t>915-545-2247</t>
  </si>
  <si>
    <t>31.757346,-106.495644</t>
  </si>
  <si>
    <t>ELPL</t>
  </si>
  <si>
    <t>ELS</t>
  </si>
  <si>
    <t>Elsie, Oregon</t>
  </si>
  <si>
    <t>43128 US Highway 26</t>
  </si>
  <si>
    <t>Oney's Roadhouse</t>
  </si>
  <si>
    <t>Elsie</t>
  </si>
  <si>
    <t>503-755-1818</t>
  </si>
  <si>
    <t>Driver, bus only</t>
  </si>
  <si>
    <t>45.867040,-123.596050</t>
  </si>
  <si>
    <t>no one</t>
  </si>
  <si>
    <t>ELT</t>
  </si>
  <si>
    <t>Elizabethtown, Pennsylvania</t>
  </si>
  <si>
    <t xml:space="preserve">50 South Wilson Avenue </t>
  </si>
  <si>
    <t>Elizabethtown</t>
  </si>
  <si>
    <t>40.147028,-76.612234</t>
  </si>
  <si>
    <t>Harrisburg, PA</t>
  </si>
  <si>
    <t>ELY</t>
  </si>
  <si>
    <t>Elyria, Ohio</t>
  </si>
  <si>
    <t>410 East River Road</t>
  </si>
  <si>
    <t>Elyria</t>
  </si>
  <si>
    <t>41.370033,-82.096685</t>
  </si>
  <si>
    <t>EMI</t>
  </si>
  <si>
    <t>Escanaba, Michigan</t>
  </si>
  <si>
    <t>2901 27th Avenue North</t>
  </si>
  <si>
    <t>Delta Area Transit Authority bus stop</t>
  </si>
  <si>
    <t>Escanaba</t>
  </si>
  <si>
    <t>45.779858,-87.089868</t>
  </si>
  <si>
    <t>EMY</t>
  </si>
  <si>
    <t>Emeryville, California</t>
  </si>
  <si>
    <t>5885 Horton Street</t>
  </si>
  <si>
    <t>Emeryville</t>
  </si>
  <si>
    <t>510-450-1081</t>
  </si>
  <si>
    <t>37.840474,-122.291615</t>
  </si>
  <si>
    <t>S0A6</t>
  </si>
  <si>
    <t>See Ticket Office</t>
  </si>
  <si>
    <t>EPH</t>
  </si>
  <si>
    <t>Ephrata (Train), Washington</t>
  </si>
  <si>
    <t>90 Alder Street NW</t>
  </si>
  <si>
    <t>Ephrata</t>
  </si>
  <si>
    <t>47.320948,-119.549267</t>
  </si>
  <si>
    <t>Use EPR for buses - they have moved from this location.</t>
  </si>
  <si>
    <t>Rail Station unstaffed / Chamber of Commerce at bus stop</t>
  </si>
  <si>
    <t>Asst Superintendant Passenger Service</t>
  </si>
  <si>
    <t>EPL</t>
  </si>
  <si>
    <t>El Portal, California</t>
  </si>
  <si>
    <t>11136 Highway 140</t>
  </si>
  <si>
    <t>Yosemite View Lodge</t>
  </si>
  <si>
    <t>El Portal</t>
  </si>
  <si>
    <t>37.678454,-119.765742</t>
  </si>
  <si>
    <t>EPR</t>
  </si>
  <si>
    <t>Ephrata (Bus), Washington</t>
  </si>
  <si>
    <t>1352 Basin Street SW</t>
  </si>
  <si>
    <t>Shell Gas Station</t>
  </si>
  <si>
    <t>EPX</t>
  </si>
  <si>
    <t>NW Trailways only</t>
  </si>
  <si>
    <t>47.306774,-119.561202</t>
  </si>
  <si>
    <t>For more information see Thruway Service, Use EPH for trains</t>
  </si>
  <si>
    <t>ERI</t>
  </si>
  <si>
    <t>Erie, Pennsylvania</t>
  </si>
  <si>
    <t>125 West 14th Street</t>
  </si>
  <si>
    <t>Erie</t>
  </si>
  <si>
    <t>42.120847,-80.082444</t>
  </si>
  <si>
    <t>Station Custodian</t>
  </si>
  <si>
    <t>Buffalo-Depew, NY</t>
  </si>
  <si>
    <t>al7</t>
  </si>
  <si>
    <t>ESG</t>
  </si>
  <si>
    <t>El Segundo, California</t>
  </si>
  <si>
    <t>700 South Douglas Street</t>
  </si>
  <si>
    <t>Douglas Green Line Station</t>
  </si>
  <si>
    <t>El Segundo</t>
  </si>
  <si>
    <t>33.906609,-118.383533</t>
  </si>
  <si>
    <t>ESM</t>
  </si>
  <si>
    <t>Essex, Montana</t>
  </si>
  <si>
    <t>290 Izaak Walton Inn Road</t>
  </si>
  <si>
    <t>Izaak Walton Inn</t>
  </si>
  <si>
    <t>Essex</t>
  </si>
  <si>
    <t>48.275543,-113.610942</t>
  </si>
  <si>
    <t>Platform is 0.25 mi from Izaak Walton Inn hotel building</t>
  </si>
  <si>
    <t>Unstaffed Platform</t>
  </si>
  <si>
    <t>Distirct Manager Station</t>
  </si>
  <si>
    <t>ESN</t>
  </si>
  <si>
    <t>Easton, Maryland</t>
  </si>
  <si>
    <t>29137 Newman Road</t>
  </si>
  <si>
    <t>Easton Airport - Main Terminal</t>
  </si>
  <si>
    <t>Easton</t>
  </si>
  <si>
    <t>410-822-5444</t>
  </si>
  <si>
    <t>38.811393,-76.064904</t>
  </si>
  <si>
    <t>ESX</t>
  </si>
  <si>
    <t>Essex Junction, Vermont</t>
  </si>
  <si>
    <t>29 Railroad Avenue</t>
  </si>
  <si>
    <t>Essex Junction</t>
  </si>
  <si>
    <t>802-879-7298</t>
  </si>
  <si>
    <t>44.492466,-73.110277</t>
  </si>
  <si>
    <t>Customer Service Supervisor</t>
  </si>
  <si>
    <t>EUC</t>
  </si>
  <si>
    <t>Eau Claire, Wisconsin</t>
  </si>
  <si>
    <t>South Farwell St. and Main St.</t>
  </si>
  <si>
    <t>Eau Claire Transit Center</t>
  </si>
  <si>
    <t>Eau Claire</t>
  </si>
  <si>
    <t>44.810351,-91.498003</t>
  </si>
  <si>
    <t xml:space="preserve">Assistant Superintendent of Stations </t>
  </si>
  <si>
    <t>EUG</t>
  </si>
  <si>
    <t>Eugene, Oregon</t>
  </si>
  <si>
    <t>433 Willamette Street</t>
  </si>
  <si>
    <t>Eugene</t>
  </si>
  <si>
    <t>541-687-1383</t>
  </si>
  <si>
    <t>44.055043,-123.092361</t>
  </si>
  <si>
    <t>EUGL</t>
  </si>
  <si>
    <t>800 NW 6Th Ave., Room 250, Portland, OR 97209</t>
  </si>
  <si>
    <t>EUO</t>
  </si>
  <si>
    <t>Eugene (University of Oregon), Oregon</t>
  </si>
  <si>
    <t>1320 East 15th Avenue</t>
  </si>
  <si>
    <t>Across from Student Recreation Center</t>
  </si>
  <si>
    <t>44.043375,-123.074349</t>
  </si>
  <si>
    <t>EVR</t>
  </si>
  <si>
    <t>Everett, Washington</t>
  </si>
  <si>
    <t>3201 Smith Avenue</t>
  </si>
  <si>
    <t>Everett</t>
  </si>
  <si>
    <t>425-258-2458</t>
  </si>
  <si>
    <t>47.975401,-122.197858</t>
  </si>
  <si>
    <t>Read "Thruway Service" page for more info.</t>
  </si>
  <si>
    <t>EVRL</t>
  </si>
  <si>
    <t>Seattle, WA   -  Holgate St. Facility</t>
  </si>
  <si>
    <t>EWR</t>
  </si>
  <si>
    <t>Newark Liberty International Airport, New Jersey</t>
  </si>
  <si>
    <t>Newark Liberty International Airport</t>
  </si>
  <si>
    <t>AirTrain from main airport terminal</t>
  </si>
  <si>
    <t>Newark</t>
  </si>
  <si>
    <t>Yes</t>
  </si>
  <si>
    <t>40.696618,-74.182290</t>
  </si>
  <si>
    <t>No access by private vehicle. No cash. See Miscellaneous.</t>
  </si>
  <si>
    <t>P42F</t>
  </si>
  <si>
    <t>District Manager Customer Services</t>
  </si>
  <si>
    <t xml:space="preserve"> Penn Station, Newark,  N.J.</t>
  </si>
  <si>
    <t>NW7</t>
  </si>
  <si>
    <t>Superintendant Customer Services</t>
  </si>
  <si>
    <t>EXC</t>
  </si>
  <si>
    <t>Exchange</t>
  </si>
  <si>
    <t>EXP</t>
  </si>
  <si>
    <t>Express</t>
  </si>
  <si>
    <t>EXR</t>
  </si>
  <si>
    <t>Exeter, New Hampshire</t>
  </si>
  <si>
    <t>60 Lincoln Street</t>
  </si>
  <si>
    <t>Lincoln Street at Railroad Avenue</t>
  </si>
  <si>
    <t>Exeter</t>
  </si>
  <si>
    <t>42.981020,-70.958700</t>
  </si>
  <si>
    <t>Quik Trak is next door at Gerry's Variety Store.</t>
  </si>
  <si>
    <t>Portland,  Me.</t>
  </si>
  <si>
    <t>EXT</t>
  </si>
  <si>
    <t>Exton, Pennsylvania</t>
  </si>
  <si>
    <t>425 Walkertown Road</t>
  </si>
  <si>
    <t>US 30/Route 100 (Pottstown Pike) interchange</t>
  </si>
  <si>
    <t>Exton</t>
  </si>
  <si>
    <t>40.019291,-75.621713</t>
  </si>
  <si>
    <t>Harrsiburg, pennsylvania</t>
  </si>
  <si>
    <t>FAR</t>
  </si>
  <si>
    <t>Fargo, North Dakota</t>
  </si>
  <si>
    <t>420 4th Street North</t>
  </si>
  <si>
    <t>Fargo</t>
  </si>
  <si>
    <t>701-232-2197</t>
  </si>
  <si>
    <t>46.880982,-96.785372</t>
  </si>
  <si>
    <t>FARL</t>
  </si>
  <si>
    <t>FAY</t>
  </si>
  <si>
    <t>Fayetteville, North Carolina</t>
  </si>
  <si>
    <t>472 Hay Street</t>
  </si>
  <si>
    <t>Fayetteville</t>
  </si>
  <si>
    <t>910-483-2658</t>
  </si>
  <si>
    <t>35.054993,-78.884788</t>
  </si>
  <si>
    <t>FAYL</t>
  </si>
  <si>
    <t>FBG</t>
  </si>
  <si>
    <t>Fredericksburg, Virginia</t>
  </si>
  <si>
    <t>200 Lafayette Boulevard</t>
  </si>
  <si>
    <t>Fredericksburg</t>
  </si>
  <si>
    <t>38.298413,-77.457203</t>
  </si>
  <si>
    <t>FDL</t>
  </si>
  <si>
    <t>Fond du Lac, Wisconsin</t>
  </si>
  <si>
    <t>976 South Main Street</t>
  </si>
  <si>
    <t>Mobil Station</t>
  </si>
  <si>
    <t>Fond du Lac</t>
  </si>
  <si>
    <t>920-921-4215</t>
  </si>
  <si>
    <t>Greyhound/Lamers</t>
  </si>
  <si>
    <t>43.752309,-88.450764</t>
  </si>
  <si>
    <t>mkel</t>
  </si>
  <si>
    <t>Assistant Superintendant - Stations</t>
  </si>
  <si>
    <t>FDN</t>
  </si>
  <si>
    <t>Fredonia, New York</t>
  </si>
  <si>
    <t>1 State University of New York</t>
  </si>
  <si>
    <t>William Center Student Union</t>
  </si>
  <si>
    <t>Central Box Office</t>
  </si>
  <si>
    <t>Fredonia</t>
  </si>
  <si>
    <t>42.450680,-79.339726</t>
  </si>
  <si>
    <t>Albany , NY</t>
  </si>
  <si>
    <t>FED</t>
  </si>
  <si>
    <t>Fort Edward-Glens Falls, New York</t>
  </si>
  <si>
    <t>70 East Street</t>
  </si>
  <si>
    <t>East and Rogers Streets</t>
  </si>
  <si>
    <t>Fort Edward</t>
  </si>
  <si>
    <t>NO</t>
  </si>
  <si>
    <t>43.269603,-73.580550</t>
  </si>
  <si>
    <t>GLENS FALLS TRANSIT,FED STATION TO LAKE GEORGE- 518-792-1085</t>
  </si>
  <si>
    <t>Unstaffed Station,time lock opens/closes waiting room doors</t>
  </si>
  <si>
    <t>ALBANY/RENSSELAER, NY</t>
  </si>
  <si>
    <t>Albany/Rensselaer,N.Y.</t>
  </si>
  <si>
    <t>FGG</t>
  </si>
  <si>
    <t>Flagstaff (Greyhound), Arizona</t>
  </si>
  <si>
    <t>880 East Butler Ave.</t>
  </si>
  <si>
    <t>Flagstaff</t>
  </si>
  <si>
    <t>928-774-4573</t>
  </si>
  <si>
    <t>FLX</t>
  </si>
  <si>
    <t>35.192292,-111.638801</t>
  </si>
  <si>
    <t>This is the Greyhound station. For trains see city code FLG.</t>
  </si>
  <si>
    <t>FHD</t>
  </si>
  <si>
    <t>Fort Hood, Texas</t>
  </si>
  <si>
    <t>Building 18010, 48th Street</t>
  </si>
  <si>
    <t>Copeland Soldier's Service Center</t>
  </si>
  <si>
    <t>Fort Hood</t>
  </si>
  <si>
    <t>31.141597,-97.766812</t>
  </si>
  <si>
    <t>Reservations required 24 hours in advance.</t>
  </si>
  <si>
    <t>Unstaffed Location</t>
  </si>
  <si>
    <t>Los Angeles, Ca</t>
  </si>
  <si>
    <t>FIL</t>
  </si>
  <si>
    <t>Fillmore, California</t>
  </si>
  <si>
    <t>718 West Ventura Street</t>
  </si>
  <si>
    <t>International House of Pancakes</t>
  </si>
  <si>
    <t>Fillmore</t>
  </si>
  <si>
    <t>34.396009,-118.918319</t>
  </si>
  <si>
    <t>FIN</t>
  </si>
  <si>
    <t>Group Final</t>
  </si>
  <si>
    <t>FLG</t>
  </si>
  <si>
    <t>Flagstaff, Arizona</t>
  </si>
  <si>
    <t>1 East Route 66</t>
  </si>
  <si>
    <t>928-774-8679</t>
  </si>
  <si>
    <t>35.197374,-111.648871</t>
  </si>
  <si>
    <t>Limited Parking, see details.  *Hours may vary on holidays*</t>
  </si>
  <si>
    <t>FLGL</t>
  </si>
  <si>
    <t>District Manager District Stations - give out station number</t>
  </si>
  <si>
    <t xml:space="preserve">Albuquerque, NM </t>
  </si>
  <si>
    <t>FLN</t>
  </si>
  <si>
    <t>Flint, Michigan</t>
  </si>
  <si>
    <t>1407 South Dort Highway</t>
  </si>
  <si>
    <t>Flint</t>
  </si>
  <si>
    <t>810-234-2659</t>
  </si>
  <si>
    <t>43.015425,-83.651728</t>
  </si>
  <si>
    <t>FLNL</t>
  </si>
  <si>
    <t>FLO</t>
  </si>
  <si>
    <t>Florence, South Carolina</t>
  </si>
  <si>
    <t>805 East Day Street</t>
  </si>
  <si>
    <t>Florence</t>
  </si>
  <si>
    <t>843-665-7650</t>
  </si>
  <si>
    <t>34.199157,-79.757056</t>
  </si>
  <si>
    <t>FLOL</t>
  </si>
  <si>
    <t>FMD</t>
  </si>
  <si>
    <t>Fort Madison, Iowa</t>
  </si>
  <si>
    <t>1601 20th Street</t>
  </si>
  <si>
    <t>Fort Madison</t>
  </si>
  <si>
    <t>319-372-3142</t>
  </si>
  <si>
    <t>40.622591,-91.336983</t>
  </si>
  <si>
    <t>Ticket office closed 5/812 thru 5/10/12</t>
  </si>
  <si>
    <t xml:space="preserve">        </t>
  </si>
  <si>
    <t>FMDL</t>
  </si>
  <si>
    <t>District Manager Stations West</t>
  </si>
  <si>
    <t>FMG</t>
  </si>
  <si>
    <t>Fort Morgan, Colorado</t>
  </si>
  <si>
    <t>South Ensign Street and Main Street</t>
  </si>
  <si>
    <t>Fort Morgan</t>
  </si>
  <si>
    <t>40.247169,-103.802818</t>
  </si>
  <si>
    <t>FMT</t>
  </si>
  <si>
    <t>Fremont (Capitol Trains), California</t>
  </si>
  <si>
    <t>37260 Fremont Boulevard</t>
  </si>
  <si>
    <t>Fremont</t>
  </si>
  <si>
    <t>FRX</t>
  </si>
  <si>
    <t>37.559093,-122.007496</t>
  </si>
  <si>
    <t>FNO</t>
  </si>
  <si>
    <t>Fresno, California</t>
  </si>
  <si>
    <t>2650 Tulare Street</t>
  </si>
  <si>
    <t>Santa Fe Station</t>
  </si>
  <si>
    <t>Fresno</t>
  </si>
  <si>
    <t>559-486-7651</t>
  </si>
  <si>
    <t>36.738457,-119.782926</t>
  </si>
  <si>
    <t>Newly remodeled large station, Tulare St and railroad tracks</t>
  </si>
  <si>
    <t>FNOL</t>
  </si>
  <si>
    <t>200 Santa Fe Ave., #A, Hanford, CA 93230</t>
  </si>
  <si>
    <t>FOX</t>
  </si>
  <si>
    <t>Foxwoods Casino, Connecticut</t>
  </si>
  <si>
    <t>39 Norwich Westerley Road</t>
  </si>
  <si>
    <t>Foxwoods Resort Casino</t>
  </si>
  <si>
    <t>Ledyard</t>
  </si>
  <si>
    <t>41.472320,-71.959227</t>
  </si>
  <si>
    <t>Busses from New London,Ct. train sta. go to: www.seatbus.com</t>
  </si>
  <si>
    <t>FRA</t>
  </si>
  <si>
    <t>Framingham, Massachusetts</t>
  </si>
  <si>
    <t>417 Waverly Street</t>
  </si>
  <si>
    <t>Intersection Route 126 at Route 135</t>
  </si>
  <si>
    <t>Framingham</t>
  </si>
  <si>
    <t>42.276688,-71.417465</t>
  </si>
  <si>
    <t>TRAIN SERVICE TO POINTS WEST ONLY  TRAIN #449. ALB-CHI</t>
  </si>
  <si>
    <t>SUPERINTENDANT STATIONS NEW ENGLAND</t>
  </si>
  <si>
    <t>FRC</t>
  </si>
  <si>
    <t>Frederick (Transit Center), Maryland</t>
  </si>
  <si>
    <t>100 South East Street</t>
  </si>
  <si>
    <t>Frederick Transit Center/MARC Station</t>
  </si>
  <si>
    <t>Frederick</t>
  </si>
  <si>
    <t>FDX</t>
  </si>
  <si>
    <t>39.411855,-77.405580</t>
  </si>
  <si>
    <t>FRO</t>
  </si>
  <si>
    <t>Florence, Oregon</t>
  </si>
  <si>
    <t>290 US Highway 101</t>
  </si>
  <si>
    <t>US 101 and 2nd Street, east side</t>
  </si>
  <si>
    <t>Between Chamber of Commerce/Crab Kettle</t>
  </si>
  <si>
    <t>541-902-9076</t>
  </si>
  <si>
    <t>43.968173,-124.107588</t>
  </si>
  <si>
    <t>FRR</t>
  </si>
  <si>
    <t>Frederick (Airport), Maryland</t>
  </si>
  <si>
    <t>1341 Hughes Ford Road</t>
  </si>
  <si>
    <t>BayRunner Shuttle Office</t>
  </si>
  <si>
    <t>39.416261,-77.382299</t>
  </si>
  <si>
    <t>FRT</t>
  </si>
  <si>
    <t>Fremont (San Joaquin Buses), California</t>
  </si>
  <si>
    <t>42745 Mission Blvd</t>
  </si>
  <si>
    <t>off I-680</t>
  </si>
  <si>
    <t>Across Mission from McDonalds/Caltrans Park and Ride Lot</t>
  </si>
  <si>
    <t>37.539150,-121.923640</t>
  </si>
  <si>
    <t>ASST. SUPERVISOR</t>
  </si>
  <si>
    <t>OAKLAND, CA</t>
  </si>
  <si>
    <t>FSB</t>
  </si>
  <si>
    <t>Frostburg, Maryland</t>
  </si>
  <si>
    <t>101 Braddock Road</t>
  </si>
  <si>
    <t>Frostburg State Univ, Harold J Cordts PE Ctr</t>
  </si>
  <si>
    <t>Frostburg</t>
  </si>
  <si>
    <t>39.648900,-78.933168</t>
  </si>
  <si>
    <t>FSC</t>
  </si>
  <si>
    <t>Frisco, Colorado</t>
  </si>
  <si>
    <t>1010 Meadow Drive</t>
  </si>
  <si>
    <t>Frisco Transfer Center</t>
  </si>
  <si>
    <t>Frisco</t>
  </si>
  <si>
    <t>970-668-8917</t>
  </si>
  <si>
    <t>39.588416,-106.098178</t>
  </si>
  <si>
    <t>Superintendant</t>
  </si>
  <si>
    <t>FTA</t>
  </si>
  <si>
    <t>Fortuna, California</t>
  </si>
  <si>
    <t>719 South Fortuna Blvd</t>
  </si>
  <si>
    <t>Pepper's Restaurant</t>
  </si>
  <si>
    <t>Fortuna</t>
  </si>
  <si>
    <t>40.583672,-124.146188</t>
  </si>
  <si>
    <t>FTC</t>
  </si>
  <si>
    <t>Ticonderoga, New York</t>
  </si>
  <si>
    <t>NYS Hwy 74 and Sandy Redoubt</t>
  </si>
  <si>
    <t>near Lake Champlain Ferry</t>
  </si>
  <si>
    <t>Ticonderoga</t>
  </si>
  <si>
    <t>43.853788,-73.389681</t>
  </si>
  <si>
    <t>UNSTAFFED SHELTER</t>
  </si>
  <si>
    <t>FTL</t>
  </si>
  <si>
    <t>Fort Lauderdale, Florida</t>
  </si>
  <si>
    <t>200 Southwest  21 Terrace</t>
  </si>
  <si>
    <t>Fort Lauderdale</t>
  </si>
  <si>
    <t>954-587-6692</t>
  </si>
  <si>
    <t>26.119256,-80.170000</t>
  </si>
  <si>
    <t>FTLL</t>
  </si>
  <si>
    <t>Maimi, Fl</t>
  </si>
  <si>
    <t>FTM</t>
  </si>
  <si>
    <t>Fort Myers, Florida</t>
  </si>
  <si>
    <t>6050 Plaza Drive</t>
  </si>
  <si>
    <t>Fort Myers Travel Plaza, I-75 exit 139</t>
  </si>
  <si>
    <t>Fort Myers</t>
  </si>
  <si>
    <t>26.655312,-81.801382</t>
  </si>
  <si>
    <t>See Thruway Information</t>
  </si>
  <si>
    <t>Orlando, Florida</t>
  </si>
  <si>
    <t>Asst. Supt. Stations/PSD</t>
  </si>
  <si>
    <t>FTN</t>
  </si>
  <si>
    <t>Fulton, Kentucky</t>
  </si>
  <si>
    <t>21 Newton Road</t>
  </si>
  <si>
    <t>Fulton</t>
  </si>
  <si>
    <t>36.525704,-88.888772</t>
  </si>
  <si>
    <t>FTW</t>
  </si>
  <si>
    <t>Fort Worth, Texas</t>
  </si>
  <si>
    <t>1001 Jones Street</t>
  </si>
  <si>
    <t>Fort Worth</t>
  </si>
  <si>
    <t>817-332-2931</t>
  </si>
  <si>
    <t>32.752563,-97.326673</t>
  </si>
  <si>
    <t>FTWL</t>
  </si>
  <si>
    <t>FUL</t>
  </si>
  <si>
    <t>Fullerton, California</t>
  </si>
  <si>
    <t>120 East Santa Fe Avenue</t>
  </si>
  <si>
    <t>Fullerton Transportation Center</t>
  </si>
  <si>
    <t>Fullerton</t>
  </si>
  <si>
    <t>714-992-0530</t>
  </si>
  <si>
    <t>33.868969,-117.922849</t>
  </si>
  <si>
    <t>FULL</t>
  </si>
  <si>
    <t>GAC</t>
  </si>
  <si>
    <t>Santa Clara (Great America), California</t>
  </si>
  <si>
    <t>5099 Stars &amp; Stripes Drive</t>
  </si>
  <si>
    <t>Under Tasman Drive Overpass</t>
  </si>
  <si>
    <t>Santa Clara</t>
  </si>
  <si>
    <t>37.406778,-121.967003</t>
  </si>
  <si>
    <t>GAI</t>
  </si>
  <si>
    <t>Gaithersburg, Maryland</t>
  </si>
  <si>
    <t>5 South Summit Avenue</t>
  </si>
  <si>
    <t>Gaithersburg</t>
  </si>
  <si>
    <t>GAS</t>
  </si>
  <si>
    <t>Gastonia, North Carolina</t>
  </si>
  <si>
    <t>350 Hancock Street</t>
  </si>
  <si>
    <t>Gastonia</t>
  </si>
  <si>
    <t>35.269186,-81.162366</t>
  </si>
  <si>
    <t xml:space="preserve">Unstaffed Station </t>
  </si>
  <si>
    <t>GBB</t>
  </si>
  <si>
    <t>Galesburg, Illinois</t>
  </si>
  <si>
    <t>225 South Seminary Street</t>
  </si>
  <si>
    <t>Galesburg</t>
  </si>
  <si>
    <t>309-342-8993</t>
  </si>
  <si>
    <t>40.944678,-90.364106</t>
  </si>
  <si>
    <t>GBBL</t>
  </si>
  <si>
    <t>Asst. Superintendent Pasenger Services</t>
  </si>
  <si>
    <t>GBC</t>
  </si>
  <si>
    <t>Garibaldi Highlands, British Columbia</t>
  </si>
  <si>
    <t>40446 Government Road</t>
  </si>
  <si>
    <t>Greyhound Canada Bus Stop</t>
  </si>
  <si>
    <t>Garibaldi Highlands</t>
  </si>
  <si>
    <t>BC</t>
  </si>
  <si>
    <t>800-898-3914</t>
  </si>
  <si>
    <t>Greyhound Canada</t>
  </si>
  <si>
    <t>49.741591,-123.136652</t>
  </si>
  <si>
    <t>See "Thruway Service" for more info See G/AMW/B02/P61-P62</t>
  </si>
  <si>
    <t>Unstaffed Bus Stop</t>
  </si>
  <si>
    <t>GBT</t>
  </si>
  <si>
    <t>Greenbelt, Maryland</t>
  </si>
  <si>
    <t>5600 Greenbelt Metro Drive</t>
  </si>
  <si>
    <t>MARC/Metro Station</t>
  </si>
  <si>
    <t>Greenbelt</t>
  </si>
  <si>
    <t>GBV</t>
  </si>
  <si>
    <t>Garberville, California</t>
  </si>
  <si>
    <t>924 Redwood Drive</t>
  </si>
  <si>
    <t>Waterwheel Restaurant</t>
  </si>
  <si>
    <t>Garberville</t>
  </si>
  <si>
    <t>40.097700,-123.795143</t>
  </si>
  <si>
    <t>Oakland</t>
  </si>
  <si>
    <t>GBY</t>
  </si>
  <si>
    <t>Green Bay, Wisconsin</t>
  </si>
  <si>
    <t>800 Cedar Street</t>
  </si>
  <si>
    <t>Green Bay</t>
  </si>
  <si>
    <t>920-432-4883</t>
  </si>
  <si>
    <t>44.514294,-88.004702</t>
  </si>
  <si>
    <t>GCA</t>
  </si>
  <si>
    <t>Group Car Attendant</t>
  </si>
  <si>
    <t>GCB</t>
  </si>
  <si>
    <t>Grand Canyon National Park (Buses), Arizona</t>
  </si>
  <si>
    <t>Maswik Lodge</t>
  </si>
  <si>
    <t>Grand Canyon National Park</t>
  </si>
  <si>
    <t>GCX</t>
  </si>
  <si>
    <t>36.053640,-112.144648</t>
  </si>
  <si>
    <t>See 'GCN' for Grand Canyon Railway station</t>
  </si>
  <si>
    <t>GCK</t>
  </si>
  <si>
    <t>Garden City, Kansas</t>
  </si>
  <si>
    <t>100 North 7th Street</t>
  </si>
  <si>
    <t>One block south of 7th/Fulton (Bus. Hwy. 50)</t>
  </si>
  <si>
    <t>Garden City</t>
  </si>
  <si>
    <t>620-275-9533</t>
  </si>
  <si>
    <t>37.964365,-100.873256</t>
  </si>
  <si>
    <t>Sta/Tkt Ofc Closed Sat Nights, Sundays, Mon Mornings</t>
  </si>
  <si>
    <t>GCKL</t>
  </si>
  <si>
    <t>GCN</t>
  </si>
  <si>
    <t>Grand Canyon National Park (Railway), Arizona</t>
  </si>
  <si>
    <t>Grand Canyon Railway Station</t>
  </si>
  <si>
    <t>downhill from Bright Angel Lodge</t>
  </si>
  <si>
    <t>South Rim</t>
  </si>
  <si>
    <t>800-843-8724</t>
  </si>
  <si>
    <t>36.056867,-112.136845</t>
  </si>
  <si>
    <t>Open Road Tours drops/picks up at Maswik Lodge Lobby.</t>
  </si>
  <si>
    <t>Los Angeles, CA.</t>
  </si>
  <si>
    <t>GDL</t>
  </si>
  <si>
    <t>Glendale, California</t>
  </si>
  <si>
    <t>400 West Cerritos Avenue</t>
  </si>
  <si>
    <t>Glendale Transportation Center</t>
  </si>
  <si>
    <t>Glendale</t>
  </si>
  <si>
    <t>34.123706,-118.258868</t>
  </si>
  <si>
    <t>Thruway Bus departs from bus sign at north end of station.</t>
  </si>
  <si>
    <t>GEM</t>
  </si>
  <si>
    <t>Germantown, Maryland</t>
  </si>
  <si>
    <t>19311 Mateny Hill Road</t>
  </si>
  <si>
    <t>Germantown</t>
  </si>
  <si>
    <t>GFK</t>
  </si>
  <si>
    <t>Grand Forks, North Dakota</t>
  </si>
  <si>
    <t>5555 DeMers Avenue</t>
  </si>
  <si>
    <t>Grand Forks</t>
  </si>
  <si>
    <t>701-775-0484</t>
  </si>
  <si>
    <t>47.917522,-97.110835</t>
  </si>
  <si>
    <t>NO SHORT TERM PARKING - SEE 'PARKING'</t>
  </si>
  <si>
    <t>GFKL</t>
  </si>
  <si>
    <t>GFV</t>
  </si>
  <si>
    <t>Greenfield Village, Michigan</t>
  </si>
  <si>
    <t>20900 Oakwood Boulevard</t>
  </si>
  <si>
    <t>800-872-1477</t>
  </si>
  <si>
    <t>42.307458,-83.228538</t>
  </si>
  <si>
    <t>No Amtrak trains stop here; use DER station and taxi</t>
  </si>
  <si>
    <t>Amtrak Group Desk</t>
  </si>
  <si>
    <t>District Manager Stations-east</t>
  </si>
  <si>
    <t>GGW</t>
  </si>
  <si>
    <t>Glasgow, Montana</t>
  </si>
  <si>
    <t>424 1st  Avenue South</t>
  </si>
  <si>
    <t>Glasgow</t>
  </si>
  <si>
    <t>48.194854,-106.636188</t>
  </si>
  <si>
    <t>GHL</t>
  </si>
  <si>
    <t>Gold Hill, Oregon</t>
  </si>
  <si>
    <t>868 2nd Avenue</t>
  </si>
  <si>
    <t>Ray's Market</t>
  </si>
  <si>
    <t>Gold Hill</t>
  </si>
  <si>
    <t>42.431980,-123.054646</t>
  </si>
  <si>
    <t>GHT</t>
  </si>
  <si>
    <t>Gearhart, Oregon</t>
  </si>
  <si>
    <t>4320 Highway 101, North</t>
  </si>
  <si>
    <t>Gearhart Builders Supply Store</t>
  </si>
  <si>
    <t>at curb</t>
  </si>
  <si>
    <t>Gearhart</t>
  </si>
  <si>
    <t>From Bus Driver</t>
  </si>
  <si>
    <t>46.036616,-123.913350</t>
  </si>
  <si>
    <t>GIF</t>
  </si>
  <si>
    <t>Gift Certificate</t>
  </si>
  <si>
    <t>GJT</t>
  </si>
  <si>
    <t>Grand Junction, Colorado</t>
  </si>
  <si>
    <t>339 South 1st Street</t>
  </si>
  <si>
    <t>Grand Junction</t>
  </si>
  <si>
    <t>970-241-2733</t>
  </si>
  <si>
    <t>39.064375,-108.569929</t>
  </si>
  <si>
    <t>Checked baggage -Groups - 90min. all others -60 min. MINIMUM</t>
  </si>
  <si>
    <t>Code</t>
  </si>
  <si>
    <t>StationName</t>
  </si>
  <si>
    <t>Staffed</t>
  </si>
  <si>
    <t>StationType</t>
  </si>
  <si>
    <t>Address1</t>
  </si>
  <si>
    <t>Address2</t>
  </si>
  <si>
    <t>Address3</t>
  </si>
  <si>
    <t>City</t>
  </si>
  <si>
    <t>State</t>
  </si>
  <si>
    <t>Zip</t>
  </si>
  <si>
    <t>Country</t>
  </si>
  <si>
    <t>Division</t>
  </si>
  <si>
    <t>PublicPhone</t>
  </si>
  <si>
    <t>TicketOffice</t>
  </si>
  <si>
    <t>QuikTrak</t>
  </si>
  <si>
    <t>MetrolinkTVM</t>
  </si>
  <si>
    <t>CheckedBaggage</t>
  </si>
  <si>
    <t>AmtrakExpress</t>
  </si>
  <si>
    <t>HandleUSMail</t>
  </si>
  <si>
    <t>Lounge</t>
  </si>
  <si>
    <t>UnaccompaniedChildren</t>
  </si>
  <si>
    <t>AdvPayPPO</t>
  </si>
  <si>
    <t>AmtrakTrains</t>
  </si>
  <si>
    <t>Non-AmtrakTrains</t>
  </si>
  <si>
    <t>DedicatedThruway</t>
  </si>
  <si>
    <t>CoordinatedThruway</t>
  </si>
  <si>
    <t>OtherTransportation</t>
  </si>
  <si>
    <t>GroupCity</t>
  </si>
  <si>
    <t>IATACode</t>
  </si>
  <si>
    <t>IATAName</t>
  </si>
  <si>
    <t>NonAmtrakTicketSale</t>
  </si>
  <si>
    <t>TimeZone</t>
  </si>
  <si>
    <t>ObserveDayLightSaving</t>
  </si>
  <si>
    <t>CheckInWService</t>
  </si>
  <si>
    <t>CheckInWOService</t>
  </si>
  <si>
    <t>Latitude/Longitude</t>
  </si>
  <si>
    <t>Elevation</t>
  </si>
  <si>
    <t>Population</t>
  </si>
  <si>
    <t>FreeText</t>
  </si>
  <si>
    <t>TicketOfficeName</t>
  </si>
  <si>
    <t>TicketOfficePh</t>
  </si>
  <si>
    <t>TicketOfficeATSPh</t>
  </si>
  <si>
    <t>TicketOfficeFax</t>
  </si>
  <si>
    <t>TicketOfficeATSFax</t>
  </si>
  <si>
    <t>TicketOfficeQueue</t>
  </si>
  <si>
    <t>TicketOfficeMshPrinter</t>
  </si>
  <si>
    <t>StationServicesName</t>
  </si>
  <si>
    <t>StationServicesPh</t>
  </si>
  <si>
    <t>StationServicesATSPh</t>
  </si>
  <si>
    <t>StationServicesFax</t>
  </si>
  <si>
    <t>StationServicesATSFax</t>
  </si>
  <si>
    <t>StationServicesQueue</t>
  </si>
  <si>
    <t>StationServicesMsgPrinter</t>
  </si>
  <si>
    <t>StationServicesPaging</t>
  </si>
  <si>
    <t>StationServicesATSPaging</t>
  </si>
  <si>
    <t>StationServicesLostFoundPh</t>
  </si>
  <si>
    <t>StationServicesLostFoundATSPh</t>
  </si>
  <si>
    <t>FirstLvlSupervisorName</t>
  </si>
  <si>
    <t>FirstLvlSupervisorTitle</t>
  </si>
  <si>
    <t>FirstLvlSupervisorLocation</t>
  </si>
  <si>
    <t>FirstLvlSupervisorPh</t>
  </si>
  <si>
    <t>FirstLvlSupervisorATSPh</t>
  </si>
  <si>
    <t>FirstLvlSupervisorFax</t>
  </si>
  <si>
    <t>FirstLvlSupervisorATSFax</t>
  </si>
  <si>
    <t>FirstLvlSupervisorQueue</t>
  </si>
  <si>
    <t>FirstLvlSupervisorMsgPrinter</t>
  </si>
  <si>
    <t>SecondLvlSupervisorName</t>
  </si>
  <si>
    <t>SecondLvlSupervisorTitle</t>
  </si>
  <si>
    <t>SecondLvlSupervisorLocation</t>
  </si>
  <si>
    <t>SecondLvlSupervisorPh</t>
  </si>
  <si>
    <t>SecondLvlSupervisorATSPh</t>
  </si>
  <si>
    <t>SecondLvlSupervisorFax</t>
  </si>
  <si>
    <t>SecondLvlSupervisorATSFax</t>
  </si>
  <si>
    <t>SecondLvlSupervisorQueue</t>
  </si>
  <si>
    <t>SecondLvlSupervisorMsgPrinter</t>
  </si>
  <si>
    <t>WaitingRoomHours</t>
  </si>
  <si>
    <t>BaggageHours</t>
  </si>
  <si>
    <t>MeetAndAssistHours</t>
  </si>
  <si>
    <t>TicketHours</t>
  </si>
  <si>
    <t>Non-AmtrakTicket</t>
  </si>
  <si>
    <t>Quik-TrakHours</t>
  </si>
  <si>
    <t>MetrolinkTVMHours</t>
  </si>
  <si>
    <t>LoungeHours</t>
  </si>
  <si>
    <t>ExpressHours</t>
  </si>
  <si>
    <t>MailOfficeHours</t>
  </si>
  <si>
    <t>ParkingHours</t>
  </si>
  <si>
    <t>ABB</t>
  </si>
  <si>
    <t>Abbotsford-Colby, Wisconsin</t>
  </si>
  <si>
    <t>Y</t>
  </si>
  <si>
    <t>N</t>
  </si>
  <si>
    <t>Curbside Bus Stop only (no shelter)</t>
  </si>
  <si>
    <t>1210 North Division St.</t>
  </si>
  <si>
    <t>Super 29 Shell</t>
  </si>
  <si>
    <t>Colby</t>
  </si>
  <si>
    <t>WI</t>
  </si>
  <si>
    <t>United States</t>
  </si>
  <si>
    <t>Central</t>
  </si>
  <si>
    <t>800-USA-RAIL</t>
  </si>
  <si>
    <t>C</t>
  </si>
  <si>
    <t>44.928553,-90.314667</t>
  </si>
  <si>
    <t>District Manager of Stations - Amtrak</t>
  </si>
  <si>
    <t>433 West St. Paul Avenue, Milwaukee WI 53203</t>
  </si>
  <si>
    <t>Asst Superintendent of Stations</t>
  </si>
  <si>
    <t>525 West Van Buren Street / 2nd Floor / Chicago IL 60606</t>
  </si>
  <si>
    <t>312-880-5531</t>
  </si>
  <si>
    <t>ABE</t>
  </si>
  <si>
    <t>Aberdeen, Maryland</t>
  </si>
  <si>
    <t>Station Building (with waiting room)</t>
  </si>
  <si>
    <t>18 East Bel Air Avenue</t>
  </si>
  <si>
    <t>Amtrak/MARC Station</t>
  </si>
  <si>
    <t>Aberdeen</t>
  </si>
  <si>
    <t>MD</t>
  </si>
  <si>
    <t>Mid-Atlantic</t>
  </si>
  <si>
    <t>E</t>
  </si>
  <si>
    <t>39.508447,-76.163260</t>
  </si>
  <si>
    <t>See Quik-Trak hours for kiosk availability.</t>
  </si>
  <si>
    <t>District Manager Stations</t>
  </si>
  <si>
    <t>Baltimore, MD</t>
  </si>
  <si>
    <t>BAL</t>
  </si>
  <si>
    <t>Y422</t>
  </si>
  <si>
    <t>Assistant Superintendent Stations</t>
  </si>
  <si>
    <t>Washington,DC</t>
  </si>
  <si>
    <t>WA7</t>
  </si>
  <si>
    <t>ABN</t>
  </si>
  <si>
    <t>Absecon, New Jersey</t>
  </si>
  <si>
    <t>Platform with Shelter</t>
  </si>
  <si>
    <t>Shore Road and Ohio Avenue</t>
  </si>
  <si>
    <t>New Jersey Transit Station</t>
  </si>
  <si>
    <t>Absecon</t>
  </si>
  <si>
    <t>NJ</t>
  </si>
  <si>
    <t>Northeast</t>
  </si>
  <si>
    <t>973-275-5555</t>
  </si>
  <si>
    <t>39.424041,-74.501475</t>
  </si>
  <si>
    <t>NJ Transit tickets (only) avail from ticket vending machine.</t>
  </si>
  <si>
    <t>New Jersey Transit</t>
  </si>
  <si>
    <t>none</t>
  </si>
  <si>
    <t>ABQ</t>
  </si>
  <si>
    <t>Albuquerque, New Mexico</t>
  </si>
  <si>
    <t>320 1st Street SW</t>
  </si>
  <si>
    <t>Alvarado Transportation Center</t>
  </si>
  <si>
    <t>Albuquerque</t>
  </si>
  <si>
    <t>NM</t>
  </si>
  <si>
    <t>Southwest</t>
  </si>
  <si>
    <t>505-842-9650</t>
  </si>
  <si>
    <t>Via Rail Canada</t>
  </si>
  <si>
    <t>M</t>
  </si>
  <si>
    <t>35.083457,-106.648024</t>
  </si>
  <si>
    <t>**Limited access at 1st St. curb-side only on 12May**</t>
  </si>
  <si>
    <t>ABQL</t>
  </si>
  <si>
    <t>District Manager Stations - use station phone number</t>
  </si>
  <si>
    <t>Albuquerque, NM</t>
  </si>
  <si>
    <t>Acting Superintendent Passenger Services</t>
  </si>
  <si>
    <t>Los Angeles, CA</t>
  </si>
  <si>
    <t>LA3</t>
  </si>
  <si>
    <t>ACA</t>
  </si>
  <si>
    <t>Antioch-Pittsburg, California</t>
  </si>
  <si>
    <t>100 I Street</t>
  </si>
  <si>
    <t>Antioch</t>
  </si>
  <si>
    <t>CA</t>
  </si>
  <si>
    <t>Pacific</t>
  </si>
  <si>
    <t>000-000-0000</t>
  </si>
  <si>
    <t>P</t>
  </si>
  <si>
    <t>38.017700,-121.816024</t>
  </si>
  <si>
    <t>Unstaffed Station</t>
  </si>
  <si>
    <t>District Manager of Stations</t>
  </si>
  <si>
    <t>200 Santa Fe Ave., #A, Hanford, CA  93230</t>
  </si>
  <si>
    <t xml:space="preserve">NONE    </t>
  </si>
  <si>
    <t>HN7</t>
  </si>
  <si>
    <t>HNFL</t>
  </si>
  <si>
    <t>Asst. Superintendent - Passenger Svcs</t>
  </si>
  <si>
    <t>Oakland, CA</t>
  </si>
  <si>
    <t>PLH</t>
  </si>
  <si>
    <t>OKJL</t>
  </si>
  <si>
    <t>ACY</t>
  </si>
  <si>
    <t>Atlantic City, New Jersey</t>
  </si>
  <si>
    <t>1 Atlantic City Expressway</t>
  </si>
  <si>
    <t>Atlantic City</t>
  </si>
  <si>
    <t>973-491-9400</t>
  </si>
  <si>
    <t>39.362689,-74.439903</t>
  </si>
  <si>
    <t>Quik-Trak not for ACY-PHL walkup sales.  PNR required.</t>
  </si>
  <si>
    <t>000-0000</t>
  </si>
  <si>
    <t>Ticket Supervisor</t>
  </si>
  <si>
    <t>acy</t>
  </si>
  <si>
    <t>Same</t>
  </si>
  <si>
    <t>ADA</t>
  </si>
  <si>
    <t>ADA Seat Removal</t>
  </si>
  <si>
    <t>Pseudo Station</t>
  </si>
  <si>
    <t>null,null</t>
  </si>
  <si>
    <t>ADM</t>
  </si>
  <si>
    <t>Ardmore, Oklahoma</t>
  </si>
  <si>
    <t>251 East Main Street</t>
  </si>
  <si>
    <t>Ardmore</t>
  </si>
  <si>
    <t>OK</t>
  </si>
  <si>
    <t>34.172465,-97.125510</t>
  </si>
  <si>
    <t>District Manager, Customer Service</t>
  </si>
  <si>
    <t>Austin, TX.</t>
  </si>
  <si>
    <t>AUS</t>
  </si>
  <si>
    <t>AUSL</t>
  </si>
  <si>
    <t>Acting Superintendent - Passenger Services</t>
  </si>
  <si>
    <t>AGM</t>
  </si>
  <si>
    <t>Augusta, Maine</t>
  </si>
  <si>
    <t>Dearborn</t>
  </si>
  <si>
    <t>313-336-5407</t>
  </si>
  <si>
    <t>42.312406,-83.198735</t>
  </si>
  <si>
    <t>DERL</t>
  </si>
  <si>
    <t>DET</t>
  </si>
  <si>
    <t>Detroit, Michigan</t>
  </si>
  <si>
    <t>11 West Baltimore Avenue</t>
  </si>
  <si>
    <t>Detroit</t>
  </si>
  <si>
    <t>313-873-3442</t>
  </si>
  <si>
    <t>42.368097,-83.072397</t>
  </si>
  <si>
    <t>See Miscellaneous for info re unacompanied minors.</t>
  </si>
  <si>
    <t>827-3425</t>
  </si>
  <si>
    <t>827-4908</t>
  </si>
  <si>
    <t>DETL</t>
  </si>
  <si>
    <t>TOL</t>
  </si>
  <si>
    <t>DFB</t>
  </si>
  <si>
    <t>Deerfield Beach, Florida</t>
  </si>
  <si>
    <t>1300 West Hillsboro Boulevard</t>
  </si>
  <si>
    <t>Deerfield Beach</t>
  </si>
  <si>
    <t>954-421-1155</t>
  </si>
  <si>
    <t>26.317069,-80.122147</t>
  </si>
  <si>
    <t>Express suspended due to platform work</t>
  </si>
  <si>
    <t>DFBL</t>
  </si>
  <si>
    <t>Miami, Fl</t>
  </si>
  <si>
    <t>DHM</t>
  </si>
  <si>
    <t>Durham, New Hampshire</t>
  </si>
  <si>
    <t>3 Depot Road</t>
  </si>
  <si>
    <t>University of New Hampshire campus</t>
  </si>
  <si>
    <t>Durham</t>
  </si>
  <si>
    <t>43.139328,-70.936013</t>
  </si>
  <si>
    <t>WiFi  Located in Station   Quick Track at Whittemore Center</t>
  </si>
  <si>
    <t>Contact POR or Durham Main Street for more information.</t>
  </si>
  <si>
    <t>Assistant  Superintendent</t>
  </si>
  <si>
    <t>Portland,  ME.</t>
  </si>
  <si>
    <t>207-828-3939</t>
  </si>
  <si>
    <t>R3A9</t>
  </si>
  <si>
    <t>Boston, MA</t>
  </si>
  <si>
    <t>DIL</t>
  </si>
  <si>
    <t>Dillon, South Carolina</t>
  </si>
  <si>
    <t>100 North Railroad Avenue</t>
  </si>
  <si>
    <t>Dillon</t>
  </si>
  <si>
    <t>34.417647,-79.372301</t>
  </si>
  <si>
    <t>3570 Clifford Lane  Jacksonville, Fl</t>
  </si>
  <si>
    <t>DKS</t>
  </si>
  <si>
    <t>Dickerson, Maryland</t>
  </si>
  <si>
    <t>22211 Mt. Ephraim Road</t>
  </si>
  <si>
    <t>Dickerson</t>
  </si>
  <si>
    <t>DLB</t>
  </si>
  <si>
    <t>Delray Beach, Florida</t>
  </si>
  <si>
    <t>345 South Congress Avenue</t>
  </si>
  <si>
    <t>Delray Beach</t>
  </si>
  <si>
    <t>26.454021,-80.091154</t>
  </si>
  <si>
    <t>DLD</t>
  </si>
  <si>
    <t>Deland, Florida</t>
  </si>
  <si>
    <t>2491 Old New York Avenue</t>
  </si>
  <si>
    <t>Deland</t>
  </si>
  <si>
    <t>386-734-2322</t>
  </si>
  <si>
    <t>29.017849,-81.352477</t>
  </si>
  <si>
    <t>Coordinated Thruway Service to Daytona Beach, Fl. See Pg 21</t>
  </si>
  <si>
    <t>DLDL</t>
  </si>
  <si>
    <t>Jacksonville, Fl.</t>
  </si>
  <si>
    <t>Asst. Superintendent Passenger Service</t>
  </si>
  <si>
    <t>DLK</t>
  </si>
  <si>
    <t>Detroit Lakes, Minnesota</t>
  </si>
  <si>
    <t>116 Pioneer Street</t>
  </si>
  <si>
    <t>Detroit Lakes</t>
  </si>
  <si>
    <t>MN</t>
  </si>
  <si>
    <t>46.819692,-95.845998</t>
  </si>
  <si>
    <t xml:space="preserve"> </t>
  </si>
  <si>
    <t>433 W. St. Paul Avenue, Milwaukee WI 53203</t>
  </si>
  <si>
    <t>DNC</t>
  </si>
  <si>
    <t>Durham, North Carolina</t>
  </si>
  <si>
    <t>601 West Main Street</t>
  </si>
  <si>
    <t>Suite 103</t>
  </si>
  <si>
    <t>919-956-7932</t>
  </si>
  <si>
    <t>35.997240,-78.907129</t>
  </si>
  <si>
    <t>dnc</t>
  </si>
  <si>
    <t>dncl</t>
  </si>
  <si>
    <t>DNCL</t>
  </si>
  <si>
    <t>DNK</t>
  </si>
  <si>
    <t>Denmark, South Carolina</t>
  </si>
  <si>
    <t>200 West Baruch Street</t>
  </si>
  <si>
    <t>Denmark</t>
  </si>
  <si>
    <t>33.326184,-81.143635</t>
  </si>
  <si>
    <t>1688 Peachtree Street NW Atlanta, Ga. 30309</t>
  </si>
  <si>
    <t>1001 Loyola Ave Suite 207A New Orleans La 70013</t>
  </si>
  <si>
    <t>DOA</t>
  </si>
  <si>
    <t>Dowagiac, Michigan</t>
  </si>
  <si>
    <t>200 Depot Drive</t>
  </si>
  <si>
    <t>Dowagiac</t>
  </si>
  <si>
    <t>41.980941,-86.109041</t>
  </si>
  <si>
    <t>DOV</t>
  </si>
  <si>
    <t>Dover, New Hampshire</t>
  </si>
  <si>
    <t>33 Chestnut Street</t>
  </si>
  <si>
    <t>Dover</t>
  </si>
  <si>
    <t>43.197968,-70.878361</t>
  </si>
  <si>
    <t xml:space="preserve"> Station opened for all trains except #689 and #699</t>
  </si>
  <si>
    <t>Portland, ME</t>
  </si>
  <si>
    <t>POR</t>
  </si>
  <si>
    <t>DOW</t>
  </si>
  <si>
    <t>Downingtown, Pennsylvania</t>
  </si>
  <si>
    <t>West Lancaster Avenue and Stuart Avenue</t>
  </si>
  <si>
    <t>Downingtown</t>
  </si>
  <si>
    <t>40.002193,-75.710775</t>
  </si>
  <si>
    <t>DPK</t>
  </si>
  <si>
    <t>Deer Park, Washington</t>
  </si>
  <si>
    <t>810 South Main Street</t>
  </si>
  <si>
    <t>Yoke's Supermarket</t>
  </si>
  <si>
    <t>Deer Park</t>
  </si>
  <si>
    <t>47.946460,-117.477161</t>
  </si>
  <si>
    <t>DQN</t>
  </si>
  <si>
    <t>Du Quoin, Illinois</t>
  </si>
  <si>
    <t>Greensboro</t>
  </si>
  <si>
    <t>336-272-6755</t>
  </si>
  <si>
    <t>36.069797,-79.787080</t>
  </si>
  <si>
    <t>All passengers must check-in ONE HOUR before train departure</t>
  </si>
  <si>
    <t>GROL</t>
  </si>
  <si>
    <t>GRR</t>
  </si>
  <si>
    <t>Grand Rapids, Michigan</t>
  </si>
  <si>
    <t>431 Wealthy Street SW</t>
  </si>
  <si>
    <t>near Market and Wealthy Streets SW</t>
  </si>
  <si>
    <t>Grand Rapids</t>
  </si>
  <si>
    <t>42.956349,-85.678868</t>
  </si>
  <si>
    <t>Quik-Trak see Misc screen, Thruway pickup see Thruway screen</t>
  </si>
  <si>
    <t>GRU</t>
  </si>
  <si>
    <t>Group</t>
  </si>
  <si>
    <t>GRV</t>
  </si>
  <si>
    <t>Greenville, South Carolina</t>
  </si>
  <si>
    <t>1120 West Washington Street</t>
  </si>
  <si>
    <t>Greenville</t>
  </si>
  <si>
    <t>864-255-4221</t>
  </si>
  <si>
    <t>34.858256,-82.413486</t>
  </si>
  <si>
    <t>GRVL</t>
  </si>
  <si>
    <t>1001 Loyola Ave Suite 207a, New Orleans LA 70013</t>
  </si>
  <si>
    <t>GSC</t>
  </si>
  <si>
    <t>Glenwood Springs, Colorado</t>
  </si>
  <si>
    <t>413 7th Street</t>
  </si>
  <si>
    <t>Glenwood Springs</t>
  </si>
  <si>
    <t>970-945-9563</t>
  </si>
  <si>
    <t>39.547903,-107.323218</t>
  </si>
  <si>
    <t>GSCL</t>
  </si>
  <si>
    <t>500 West Jackson Blvd, Chicago IL 60661</t>
  </si>
  <si>
    <t>GSN</t>
  </si>
  <si>
    <t>Goshen Junction, California</t>
  </si>
  <si>
    <t>30821 Highway 99</t>
  </si>
  <si>
    <t>Arco Travel Plaza</t>
  </si>
  <si>
    <t>Goshen</t>
  </si>
  <si>
    <t>36.349627,-119.427663</t>
  </si>
  <si>
    <t>Greyhound Ticket Office / 559-651-3948 / Greyhound Agent</t>
  </si>
  <si>
    <t>GTA</t>
  </si>
  <si>
    <t>Goleta, California</t>
  </si>
  <si>
    <t>25 South La Patera Lane</t>
  </si>
  <si>
    <t>Goleta</t>
  </si>
  <si>
    <t>34.437729,-119.843092</t>
  </si>
  <si>
    <t>GTP</t>
  </si>
  <si>
    <t>Grants Pass, Oregon</t>
  </si>
  <si>
    <t>460 NE Agness Avenue</t>
  </si>
  <si>
    <t>Grants Pass Transportation Ctr/Greyhound Station</t>
  </si>
  <si>
    <t>Grants Pass</t>
  </si>
  <si>
    <t>42.433474,-123.298315</t>
  </si>
  <si>
    <t>GTV</t>
  </si>
  <si>
    <t>Grantsville, Maryland</t>
  </si>
  <si>
    <t>3000 Chestnut Ridge Road</t>
  </si>
  <si>
    <t>Pilot Travel Center</t>
  </si>
  <si>
    <t>Grantsville</t>
  </si>
  <si>
    <t>39.692354,-79.100326</t>
  </si>
  <si>
    <t>GUA</t>
  </si>
  <si>
    <t>Guadalupe-Santa Maria, California</t>
  </si>
  <si>
    <t>330 Guadalupe Street</t>
  </si>
  <si>
    <t>Highway 1</t>
  </si>
  <si>
    <t>Guadalupe</t>
  </si>
  <si>
    <t>SGX</t>
  </si>
  <si>
    <t>34.962927,-120.573410</t>
  </si>
  <si>
    <t>Santa Barbara</t>
  </si>
  <si>
    <t>GUI</t>
  </si>
  <si>
    <t>Guilford, Connecticut</t>
  </si>
  <si>
    <t>325 Old Whitfield Street</t>
  </si>
  <si>
    <t>Guilford</t>
  </si>
  <si>
    <t>GUT</t>
  </si>
  <si>
    <t>Guthrie, Oklahoma</t>
  </si>
  <si>
    <t>9 Industrial Drive</t>
  </si>
  <si>
    <t>Transportation Center</t>
  </si>
  <si>
    <t>Augusta</t>
  </si>
  <si>
    <t>ME</t>
  </si>
  <si>
    <t>44.355913,-69.799133</t>
  </si>
  <si>
    <t>AHL</t>
  </si>
  <si>
    <t>Ashland, Oregon</t>
  </si>
  <si>
    <t>585 Siskiyou Blvd</t>
  </si>
  <si>
    <t>Safeway Market</t>
  </si>
  <si>
    <t>Bus stop at the corner of Sherman and Siskiyou</t>
  </si>
  <si>
    <t>Ashland</t>
  </si>
  <si>
    <t>OR</t>
  </si>
  <si>
    <t>Bus Company</t>
  </si>
  <si>
    <t>42.193207,-122.706715</t>
  </si>
  <si>
    <t>For more information, see "Thruway Service"</t>
  </si>
  <si>
    <t>Unstaffed Stops</t>
  </si>
  <si>
    <t>Manager, Bus Operations Northern California</t>
  </si>
  <si>
    <t>Bakersfield, California</t>
  </si>
  <si>
    <t>Director, Thruway Bus Operations</t>
  </si>
  <si>
    <t>Los Angeles</t>
  </si>
  <si>
    <t>bus</t>
  </si>
  <si>
    <t>ladp</t>
  </si>
  <si>
    <t>AKY</t>
  </si>
  <si>
    <t>Ashland, Kentucky</t>
  </si>
  <si>
    <t>99 15th Street</t>
  </si>
  <si>
    <t>KY</t>
  </si>
  <si>
    <t>38.480875,-82.639603</t>
  </si>
  <si>
    <t>800-872-7245</t>
  </si>
  <si>
    <t>Toledo, OH</t>
  </si>
  <si>
    <t>TO7</t>
  </si>
  <si>
    <t>TOLL</t>
  </si>
  <si>
    <t>Assist Superintendent Passenger Service</t>
  </si>
  <si>
    <t>Chicago, Illinois</t>
  </si>
  <si>
    <t>ALB</t>
  </si>
  <si>
    <t>Albany-Rensselaer, New York</t>
  </si>
  <si>
    <t>525 East Street</t>
  </si>
  <si>
    <t>Rensselaer</t>
  </si>
  <si>
    <t>NY</t>
  </si>
  <si>
    <t>518-462-5710</t>
  </si>
  <si>
    <t>42.641029,-73.741147</t>
  </si>
  <si>
    <t>AL7</t>
  </si>
  <si>
    <t>ALBL</t>
  </si>
  <si>
    <t>Albany/Rensselaer</t>
  </si>
  <si>
    <t>District Superintendent Empire Service</t>
  </si>
  <si>
    <t>Albany/Rensselaer,NY</t>
  </si>
  <si>
    <t>ALC</t>
  </si>
  <si>
    <t>Alliance, Ohio</t>
  </si>
  <si>
    <t>Platform only (no shelter)</t>
  </si>
  <si>
    <t>820 East Main Street</t>
  </si>
  <si>
    <t>Alliance</t>
  </si>
  <si>
    <t>OH</t>
  </si>
  <si>
    <t>40.921275,-81.092904</t>
  </si>
  <si>
    <t>ALD</t>
  </si>
  <si>
    <t>Alderson, West Virginia</t>
  </si>
  <si>
    <t>1 C&amp;O Plaza on Railroad Avenue</t>
  </si>
  <si>
    <t>Alderson</t>
  </si>
  <si>
    <t>WV</t>
  </si>
  <si>
    <t>37.724277,-80.644856</t>
  </si>
  <si>
    <t>Richmond VA</t>
  </si>
  <si>
    <t>RV7</t>
  </si>
  <si>
    <t>RVRP</t>
  </si>
  <si>
    <t>Assistant Superintendent</t>
  </si>
  <si>
    <t>Washington DC</t>
  </si>
  <si>
    <t>WA3</t>
  </si>
  <si>
    <t>ALI</t>
  </si>
  <si>
    <t>Albion, Michigan</t>
  </si>
  <si>
    <t>300 North Eaton Street</t>
  </si>
  <si>
    <t>Albion</t>
  </si>
  <si>
    <t>MI</t>
  </si>
  <si>
    <t>No</t>
  </si>
  <si>
    <t>42.247196,-84.755814</t>
  </si>
  <si>
    <t>District Manager Station-East</t>
  </si>
  <si>
    <t>Superintendent Passenger Service</t>
  </si>
  <si>
    <t>ALM</t>
  </si>
  <si>
    <t>Alpena, Michigan</t>
  </si>
  <si>
    <t>1141 US Highway 23 North</t>
  </si>
  <si>
    <t>Z's Crossroads Gas Station</t>
  </si>
  <si>
    <t>Alpena</t>
  </si>
  <si>
    <t>45.089602,-83.457868</t>
  </si>
  <si>
    <t>ALN</t>
  </si>
  <si>
    <t>Alton, Illinois</t>
  </si>
  <si>
    <t>3400 College Avenue</t>
  </si>
  <si>
    <t>Alton</t>
  </si>
  <si>
    <t>IL</t>
  </si>
  <si>
    <t>618-462-1879</t>
  </si>
  <si>
    <t>38.904723,-90.136276</t>
  </si>
  <si>
    <t>ALNL</t>
  </si>
  <si>
    <t>District Station Manager</t>
  </si>
  <si>
    <t>St. Louis, Missouri</t>
  </si>
  <si>
    <t>ST7</t>
  </si>
  <si>
    <t>STLL</t>
  </si>
  <si>
    <t>Assistant Superintendent - Passenger Services</t>
  </si>
  <si>
    <t>Chicago, IL</t>
  </si>
  <si>
    <t>ALP</t>
  </si>
  <si>
    <t>Alpine, Texas</t>
  </si>
  <si>
    <t>102 West Holland Avenue</t>
  </si>
  <si>
    <t>Alpine</t>
  </si>
  <si>
    <t>TX</t>
  </si>
  <si>
    <t>30.357302,-103.661513</t>
  </si>
  <si>
    <t>Austin, TX</t>
  </si>
  <si>
    <t>ALT</t>
  </si>
  <si>
    <t>Altoona, Pennsylvania</t>
  </si>
  <si>
    <t>1231 11th Avenue</t>
  </si>
  <si>
    <t>Altoona</t>
  </si>
  <si>
    <t>PA</t>
  </si>
  <si>
    <t>814-946-1100</t>
  </si>
  <si>
    <t>40.514475,-78.401620</t>
  </si>
  <si>
    <t>Station open until Train 43 departs</t>
  </si>
  <si>
    <t>ALTL</t>
  </si>
  <si>
    <t>District Manager, Stations</t>
  </si>
  <si>
    <t>Pittsburgh, PA.</t>
  </si>
  <si>
    <t>Pgh</t>
  </si>
  <si>
    <t>Pghl</t>
  </si>
  <si>
    <t>Assistant Superintendent, Stations</t>
  </si>
  <si>
    <t>Philadelphia, Pa</t>
  </si>
  <si>
    <t>PHL</t>
  </si>
  <si>
    <t>P436</t>
  </si>
  <si>
    <t>ALX</t>
  </si>
  <si>
    <t>Alexandria, Virginia</t>
  </si>
  <si>
    <t>110 Callahan Drive</t>
  </si>
  <si>
    <t>Alexandria</t>
  </si>
  <si>
    <t>VA</t>
  </si>
  <si>
    <t>703-836-4339</t>
  </si>
  <si>
    <t>Assistant Superintendent Stations, Passenger Services</t>
  </si>
  <si>
    <t>HGD</t>
  </si>
  <si>
    <t>Huntingdon, Pennsylvania</t>
  </si>
  <si>
    <t>Fourth and Allegheny Streets</t>
  </si>
  <si>
    <t>Huntingdon</t>
  </si>
  <si>
    <t>40.483665,-78.011780</t>
  </si>
  <si>
    <t>Distict Manager, Stations</t>
  </si>
  <si>
    <t>Pittsburgh,PA.</t>
  </si>
  <si>
    <t>HGH</t>
  </si>
  <si>
    <t>Houghton, Michigan</t>
  </si>
  <si>
    <t>Townsend Drive and Hubbell Street</t>
  </si>
  <si>
    <t>Michigan Tech University, Memorial Union</t>
  </si>
  <si>
    <t>Houghton</t>
  </si>
  <si>
    <t>47.118726,-88.549630</t>
  </si>
  <si>
    <t>DISTRICT MANAGER-STATIONS</t>
  </si>
  <si>
    <t>433 W. ST. PAUL AVE., MILWAUKEE,  WI  53203</t>
  </si>
  <si>
    <t>MKE7</t>
  </si>
  <si>
    <t>ASSISTQNT SUPERINTENDENT, PASSENGER SERVICES</t>
  </si>
  <si>
    <t>HHL</t>
  </si>
  <si>
    <t>Haverhill, Massachusetts</t>
  </si>
  <si>
    <t>Washington Street at Railroad Square</t>
  </si>
  <si>
    <t>Haverhill</t>
  </si>
  <si>
    <t>42.773297,-71.086375</t>
  </si>
  <si>
    <t>MBTA commuter trains also</t>
  </si>
  <si>
    <t>Portland,  Me</t>
  </si>
  <si>
    <t>HIN</t>
  </si>
  <si>
    <t>Hinton, West Virginia</t>
  </si>
  <si>
    <t>100 Second Avenue</t>
  </si>
  <si>
    <t>Intersection of Second and Maple Avenues</t>
  </si>
  <si>
    <t>Hinton</t>
  </si>
  <si>
    <t>37.675037,-80.892232</t>
  </si>
  <si>
    <t>HKL</t>
  </si>
  <si>
    <t>Hinckley, Minnesota</t>
  </si>
  <si>
    <t>Tobies Restaurant</t>
  </si>
  <si>
    <t>404 Fire Monument Road</t>
  </si>
  <si>
    <t>Hinckley</t>
  </si>
  <si>
    <t>320-384-6174</t>
  </si>
  <si>
    <t>46.010861,-92.930370</t>
  </si>
  <si>
    <t>HKM</t>
  </si>
  <si>
    <t>Hancock, Michigan</t>
  </si>
  <si>
    <t>125 Quincy Street</t>
  </si>
  <si>
    <t>Shottle Bop Liquor Store</t>
  </si>
  <si>
    <t>Hancock</t>
  </si>
  <si>
    <t>47.126982,-88.580295</t>
  </si>
  <si>
    <t>HLD</t>
  </si>
  <si>
    <t>Holdrege, Nebraska</t>
  </si>
  <si>
    <t>100 West Avenue</t>
  </si>
  <si>
    <t>Holdrege</t>
  </si>
  <si>
    <t>40.435926,-99.371241</t>
  </si>
  <si>
    <t>Asst. Superinendent - Passenger Services</t>
  </si>
  <si>
    <t>HMD</t>
  </si>
  <si>
    <t>Hammond, Louisiana</t>
  </si>
  <si>
    <t>404 N.W. Railroad Avenue</t>
  </si>
  <si>
    <t>20 North Chestnut Street</t>
  </si>
  <si>
    <t>Du Quoin</t>
  </si>
  <si>
    <t>38.012328,-89.240254</t>
  </si>
  <si>
    <t>DRD</t>
  </si>
  <si>
    <t>Durand, Michigan</t>
  </si>
  <si>
    <t>200 South Railroad Street</t>
  </si>
  <si>
    <t>Durand</t>
  </si>
  <si>
    <t>42.909495,-83.982320</t>
  </si>
  <si>
    <t>DRS</t>
  </si>
  <si>
    <t>Dorsey, Maryland</t>
  </si>
  <si>
    <t>7000 Route 100</t>
  </si>
  <si>
    <t>Elkridge</t>
  </si>
  <si>
    <t>DRT</t>
  </si>
  <si>
    <t>Del Rio, Texas</t>
  </si>
  <si>
    <t>100 North Main Street</t>
  </si>
  <si>
    <t>Del Rio</t>
  </si>
  <si>
    <t>830-775-8906</t>
  </si>
  <si>
    <t>29.362202,-100.902662</t>
  </si>
  <si>
    <t>DUF</t>
  </si>
  <si>
    <t>Duffields, West Virginia</t>
  </si>
  <si>
    <t>5057 Flowing Springs Road</t>
  </si>
  <si>
    <t>Duffields</t>
  </si>
  <si>
    <t>DUK</t>
  </si>
  <si>
    <t>Dunkirk, New York</t>
  </si>
  <si>
    <t>411 Central Avenue</t>
  </si>
  <si>
    <t>P&amp;G Foods</t>
  </si>
  <si>
    <t>Dunkirk</t>
  </si>
  <si>
    <t>716-366-2611</t>
  </si>
  <si>
    <t>42.482505,-79.334392</t>
  </si>
  <si>
    <t>Senior Station Supervisor/Westend Stations</t>
  </si>
  <si>
    <t>Buffalo/Depew, N.Y.</t>
  </si>
  <si>
    <t>DUL</t>
  </si>
  <si>
    <t>Duluth (Greyhound Station), Minnesota</t>
  </si>
  <si>
    <t>4426 Grand Avenue</t>
  </si>
  <si>
    <t>Greyhound Terminal</t>
  </si>
  <si>
    <t>Duluth</t>
  </si>
  <si>
    <t>218-722-5591</t>
  </si>
  <si>
    <t>46.746990,-92.157508</t>
  </si>
  <si>
    <t>Guar. connect with Amtrak trains at St. Paul</t>
  </si>
  <si>
    <t>Greyhound Ticket Office</t>
  </si>
  <si>
    <t>Minneapolis, MN</t>
  </si>
  <si>
    <t>DUN</t>
  </si>
  <si>
    <t>Dunsmuir, California</t>
  </si>
  <si>
    <t>5750 Sacramento Avenue</t>
  </si>
  <si>
    <t>Dunsmuir</t>
  </si>
  <si>
    <t>41.211127,-122.270587</t>
  </si>
  <si>
    <t>Caretaker - Siskiyou County Sheriff Department</t>
  </si>
  <si>
    <t>Assistant Superintendent - Passenger Svcs</t>
  </si>
  <si>
    <t>DUU</t>
  </si>
  <si>
    <t>Duluth (University of Minnesota), Minnesota</t>
  </si>
  <si>
    <t>175 Kirby Student Union</t>
  </si>
  <si>
    <t>218-726-6717</t>
  </si>
  <si>
    <t>Jefferson Bus Ticket</t>
  </si>
  <si>
    <t>46.817841,-92.086097</t>
  </si>
  <si>
    <t>Assistant Superintendent, Passenger Services</t>
  </si>
  <si>
    <t>DVI</t>
  </si>
  <si>
    <t>Danville, Illinois</t>
  </si>
  <si>
    <t>379 Lynch Road</t>
  </si>
  <si>
    <t>BP Amoco Station</t>
  </si>
  <si>
    <t>40.122053,-87.540521</t>
  </si>
  <si>
    <t>New location</t>
  </si>
  <si>
    <t>THIS IS AN UNSTAFFED BUS STOP</t>
  </si>
  <si>
    <t>ST LOUIS, MISSOURI</t>
  </si>
  <si>
    <t>CHICAGO, IL</t>
  </si>
  <si>
    <t>DVL</t>
  </si>
  <si>
    <t>Devils Lake, North Dakota</t>
  </si>
  <si>
    <t>Railroad Avenue and Third Street</t>
  </si>
  <si>
    <t>Devils Lake</t>
  </si>
  <si>
    <t>ND</t>
  </si>
  <si>
    <t>48.110468,-98.861372</t>
  </si>
  <si>
    <t>DVP</t>
  </si>
  <si>
    <t>Davenport, Iowa</t>
  </si>
  <si>
    <t>304 West River Drive</t>
  </si>
  <si>
    <t>Ground Transportation Center</t>
  </si>
  <si>
    <t>Davenport</t>
  </si>
  <si>
    <t>41.520750,-90.577911</t>
  </si>
  <si>
    <t>DVR</t>
  </si>
  <si>
    <t>Dover, Delaware</t>
  </si>
  <si>
    <t>716 South Governors Avenue</t>
  </si>
  <si>
    <t>DE</t>
  </si>
  <si>
    <t>302-736-5183</t>
  </si>
  <si>
    <t>39.149713,-75.525174</t>
  </si>
  <si>
    <t>Phone number is for Greyhound ticket agent at Dover</t>
  </si>
  <si>
    <t>DWT</t>
  </si>
  <si>
    <t>Dwight, Illinois</t>
  </si>
  <si>
    <t>119 West Main Street</t>
  </si>
  <si>
    <t>Dwight</t>
  </si>
  <si>
    <t>41.092981,-88.427884</t>
  </si>
  <si>
    <t>DISTRICT STATION MANAGER</t>
  </si>
  <si>
    <t>DYA</t>
  </si>
  <si>
    <t>Daytona Beach, Florida</t>
  </si>
  <si>
    <t>100 North Atlantic Avenue</t>
  </si>
  <si>
    <t>Hilton Daytona Beach Ocean Walk Village</t>
  </si>
  <si>
    <t>Daytona Beach</t>
  </si>
  <si>
    <t>29.228923,-81.008922</t>
  </si>
  <si>
    <t>DYE</t>
  </si>
  <si>
    <t>Dyer, Indiana</t>
  </si>
  <si>
    <t>913 Sheffield Avenue</t>
  </si>
  <si>
    <t>Dyer</t>
  </si>
  <si>
    <t>41.515413,-87.518076</t>
  </si>
  <si>
    <t>EDG</t>
  </si>
  <si>
    <t>Edgewood, Maryland</t>
  </si>
  <si>
    <t>2127 Old Edgewood Road</t>
  </si>
  <si>
    <t>Edgewood</t>
  </si>
  <si>
    <t>MARC trains only. Amtrak 151 stops here for MARC psgrs only.</t>
  </si>
  <si>
    <t>EDM</t>
  </si>
  <si>
    <t>Edmonds, Washington</t>
  </si>
  <si>
    <t>211 Railroad Avenue</t>
  </si>
  <si>
    <t>Edmonds</t>
  </si>
  <si>
    <t>425-778-3213</t>
  </si>
  <si>
    <t>47.811081,-122.384141</t>
  </si>
  <si>
    <t>EDML</t>
  </si>
  <si>
    <t>Asst Superintendent, Passenger Service</t>
  </si>
  <si>
    <t>EFG</t>
  </si>
  <si>
    <t>Effingham, Illinois</t>
  </si>
  <si>
    <t>401 West National Avenue</t>
  </si>
  <si>
    <t>Effingham</t>
  </si>
  <si>
    <t>39.117059,-88.547110</t>
  </si>
  <si>
    <t>Hemet (Devonshire Ave), California</t>
  </si>
  <si>
    <t>305 East Devonshire Avenue</t>
  </si>
  <si>
    <t>RTA Bus Stop at Simpson Senior Center</t>
  </si>
  <si>
    <t>33.751098,-116.969285</t>
  </si>
  <si>
    <t>Unstaffed Thruway Bus Stops. No Amtrak Services</t>
  </si>
  <si>
    <t>HMW</t>
  </si>
  <si>
    <t>Homewood, Illinois</t>
  </si>
  <si>
    <t>18015 Park Avenue</t>
  </si>
  <si>
    <t>Homewood</t>
  </si>
  <si>
    <t>708-957-0850</t>
  </si>
  <si>
    <t>41.562446,-87.668685</t>
  </si>
  <si>
    <t>Agent behind traffic accident, station open late on 3 20 12</t>
  </si>
  <si>
    <t>HMWL</t>
  </si>
  <si>
    <t>District Manager, Stations-West</t>
  </si>
  <si>
    <t>Chicago, Il.</t>
  </si>
  <si>
    <t>HNF</t>
  </si>
  <si>
    <t>200 Santa Fe Avenue #A</t>
  </si>
  <si>
    <t>Hanford</t>
  </si>
  <si>
    <t>559-582-5236</t>
  </si>
  <si>
    <t>36.326078,-119.651816</t>
  </si>
  <si>
    <t>HNK</t>
  </si>
  <si>
    <t>Hancock, Maryland</t>
  </si>
  <si>
    <t>434 East Main Street</t>
  </si>
  <si>
    <t>Hancock Truck Plaza</t>
  </si>
  <si>
    <t>39.695657,-78.153919</t>
  </si>
  <si>
    <t>HOL</t>
  </si>
  <si>
    <t>Hollywood, Florida</t>
  </si>
  <si>
    <t>3001 Hollywood Boulevard</t>
  </si>
  <si>
    <t>Hollywood</t>
  </si>
  <si>
    <t>954-921-4517</t>
  </si>
  <si>
    <t>26.011641,-80.167884</t>
  </si>
  <si>
    <t>HOLL</t>
  </si>
  <si>
    <t>Miami,Fl</t>
  </si>
  <si>
    <t>HOM</t>
  </si>
  <si>
    <t>Holland, Michigan</t>
  </si>
  <si>
    <t>171 Lincoln Avenue</t>
  </si>
  <si>
    <t>Holland</t>
  </si>
  <si>
    <t>42.791096,-86.096553</t>
  </si>
  <si>
    <t>HOO</t>
  </si>
  <si>
    <t>Hood River, Oregon</t>
  </si>
  <si>
    <t>114 Cascade Avenue</t>
  </si>
  <si>
    <t>Adjacent to The Eyeglass Store</t>
  </si>
  <si>
    <t>Hood River</t>
  </si>
  <si>
    <t>541-386-1212</t>
  </si>
  <si>
    <t>45.709658,-121.511721</t>
  </si>
  <si>
    <t>HOS</t>
  </si>
  <si>
    <t>Houston, Texas</t>
  </si>
  <si>
    <t>902 Washington Avenue</t>
  </si>
  <si>
    <t>Houston</t>
  </si>
  <si>
    <t>713-224-1577</t>
  </si>
  <si>
    <t>29.767245,-95.367526</t>
  </si>
  <si>
    <t>HOSL</t>
  </si>
  <si>
    <t>HPT</t>
  </si>
  <si>
    <t>High Point, North Carolina</t>
  </si>
  <si>
    <t>100 West High Avenue</t>
  </si>
  <si>
    <t>High Point</t>
  </si>
  <si>
    <t>35.957128,-80.006097</t>
  </si>
  <si>
    <t>HTN</t>
  </si>
  <si>
    <t>Hammonton, New Jersey</t>
  </si>
  <si>
    <t>Egg Harbor Road &amp; Line Street</t>
  </si>
  <si>
    <t>Hammonton</t>
  </si>
  <si>
    <t>39.631317,-74.799340</t>
  </si>
  <si>
    <t>HUD</t>
  </si>
  <si>
    <t>Hudson, New York</t>
  </si>
  <si>
    <t>69 South Front Street</t>
  </si>
  <si>
    <t>518-828-3379</t>
  </si>
  <si>
    <t>42.253891,-73.797729</t>
  </si>
  <si>
    <t>HUDL</t>
  </si>
  <si>
    <t>HUN</t>
  </si>
  <si>
    <t>Huntington, West Virginia</t>
  </si>
  <si>
    <t>1050 8th Avenue</t>
  </si>
  <si>
    <t>Huntington</t>
  </si>
  <si>
    <t>304-523-7721</t>
  </si>
  <si>
    <t>38.415820,-82.439735</t>
  </si>
  <si>
    <t>HUNL</t>
  </si>
  <si>
    <t>p960</t>
  </si>
  <si>
    <t>HUT</t>
  </si>
  <si>
    <t>Hutchinson, Kansas</t>
  </si>
  <si>
    <t>North Walnut Street &amp; East 3rd Avenue</t>
  </si>
  <si>
    <t>Hutchinson</t>
  </si>
  <si>
    <t>38.055712,-97.931522</t>
  </si>
  <si>
    <t>HWC</t>
  </si>
  <si>
    <t>Howard City, Michigan</t>
  </si>
  <si>
    <t>130 North Ensley Street</t>
  </si>
  <si>
    <t>BP Station</t>
  </si>
  <si>
    <t>Howard City</t>
  </si>
  <si>
    <t>43.397855,-85.468933</t>
  </si>
  <si>
    <t>Superintendent Passenger SErvice</t>
  </si>
  <si>
    <t>IDO</t>
  </si>
  <si>
    <t>Indio, California</t>
  </si>
  <si>
    <t>Highway 111 and Monroe Street</t>
  </si>
  <si>
    <t>Northeast Corner</t>
  </si>
  <si>
    <t>Indio</t>
  </si>
  <si>
    <t>33.714863,-116.233132</t>
  </si>
  <si>
    <t>For more information see "Thruway Service" page</t>
  </si>
  <si>
    <t>Unstaffed Thruway Bus Stop. No Amtrak services</t>
  </si>
  <si>
    <t>IDP</t>
  </si>
  <si>
    <t>Independence, Missouri</t>
  </si>
  <si>
    <t>600 South Grand Avenue</t>
  </si>
  <si>
    <t>Independence</t>
  </si>
  <si>
    <t>39.086917,-94.429711</t>
  </si>
  <si>
    <t>Chicago, Il</t>
  </si>
  <si>
    <t>IND</t>
  </si>
  <si>
    <t>Indianapolis, Indiana</t>
  </si>
  <si>
    <t>350 South Illinois Street</t>
  </si>
  <si>
    <t>Indianapolis</t>
  </si>
  <si>
    <t>317-263-0550</t>
  </si>
  <si>
    <t>39.761984,-86.160423</t>
  </si>
  <si>
    <t>Amtrak is in  same bldg as Greyhound, see Thruway screen.</t>
  </si>
  <si>
    <t>INDL</t>
  </si>
  <si>
    <t>IRV</t>
  </si>
  <si>
    <t>Irvine, California</t>
  </si>
  <si>
    <t>15215 Barranca Parkway</t>
  </si>
  <si>
    <t>Irvine Transportation Center</t>
  </si>
  <si>
    <t>Irvine</t>
  </si>
  <si>
    <t>Carrow's Restaurant</t>
  </si>
  <si>
    <t>Santa Paula</t>
  </si>
  <si>
    <t>34.346197,-119.069060</t>
  </si>
  <si>
    <t>SAR</t>
  </si>
  <si>
    <t>Saratoga Springs, New York</t>
  </si>
  <si>
    <t>26 Station Lane</t>
  </si>
  <si>
    <t>Saratoga Springs</t>
  </si>
  <si>
    <t>518-587-8354</t>
  </si>
  <si>
    <t>43.082810,-73.810027</t>
  </si>
  <si>
    <t>Mail:  PO Box 3121, Saratoga Springs, NY 12866-3121</t>
  </si>
  <si>
    <t>SARL</t>
  </si>
  <si>
    <t>Rensselaer,N.Y.</t>
  </si>
  <si>
    <t>SAS</t>
  </si>
  <si>
    <t>San Antonio, Texas</t>
  </si>
  <si>
    <t>350 Hoefgen Street</t>
  </si>
  <si>
    <t>San Antonio</t>
  </si>
  <si>
    <t>210-223-3226</t>
  </si>
  <si>
    <t>29.419350,-98.478143</t>
  </si>
  <si>
    <t>SASL</t>
  </si>
  <si>
    <t>sas</t>
  </si>
  <si>
    <t>SAT</t>
  </si>
  <si>
    <t>Santa Maria, California</t>
  </si>
  <si>
    <t>205 South Nicholson Avenue</t>
  </si>
  <si>
    <t>Santa Maria</t>
  </si>
  <si>
    <t>34.951608,-120.416455</t>
  </si>
  <si>
    <t>.</t>
  </si>
  <si>
    <t>SAV</t>
  </si>
  <si>
    <t>Savannah, Georgia</t>
  </si>
  <si>
    <t>2611 Seaboard Coastline Drive</t>
  </si>
  <si>
    <t>Savannah</t>
  </si>
  <si>
    <t>912-234-2611</t>
  </si>
  <si>
    <t>32.083412,-81.148264</t>
  </si>
  <si>
    <t>SAVL</t>
  </si>
  <si>
    <t>Miami, FL</t>
  </si>
  <si>
    <t>209 State Street</t>
  </si>
  <si>
    <t>805-963-1015</t>
  </si>
  <si>
    <t>34.413718,-119.692785</t>
  </si>
  <si>
    <t>SBG</t>
  </si>
  <si>
    <t>Sebring, Florida</t>
  </si>
  <si>
    <t>601 East Center Avenue</t>
  </si>
  <si>
    <t>Sebring</t>
  </si>
  <si>
    <t>863-385-7188</t>
  </si>
  <si>
    <t>27.496632,-81.434202</t>
  </si>
  <si>
    <t>SBGL</t>
  </si>
  <si>
    <t>SBY</t>
  </si>
  <si>
    <t>Shelby, Montana</t>
  </si>
  <si>
    <t>230 West Central Avenue</t>
  </si>
  <si>
    <t>Shelby</t>
  </si>
  <si>
    <t>406-434-5031</t>
  </si>
  <si>
    <t>48.506748,-111.856649</t>
  </si>
  <si>
    <t>See Intercity Bus page for details Other Transportation.</t>
  </si>
  <si>
    <t>SBYL</t>
  </si>
  <si>
    <t>District Manager Stations - North</t>
  </si>
  <si>
    <t>Asst Superintentant Passenger Service</t>
  </si>
  <si>
    <t>SCA</t>
  </si>
  <si>
    <t>St. Catharines, Ontario</t>
  </si>
  <si>
    <t>5 Great Western St.</t>
  </si>
  <si>
    <t>St. Catharines</t>
  </si>
  <si>
    <t>YCM</t>
  </si>
  <si>
    <t>VIAnet:  SCAT</t>
  </si>
  <si>
    <t>43.147829,-79.256017</t>
  </si>
  <si>
    <t>SCC</t>
  </si>
  <si>
    <t>Santa Clara (University), California</t>
  </si>
  <si>
    <t>1001 Railroad Avenue</t>
  </si>
  <si>
    <t>Caltrain/ACE station</t>
  </si>
  <si>
    <t>37.353219,-121.936576</t>
  </si>
  <si>
    <t>Capitol Corridor trains began stopping here May 21, 2012</t>
  </si>
  <si>
    <t>Santa Clara - University, CA</t>
  </si>
  <si>
    <t>SCD</t>
  </si>
  <si>
    <t>St. Cloud, Minnesota</t>
  </si>
  <si>
    <t>555 East Saint Germain Street</t>
  </si>
  <si>
    <t>St. Cloud</t>
  </si>
  <si>
    <t>320-000-0000</t>
  </si>
  <si>
    <t>45.567748,-94.149093</t>
  </si>
  <si>
    <t>SCDP</t>
  </si>
  <si>
    <t>433 West St. Paul Avenue Milwaukee WI 53203</t>
  </si>
  <si>
    <t>SCH</t>
  </si>
  <si>
    <t>Schriever, Louisiana</t>
  </si>
  <si>
    <t>Highway 20 and Highway 24</t>
  </si>
  <si>
    <t>Schriever</t>
  </si>
  <si>
    <t>29.746678,-90.815246</t>
  </si>
  <si>
    <t>SCS</t>
  </si>
  <si>
    <t>Sacramento (State Capitol), California</t>
  </si>
  <si>
    <t>1389 10th Street</t>
  </si>
  <si>
    <t>Drop-Only Bus Stop</t>
  </si>
  <si>
    <t>Corner of 10th and N Streets</t>
  </si>
  <si>
    <t>38.576137,-121.495175</t>
  </si>
  <si>
    <t>Discharge only, from northbound San Joaquin service only.</t>
  </si>
  <si>
    <t>Director, Bus Operations</t>
  </si>
  <si>
    <t>SCZ</t>
  </si>
  <si>
    <t>Santa Cruz, California</t>
  </si>
  <si>
    <t>920 Pacific Avenue</t>
  </si>
  <si>
    <t>Metro Center, lane 2 (Highway 17 Express)</t>
  </si>
  <si>
    <t>Santa Cruz</t>
  </si>
  <si>
    <t>36.971017,-122.025094</t>
  </si>
  <si>
    <t>SDC</t>
  </si>
  <si>
    <t>Sedona, Arizona</t>
  </si>
  <si>
    <t>300 North Highway 89A</t>
  </si>
  <si>
    <t>Canyon Breeze Restaurant</t>
  </si>
  <si>
    <t>Sedona</t>
  </si>
  <si>
    <t>SDX</t>
  </si>
  <si>
    <t>34.870511,-111.760303</t>
  </si>
  <si>
    <t>SDL</t>
  </si>
  <si>
    <t>Slidell, Louisiana</t>
  </si>
  <si>
    <t>1827 Front Street</t>
  </si>
  <si>
    <t>Slidell</t>
  </si>
  <si>
    <t>30.278372,-89.782565</t>
  </si>
  <si>
    <t>SDY</t>
  </si>
  <si>
    <t>Schenectady, New York</t>
  </si>
  <si>
    <t>332 Erie Boulevard</t>
  </si>
  <si>
    <t>Schenectady</t>
  </si>
  <si>
    <t>518-346-8651</t>
  </si>
  <si>
    <t>42.814606,-73.942887</t>
  </si>
  <si>
    <t>SDYL</t>
  </si>
  <si>
    <t>DISTRICT Superintendent EMPIRE SERVICE</t>
  </si>
  <si>
    <t>RENSSELAER, NY</t>
  </si>
  <si>
    <t>SEA</t>
  </si>
  <si>
    <t>Seattle (Amtrak), Washington</t>
  </si>
  <si>
    <t>303 South Jackson Street</t>
  </si>
  <si>
    <t>King Street Station</t>
  </si>
  <si>
    <t>206-382-4125</t>
  </si>
  <si>
    <t>STX</t>
  </si>
  <si>
    <t>47.598445,-122.330161</t>
  </si>
  <si>
    <t>For Cruise Ship information see "Miscellaneous"</t>
  </si>
  <si>
    <t>SE9</t>
  </si>
  <si>
    <t>P73D</t>
  </si>
  <si>
    <t>Seattle, WA   (not in station - at Holgate Street Facility)</t>
  </si>
  <si>
    <t>Seattle, WA   (at Holgate Street Facility)</t>
  </si>
  <si>
    <t>SEB</t>
  </si>
  <si>
    <t>Seabrook, Maryland</t>
  </si>
  <si>
    <t>6221 Seabrook Road</t>
  </si>
  <si>
    <t>Lanham</t>
  </si>
  <si>
    <t>SED</t>
  </si>
  <si>
    <t>Sedalia, Missouri</t>
  </si>
  <si>
    <t>Pacific Street and North Osage Avenue</t>
  </si>
  <si>
    <t>Sedalia</t>
  </si>
  <si>
    <t>38.711604,-93.228706</t>
  </si>
  <si>
    <t>ST LOUIS, MO</t>
  </si>
  <si>
    <t>SES</t>
  </si>
  <si>
    <t>Seaside, California</t>
  </si>
  <si>
    <t>Playa Avenue &amp; California Avenue</t>
  </si>
  <si>
    <t>Edgewater Transit Exchange</t>
  </si>
  <si>
    <t>Seaside</t>
  </si>
  <si>
    <t>36.619362,-121.843842</t>
  </si>
  <si>
    <t>Sanford (Auto Train), Florida</t>
  </si>
  <si>
    <t>600 South Persimmon Avenue</t>
  </si>
  <si>
    <t>Sanford</t>
  </si>
  <si>
    <t>407-323-4800</t>
  </si>
  <si>
    <t>28.808544,-81.291274</t>
  </si>
  <si>
    <t>Construction of new station:  see Miscellaneous</t>
  </si>
  <si>
    <t>Lorton, VA</t>
  </si>
  <si>
    <t>SFB</t>
  </si>
  <si>
    <t>San Francisco Bay Cruise Admission Ticket</t>
  </si>
  <si>
    <t>San Francisco Bay Cruise</t>
  </si>
  <si>
    <t>Book between SFW and SFB</t>
  </si>
  <si>
    <t>San Francisco</t>
  </si>
  <si>
    <t>SFC</t>
  </si>
  <si>
    <t>San Francisco (Ferry), California</t>
  </si>
  <si>
    <t>101 The Embarcadero</t>
  </si>
  <si>
    <t>at Mission St. and The Embarcadero</t>
  </si>
  <si>
    <t>415-546-4558</t>
  </si>
  <si>
    <t>37.794459,-122.392155</t>
  </si>
  <si>
    <t>SFCL</t>
  </si>
  <si>
    <t>Sacamento, CA</t>
  </si>
  <si>
    <t>SFF</t>
  </si>
  <si>
    <t>San Francisco (Financial), California</t>
  </si>
  <si>
    <t>5 Embarcadero Center</t>
  </si>
  <si>
    <t>Corner of California &amp; Drumm Streets</t>
  </si>
  <si>
    <t>37.793874,-122.396302</t>
  </si>
  <si>
    <t>SFG</t>
  </si>
  <si>
    <t>San Francisco (Groups Only),California</t>
  </si>
  <si>
    <t>Special stops in city for groups</t>
  </si>
  <si>
    <t>See G/THR/BOG/P11-P20 for special group stop information</t>
  </si>
  <si>
    <t>Group Desk</t>
  </si>
  <si>
    <t>800-USA-GRP1</t>
  </si>
  <si>
    <t>SFM</t>
  </si>
  <si>
    <t>San Francisco (Conv Ctr), California</t>
  </si>
  <si>
    <t>747 Howard St.</t>
  </si>
  <si>
    <t>4th &amp; Howard Sts. - Moscone Convention Ctr.</t>
  </si>
  <si>
    <t>2 stops - Read directions</t>
  </si>
  <si>
    <t>37.783471,-122.402609</t>
  </si>
  <si>
    <t>Unstaffed Stop - No Amtrak services</t>
  </si>
  <si>
    <t>SFP</t>
  </si>
  <si>
    <t>San Francisco (Caltrain), California</t>
  </si>
  <si>
    <t>700 4th St.</t>
  </si>
  <si>
    <t>Fourth and Townsend Sts. - Caltrain Station</t>
  </si>
  <si>
    <t>CalTrain</t>
  </si>
  <si>
    <t>37.776627,-122.394601</t>
  </si>
  <si>
    <t>SFS</t>
  </si>
  <si>
    <t>San Francisco (Shopping), California</t>
  </si>
  <si>
    <t>835 Market Street</t>
  </si>
  <si>
    <t>Westfield San Francisco Centre</t>
  </si>
  <si>
    <t>37.784720,-122.406918</t>
  </si>
  <si>
    <t>Unstaffed Stop - No Amtrk Services</t>
  </si>
  <si>
    <t>SFV</t>
  </si>
  <si>
    <t>San Francisco (Civic Center), California</t>
  </si>
  <si>
    <t>1139 Market Street</t>
  </si>
  <si>
    <t>South side of Market, between 7th and 8th Streets</t>
  </si>
  <si>
    <t>37.779798,-122.413262</t>
  </si>
  <si>
    <t>SFW</t>
  </si>
  <si>
    <t>San Francisco (Wharf), California</t>
  </si>
  <si>
    <t>Beach St. &amp; The Embarcadero</t>
  </si>
  <si>
    <t>Pier 39 - Fisherman's Wharf</t>
  </si>
  <si>
    <t>37.808458,-122.410306</t>
  </si>
  <si>
    <t>Bay Cruise Sightseer:  see "Attractions".</t>
  </si>
  <si>
    <t>SGL</t>
  </si>
  <si>
    <t>Sagle, Idaho</t>
  </si>
  <si>
    <t>468810 Highway 95</t>
  </si>
  <si>
    <t>Travel America Conoco Plaza</t>
  </si>
  <si>
    <t>Sagle</t>
  </si>
  <si>
    <t>48.203681,-116.565810</t>
  </si>
  <si>
    <t>SGW</t>
  </si>
  <si>
    <t>Saginaw, Michigan</t>
  </si>
  <si>
    <t>511 Johnson Street</t>
  </si>
  <si>
    <t>Saginaw Bus Center</t>
  </si>
  <si>
    <t>Saginaw</t>
  </si>
  <si>
    <t>989-753-5454</t>
  </si>
  <si>
    <t>43.434928,-83.933429</t>
  </si>
  <si>
    <t>SHB</t>
  </si>
  <si>
    <t>Sheboygan, Wisconsin</t>
  </si>
  <si>
    <t>830 Pennsylvania Avenue</t>
  </si>
  <si>
    <t>Metro Center Transfer Point</t>
  </si>
  <si>
    <t>Sheboygan</t>
  </si>
  <si>
    <t>43.749920,-87.714028</t>
  </si>
  <si>
    <t>SHR</t>
  </si>
  <si>
    <t>Shreveport, Louisiana</t>
  </si>
  <si>
    <t>Exit 13 off IH 20</t>
  </si>
  <si>
    <t>Shreveport Regional Airport</t>
  </si>
  <si>
    <t>Shreveport</t>
  </si>
  <si>
    <t>32.454512,-93.828086</t>
  </si>
  <si>
    <t>SHW</t>
  </si>
  <si>
    <t>Shawano, Wisconsin</t>
  </si>
  <si>
    <t>N4543 State Highway 22</t>
  </si>
  <si>
    <t>Shawano Shell</t>
  </si>
  <si>
    <t>Shawano</t>
  </si>
  <si>
    <t>44.753147,-88.615339</t>
  </si>
  <si>
    <t>SID</t>
  </si>
  <si>
    <t>Sandpoint (Bus), Idaho</t>
  </si>
  <si>
    <t>1105 Michigan Avenue</t>
  </si>
  <si>
    <t>Conoco Gas Station Dairy Depot</t>
  </si>
  <si>
    <t>Sandpoint</t>
  </si>
  <si>
    <t>48.269569,-116.562907</t>
  </si>
  <si>
    <t>Use city code SPT for the Amtrak train station</t>
  </si>
  <si>
    <t>NA</t>
  </si>
  <si>
    <t>SIM</t>
  </si>
  <si>
    <t>Simi Valley, California</t>
  </si>
  <si>
    <t>5050 Los Angeles Avenue</t>
  </si>
  <si>
    <t>Amtrak/Metrolink Station</t>
  </si>
  <si>
    <t>Simi Valley</t>
  </si>
  <si>
    <t>34.270204,-118.695163</t>
  </si>
  <si>
    <t>SJC</t>
  </si>
  <si>
    <t>San Jose, California</t>
  </si>
  <si>
    <t>65 Cahill Street</t>
  </si>
  <si>
    <t>Diridon Station</t>
  </si>
  <si>
    <t>San Jose</t>
  </si>
  <si>
    <t>408-287-1848</t>
  </si>
  <si>
    <t>Caltrain / ACE</t>
  </si>
  <si>
    <t>37.329933,-121.902388</t>
  </si>
  <si>
    <t>SJCL</t>
  </si>
  <si>
    <t>SJM</t>
  </si>
  <si>
    <t>38.581067,-90.406761</t>
  </si>
  <si>
    <t>OPENS 1 HR BEFORE AND CLOSES 30 MIN AFTER TRAIN DEPARTURE.</t>
  </si>
  <si>
    <t>Caretaker opens/closes depot 30" before and after trains</t>
  </si>
  <si>
    <t>LAB</t>
  </si>
  <si>
    <t>Latrobe, Pennsylvania</t>
  </si>
  <si>
    <t>329 McKinley Avenue</t>
  </si>
  <si>
    <t>Latrobe</t>
  </si>
  <si>
    <t>40.317405,-79.385083</t>
  </si>
  <si>
    <t>LAE</t>
  </si>
  <si>
    <t>La Grande, Oregon</t>
  </si>
  <si>
    <t xml:space="preserve">2204 E Penn Avenue </t>
  </si>
  <si>
    <t>Exit 261 off Interstate 84</t>
  </si>
  <si>
    <t>La Grande</t>
  </si>
  <si>
    <t>541-963-5165</t>
  </si>
  <si>
    <t>45.327000,-118.077210</t>
  </si>
  <si>
    <t>Greyhound Agent</t>
  </si>
  <si>
    <t>LAF</t>
  </si>
  <si>
    <t>Lafayette, Indiana</t>
  </si>
  <si>
    <t>200 North Second Street</t>
  </si>
  <si>
    <t>Lafayette</t>
  </si>
  <si>
    <t>40.419347,-86.895901</t>
  </si>
  <si>
    <t>LAG</t>
  </si>
  <si>
    <t>La Grange Road, Illinois</t>
  </si>
  <si>
    <t>25 West Burlington Avenue</t>
  </si>
  <si>
    <t>La Grange</t>
  </si>
  <si>
    <t>41.815634,-87.871545</t>
  </si>
  <si>
    <t>525 West Van BurenSt</t>
  </si>
  <si>
    <t>LAJ</t>
  </si>
  <si>
    <t>La Junta, Colorado</t>
  </si>
  <si>
    <t>1 West First Street</t>
  </si>
  <si>
    <t>La Junta</t>
  </si>
  <si>
    <t>719-384-2275</t>
  </si>
  <si>
    <t>37.988249,-103.543576</t>
  </si>
  <si>
    <t>LAJL</t>
  </si>
  <si>
    <t>LAK</t>
  </si>
  <si>
    <t>Lakeland, Florida</t>
  </si>
  <si>
    <t>600 East  Main Street</t>
  </si>
  <si>
    <t>Lakeland</t>
  </si>
  <si>
    <t>863-683-6368</t>
  </si>
  <si>
    <t>LKX</t>
  </si>
  <si>
    <t>28.045603,-81.951874</t>
  </si>
  <si>
    <t>LAKL</t>
  </si>
  <si>
    <t>District Manger Stations</t>
  </si>
  <si>
    <t>Orlando, FL</t>
  </si>
  <si>
    <t>LAN</t>
  </si>
  <si>
    <t>L'Anse, Michigan</t>
  </si>
  <si>
    <t>102 North Main Street</t>
  </si>
  <si>
    <t>In the Mind's Eye Store</t>
  </si>
  <si>
    <t>L'Anse</t>
  </si>
  <si>
    <t>46.758449,-88.453593</t>
  </si>
  <si>
    <t>Asst Superintendent Stations</t>
  </si>
  <si>
    <t>LAP</t>
  </si>
  <si>
    <t>La Plata, Missouri</t>
  </si>
  <si>
    <t>535 North Owensby Street</t>
  </si>
  <si>
    <t>R.R. #1</t>
  </si>
  <si>
    <t>At BNSF Railroad</t>
  </si>
  <si>
    <t>La Plata</t>
  </si>
  <si>
    <t>660-956-0460</t>
  </si>
  <si>
    <t>40.029220,-92.493384</t>
  </si>
  <si>
    <t>Station staff by Caretaker, some baggage assist available</t>
  </si>
  <si>
    <t>CARETAKER</t>
  </si>
  <si>
    <t>LAS</t>
  </si>
  <si>
    <t>Las Vegas International Airport, Nevada</t>
  </si>
  <si>
    <t>5757 Wayne Newton Blvd</t>
  </si>
  <si>
    <t>McCarran International Airport</t>
  </si>
  <si>
    <t>SEE PAGE # 6 FOR BOARDING LOCATION</t>
  </si>
  <si>
    <t>Las Vegas</t>
  </si>
  <si>
    <t>LVX</t>
  </si>
  <si>
    <t>36.085973,-115.148493</t>
  </si>
  <si>
    <t>Non-Amtrak staffed thruway bus stop</t>
  </si>
  <si>
    <t>DISTRICT MANAGER, SOUTHWEST DISTRICT STATIONS</t>
  </si>
  <si>
    <t>SAN JUAN CAPISTRANO, CA</t>
  </si>
  <si>
    <t>SN7</t>
  </si>
  <si>
    <t>SNCL</t>
  </si>
  <si>
    <t>ASST. SUPERINTENDENT PASSENGER SERVICES</t>
  </si>
  <si>
    <t>FORT WORTH, TEXAS</t>
  </si>
  <si>
    <t>FT7</t>
  </si>
  <si>
    <t>LAU</t>
  </si>
  <si>
    <t>Laurel, Mississippi</t>
  </si>
  <si>
    <t>230 North Maple Street</t>
  </si>
  <si>
    <t>Laurel</t>
  </si>
  <si>
    <t>31.692168,-89.127933</t>
  </si>
  <si>
    <t>1001 Loyola Ave, New Orleans, LA</t>
  </si>
  <si>
    <t>LAX</t>
  </si>
  <si>
    <t>800 North Alameda Street</t>
  </si>
  <si>
    <t>Los Angeles Union Station</t>
  </si>
  <si>
    <t>213-683-6729</t>
  </si>
  <si>
    <t>Metrolink/MTA/VIA</t>
  </si>
  <si>
    <t>34.056177,-118.236778</t>
  </si>
  <si>
    <t>Taxis, Shuttles, City Buses, Subway, Light Rail available.</t>
  </si>
  <si>
    <t>P444</t>
  </si>
  <si>
    <t>Station Services</t>
  </si>
  <si>
    <t>LBC</t>
  </si>
  <si>
    <t>Long Beach, California</t>
  </si>
  <si>
    <t>601 Long Beach Blvd.</t>
  </si>
  <si>
    <t>Denny's Restaurant</t>
  </si>
  <si>
    <t>Long Beach</t>
  </si>
  <si>
    <t>LBX</t>
  </si>
  <si>
    <t>33.774589,-118.189815</t>
  </si>
  <si>
    <t>2 Stops - LBC(downtown) &amp; LBQ (at The Queen Mary)</t>
  </si>
  <si>
    <t>LBQ</t>
  </si>
  <si>
    <t>Long Beach (Queen Mary), California</t>
  </si>
  <si>
    <t>1146 Queens Highway</t>
  </si>
  <si>
    <t>Next to the Seasonal Catalina Ferry Terminal</t>
  </si>
  <si>
    <t>33.753027,-118.193140</t>
  </si>
  <si>
    <t>LCA</t>
  </si>
  <si>
    <t>La Crescenta, California</t>
  </si>
  <si>
    <t>Honolulu and Lowell Avenues</t>
  </si>
  <si>
    <t>Pickup north side Honolulu Av west of Lowell Av</t>
  </si>
  <si>
    <t>Dropoff south side Honolulu Av east of Lowell Av</t>
  </si>
  <si>
    <t>La Crescenta</t>
  </si>
  <si>
    <t>34.231944,-118.266511</t>
  </si>
  <si>
    <t>LCH</t>
  </si>
  <si>
    <t>Lake Charles, Louisiana</t>
  </si>
  <si>
    <t>100 Ryan Street</t>
  </si>
  <si>
    <t>Lake Charles</t>
  </si>
  <si>
    <t>30.238126,-93.217037</t>
  </si>
  <si>
    <t>nof6</t>
  </si>
  <si>
    <t>LCN</t>
  </si>
  <si>
    <t>Lincoln, Illinois</t>
  </si>
  <si>
    <t>101 North Chicago Street</t>
  </si>
  <si>
    <t>Lincoln</t>
  </si>
  <si>
    <t>40.147855,-89.363699</t>
  </si>
  <si>
    <t>St. Louis Missouri</t>
  </si>
  <si>
    <t>LCS</t>
  </si>
  <si>
    <t>Lancaster, California</t>
  </si>
  <si>
    <t>44812 Sierra Highway</t>
  </si>
  <si>
    <t>Lancaster</t>
  </si>
  <si>
    <t>34.696300,-118.136432</t>
  </si>
  <si>
    <t>LCV</t>
  </si>
  <si>
    <t>Lincolnville, Maine</t>
  </si>
  <si>
    <t>2512 Atlantic Highway</t>
  </si>
  <si>
    <t>US Post Office</t>
  </si>
  <si>
    <t>Wave at bus or it will not stop</t>
  </si>
  <si>
    <t>Lincolnville</t>
  </si>
  <si>
    <t>44.282075,-69.008642</t>
  </si>
  <si>
    <t>None. Flag stop. Wave at bus to make it stop.</t>
  </si>
  <si>
    <t>LDB</t>
  </si>
  <si>
    <t>Lordsburg, New Mexico</t>
  </si>
  <si>
    <t>Center Street and East Motel Drive</t>
  </si>
  <si>
    <t>Railroad crossing, south side of tracks</t>
  </si>
  <si>
    <t>Lordsburg</t>
  </si>
  <si>
    <t>32.350070,-108.707025</t>
  </si>
  <si>
    <t>LDW</t>
  </si>
  <si>
    <t>Lindenwold, New Jersey</t>
  </si>
  <si>
    <t>Station Avenue &amp; White Horse Road West</t>
  </si>
  <si>
    <t>NJ Transit/PATCO station</t>
  </si>
  <si>
    <t>Somerdale</t>
  </si>
  <si>
    <t>39.833830,-75.000759</t>
  </si>
  <si>
    <t>LEE</t>
  </si>
  <si>
    <t>Lee's Summit, Missouri</t>
  </si>
  <si>
    <t>217 SW Main Street</t>
  </si>
  <si>
    <t>Lee's Summit</t>
  </si>
  <si>
    <t>38.912623,-94.377972</t>
  </si>
  <si>
    <t>LEG</t>
  </si>
  <si>
    <t>Leggett, California</t>
  </si>
  <si>
    <t>69501 Highway 101 North</t>
  </si>
  <si>
    <t>Price's Peg House</t>
  </si>
  <si>
    <t>Leggett</t>
  </si>
  <si>
    <t>39.878226,-123.727964</t>
  </si>
  <si>
    <t>LEV</t>
  </si>
  <si>
    <t>Leavenworth (Buses), Washington</t>
  </si>
  <si>
    <t>585 Highway 2</t>
  </si>
  <si>
    <t>76 Station Icicle Quik Stop</t>
  </si>
  <si>
    <t>Leavenworth</t>
  </si>
  <si>
    <t>LWX</t>
  </si>
  <si>
    <t>Yes, at UPS Store</t>
  </si>
  <si>
    <t>47.588471,-120.674502</t>
  </si>
  <si>
    <t>unmanned bus stop</t>
  </si>
  <si>
    <t>LEW</t>
  </si>
  <si>
    <t>Lewistown, Pennsylvania</t>
  </si>
  <si>
    <t>150 Helen Street</t>
  </si>
  <si>
    <t>Lewistown</t>
  </si>
  <si>
    <t>40.588309,-77.580047</t>
  </si>
  <si>
    <t>Harl</t>
  </si>
  <si>
    <t>LEX</t>
  </si>
  <si>
    <t>Lexington, North Carolina</t>
  </si>
  <si>
    <t>Center Street and Railroad Tracks</t>
  </si>
  <si>
    <t>Lexington Barbecue Festival</t>
  </si>
  <si>
    <t>Lexington</t>
  </si>
  <si>
    <t>35.831183,-80.263284</t>
  </si>
  <si>
    <t>See Directions Page for info.  Event:  October 27, 2012</t>
  </si>
  <si>
    <t>LFT</t>
  </si>
  <si>
    <t>Lafayette, Louisiana</t>
  </si>
  <si>
    <t>100 Lee Avenue</t>
  </si>
  <si>
    <t>30.226548,-92.014519</t>
  </si>
  <si>
    <t>LGO</t>
  </si>
  <si>
    <t>Lego Land, Carlsbad, California</t>
  </si>
  <si>
    <t>1 Legoland Drive</t>
  </si>
  <si>
    <t>Lego Land Amusement Park</t>
  </si>
  <si>
    <t>Carlsbad</t>
  </si>
  <si>
    <t>760-720-9400</t>
  </si>
  <si>
    <t>33.126206,-117.310920</t>
  </si>
  <si>
    <t>See G/TVL/SEE/P31-P40 for details on sightseer</t>
  </si>
  <si>
    <t>LGX</t>
  </si>
  <si>
    <t>Legoland Admission Ticket</t>
  </si>
  <si>
    <t>Legoland Amusement Park</t>
  </si>
  <si>
    <t>Book between LGO and LGX</t>
  </si>
  <si>
    <t>See Attractions screen for details</t>
  </si>
  <si>
    <t>LIB</t>
  </si>
  <si>
    <t>Libby, Montana</t>
  </si>
  <si>
    <t>100 Mineral Avenue</t>
  </si>
  <si>
    <t>Libby</t>
  </si>
  <si>
    <t>48.394842,-115.548890</t>
  </si>
  <si>
    <t>LIV</t>
  </si>
  <si>
    <t>Livermore (Transit Center), California</t>
  </si>
  <si>
    <t>2500 Railroad Avenue</t>
  </si>
  <si>
    <t>(Near 1st Street)</t>
  </si>
  <si>
    <t>Livermore Transit Center/Ace Stop</t>
  </si>
  <si>
    <t>Livermore</t>
  </si>
  <si>
    <t>37.684915,-121.767121</t>
  </si>
  <si>
    <t>LKL</t>
  </si>
  <si>
    <t>600 East Main Street</t>
  </si>
  <si>
    <t>This is the same stop as LAK.  See LAK for complete info.</t>
  </si>
  <si>
    <t>LLK</t>
  </si>
  <si>
    <t>Loon Lake, Washington</t>
  </si>
  <si>
    <t>State Highway 292 &amp; Colville Road</t>
  </si>
  <si>
    <t>Dinner Bell Restaurant</t>
  </si>
  <si>
    <t>Loon Lake</t>
  </si>
  <si>
    <t>48.060505,-117.621748</t>
  </si>
  <si>
    <t>LMC</t>
  </si>
  <si>
    <t>Lemoore, California</t>
  </si>
  <si>
    <t>300 E Street</t>
  </si>
  <si>
    <t xml:space="preserve">Chamber of Commerce </t>
  </si>
  <si>
    <t>Bus 4004 also discharges at NAS Lemoore main gate</t>
  </si>
  <si>
    <t>Lemoore</t>
  </si>
  <si>
    <t>36.303131,-119.784545</t>
  </si>
  <si>
    <t>ASST. SUPT. - PASSSENGER SVCS.</t>
  </si>
  <si>
    <t>LMN</t>
  </si>
  <si>
    <t>Lemoore (Naval Air Station), California</t>
  </si>
  <si>
    <t>25th Ave and Highway 198</t>
  </si>
  <si>
    <t>36.256074,-119.902959</t>
  </si>
  <si>
    <t>For more information see "Thruway Services"</t>
  </si>
  <si>
    <t>Santa Babara, CA</t>
  </si>
  <si>
    <t>LMQ</t>
  </si>
  <si>
    <t>La Marque, Texas</t>
  </si>
  <si>
    <t>727 South Oak Street</t>
  </si>
  <si>
    <t>McKown Air Conditioning</t>
  </si>
  <si>
    <t>La Marque</t>
  </si>
  <si>
    <t>29.372804,-94.963611</t>
  </si>
  <si>
    <t>Unstaffed location, Bus Stop only.</t>
  </si>
  <si>
    <t>Superintendent Passenger Svcs</t>
  </si>
  <si>
    <t>LMR</t>
  </si>
  <si>
    <t>Lamar, Colorado</t>
  </si>
  <si>
    <t>Main &amp; Beech Streets</t>
  </si>
  <si>
    <t>Lamar</t>
  </si>
  <si>
    <t>38.089623,-102.618574</t>
  </si>
  <si>
    <t>LMY</t>
  </si>
  <si>
    <t>Lamy, New Mexico</t>
  </si>
  <si>
    <t>Santa Fe County Road 33</t>
  </si>
  <si>
    <t>152 Old Lamy Trail</t>
  </si>
  <si>
    <t>Lamy</t>
  </si>
  <si>
    <t>505-466-4511</t>
  </si>
  <si>
    <t>35.480973,-105.879968</t>
  </si>
  <si>
    <t>LMYL</t>
  </si>
  <si>
    <t>LNC</t>
  </si>
  <si>
    <t>Lancaster, Pennsylvania</t>
  </si>
  <si>
    <t>53 McGovern Avenue</t>
  </si>
  <si>
    <t>717-291-5080</t>
  </si>
  <si>
    <t>40.054181,-76.307714</t>
  </si>
  <si>
    <t>Station under construction. Allow extra time.</t>
  </si>
  <si>
    <t>LNCL</t>
  </si>
  <si>
    <t>LNK</t>
  </si>
  <si>
    <t>Lincoln, Nebraska</t>
  </si>
  <si>
    <t>510 N Street</t>
  </si>
  <si>
    <t>402-476-1295</t>
  </si>
  <si>
    <t>40.815871,-96.713170</t>
  </si>
  <si>
    <t xml:space="preserve">New address of new station effective June 25, 2012          </t>
  </si>
  <si>
    <t>LNKL</t>
  </si>
  <si>
    <t>LNL</t>
  </si>
  <si>
    <t>Laguna Niguel/Mission Viejo, California</t>
  </si>
  <si>
    <t>28200 Forbes Road</t>
  </si>
  <si>
    <t>Laguna Niguel</t>
  </si>
  <si>
    <t>33.552726,-117.674540</t>
  </si>
  <si>
    <t>LNN</t>
  </si>
  <si>
    <t>Lincoln, New Hampshire</t>
  </si>
  <si>
    <t>36 Main Street</t>
  </si>
  <si>
    <t>Sunoco Station/Munce's Konvenience Store</t>
  </si>
  <si>
    <t>44.038243,-71.674710</t>
  </si>
  <si>
    <t>LNS</t>
  </si>
  <si>
    <t>East Lansing, Michigan</t>
  </si>
  <si>
    <t>1240 South Harrison Road</t>
  </si>
  <si>
    <t>East Lansing</t>
  </si>
  <si>
    <t>517-332-5051</t>
  </si>
  <si>
    <t>42.719007,-84.494828</t>
  </si>
  <si>
    <t>LNSL</t>
  </si>
  <si>
    <t>Assistant Superintendeent Passenger Service</t>
  </si>
  <si>
    <t>LNV</t>
  </si>
  <si>
    <t>Laughlin, Nevada</t>
  </si>
  <si>
    <t>2121 S. Casino Dr.</t>
  </si>
  <si>
    <t>Tropicana Express Hotel &amp; Casino</t>
  </si>
  <si>
    <t>Laughlin</t>
  </si>
  <si>
    <t>35.158536,-114.575884</t>
  </si>
  <si>
    <t>Unstaffed Stops. No Amtrak Services.</t>
  </si>
  <si>
    <t>LOD</t>
  </si>
  <si>
    <t>Lodi, California</t>
  </si>
  <si>
    <t>24 South Sacramento Street</t>
  </si>
  <si>
    <t>Lodi</t>
  </si>
  <si>
    <t>38.133201,-121.271887</t>
  </si>
  <si>
    <t>Hanford, CA</t>
  </si>
  <si>
    <t>LOM</t>
  </si>
  <si>
    <t>Lompoc, California</t>
  </si>
  <si>
    <t>111 South I Street</t>
  </si>
  <si>
    <t>Lompoc Visitor's Center</t>
  </si>
  <si>
    <t>Lompoc</t>
  </si>
  <si>
    <t>LPX</t>
  </si>
  <si>
    <t>34.638340,-120.459285</t>
  </si>
  <si>
    <t>This is an unmanned location. No Amtrak services available.</t>
  </si>
  <si>
    <t>LOR</t>
  </si>
  <si>
    <t>Lorton (Auto Train), Virginia</t>
  </si>
  <si>
    <t>8006 Lorton Road</t>
  </si>
  <si>
    <t>Lorton</t>
  </si>
  <si>
    <t>703-690-3615</t>
  </si>
  <si>
    <t>38.708143,-77.220942</t>
  </si>
  <si>
    <t>LORL</t>
  </si>
  <si>
    <t>District Manager Stations, Auto Train</t>
  </si>
  <si>
    <t>Sanford, Florida</t>
  </si>
  <si>
    <t>SFA</t>
  </si>
  <si>
    <t>S124</t>
  </si>
  <si>
    <t>Vacant</t>
  </si>
  <si>
    <t>Dist Sup</t>
  </si>
  <si>
    <t>Sanford, FL</t>
  </si>
  <si>
    <t>LPD</t>
  </si>
  <si>
    <t>Lake Placid, New York</t>
  </si>
  <si>
    <t>2384 Saranac Avenue</t>
  </si>
  <si>
    <t xml:space="preserve"> High Peaks Resort</t>
  </si>
  <si>
    <t>Lake Placid</t>
  </si>
  <si>
    <t>44.291438,-73.985926</t>
  </si>
  <si>
    <t>AMTRAK THRUWAY BUS STOP / NO AGENT</t>
  </si>
  <si>
    <t>SUPERVISOR CUSTOMER SERVICE</t>
  </si>
  <si>
    <t>ALBANY/RENSSELAER</t>
  </si>
  <si>
    <t>LPE</t>
  </si>
  <si>
    <t>Lapeer, Michigan</t>
  </si>
  <si>
    <t>73 Howard Street</t>
  </si>
  <si>
    <t>Lapeer</t>
  </si>
  <si>
    <t>43.049520,-83.306154</t>
  </si>
  <si>
    <t>Waiting room is open at train times.</t>
  </si>
  <si>
    <t>Customer Service Manager</t>
  </si>
  <si>
    <t>LPN</t>
  </si>
  <si>
    <t>La Pine, Oregon</t>
  </si>
  <si>
    <t>16515 Reed Road</t>
  </si>
  <si>
    <t>Shell Station</t>
  </si>
  <si>
    <t>At Hwy 97</t>
  </si>
  <si>
    <t>La Pine</t>
  </si>
  <si>
    <t>43.674176,-121.499956</t>
  </si>
  <si>
    <t>LPS</t>
  </si>
  <si>
    <t>Lompoc-Surf, California</t>
  </si>
  <si>
    <t>Ocean Ave and Park Rd</t>
  </si>
  <si>
    <t>Surf</t>
  </si>
  <si>
    <t>34.682704,-120.605001</t>
  </si>
  <si>
    <t>No "Thruway Service" at this stop</t>
  </si>
  <si>
    <t>LQT</t>
  </si>
  <si>
    <t>La Quinta, California</t>
  </si>
  <si>
    <t>78822 Highway 111</t>
  </si>
  <si>
    <t xml:space="preserve">SunLine Transit Stop next to Eisenhower Occupational Health </t>
  </si>
  <si>
    <t>La Quinta</t>
  </si>
  <si>
    <t>33.710979,-116.289964</t>
  </si>
  <si>
    <t>LRC</t>
  </si>
  <si>
    <t>Lawrence, Kansas</t>
  </si>
  <si>
    <t>413 East 7th Street</t>
  </si>
  <si>
    <t>Lawrence</t>
  </si>
  <si>
    <t>38.971166,-95.230539</t>
  </si>
  <si>
    <t>LRK</t>
  </si>
  <si>
    <t>Little Rock, Arkansas</t>
  </si>
  <si>
    <t>1400 West Markham Street</t>
  </si>
  <si>
    <t>Little Rock</t>
  </si>
  <si>
    <t>501-372-6841</t>
  </si>
  <si>
    <t>34.750298,-92.286785</t>
  </si>
  <si>
    <t>LRKL</t>
  </si>
  <si>
    <t>LRM</t>
  </si>
  <si>
    <t>Laurel, Maryland</t>
  </si>
  <si>
    <t>22 Main Street</t>
  </si>
  <si>
    <t>LRT</t>
  </si>
  <si>
    <t>Laurel Racetrack, Maryland</t>
  </si>
  <si>
    <t>Laurel Racetrack Rd, off MD 198</t>
  </si>
  <si>
    <t>Service during racing season only</t>
  </si>
  <si>
    <t>LSE</t>
  </si>
  <si>
    <t>La Crosse, Wisconsin</t>
  </si>
  <si>
    <t>(St. Andrew and Caledonia Streets)</t>
  </si>
  <si>
    <t>601 St. Andrew Street</t>
  </si>
  <si>
    <t>La Crosse</t>
  </si>
  <si>
    <t>608-782-6462</t>
  </si>
  <si>
    <t>43.833155,-91.247298</t>
  </si>
  <si>
    <t>Station open on a split shift (morning and evening hours)</t>
  </si>
  <si>
    <t>LSEL</t>
  </si>
  <si>
    <t>LSV</t>
  </si>
  <si>
    <t>Las Vegas, New Mexico</t>
  </si>
  <si>
    <t>500 Railroad Avenue at Lincoln</t>
  </si>
  <si>
    <t>35.593432,-105.212779</t>
  </si>
  <si>
    <t>LTL</t>
  </si>
  <si>
    <t>Littleton, New Hampshire</t>
  </si>
  <si>
    <t>336 Cottage Street</t>
  </si>
  <si>
    <t>Irving Gas Station</t>
  </si>
  <si>
    <t>Littleton</t>
  </si>
  <si>
    <t>44.296787,-71.769090</t>
  </si>
  <si>
    <t>LTM</t>
  </si>
  <si>
    <t>Lathrop/Manteca, California</t>
  </si>
  <si>
    <t>17800 Shideler Parkway</t>
  </si>
  <si>
    <t>ACE Station</t>
  </si>
  <si>
    <t>Manteca</t>
  </si>
  <si>
    <t>37.798360,-121.263658</t>
  </si>
  <si>
    <t>LTR</t>
  </si>
  <si>
    <t>Littlerock, California</t>
  </si>
  <si>
    <t>7225 Pearblossom Hwy</t>
  </si>
  <si>
    <t>Chevron Station Food Mart</t>
  </si>
  <si>
    <t>Littlerock</t>
  </si>
  <si>
    <t>34.521339,-118.000580</t>
  </si>
  <si>
    <t>Unstaffed Thruway Bus Stop. No Amtrak services.</t>
  </si>
  <si>
    <t>LTV</t>
  </si>
  <si>
    <t>Laytonville, California</t>
  </si>
  <si>
    <t>44900 Highway 101</t>
  </si>
  <si>
    <t>Park N Takit Market</t>
  </si>
  <si>
    <t>Laytonville</t>
  </si>
  <si>
    <t>39.686633,-123.482019</t>
  </si>
  <si>
    <t>Disrick Superintendent</t>
  </si>
  <si>
    <t>LVL</t>
  </si>
  <si>
    <t>Louisville, Kentucky</t>
  </si>
  <si>
    <t>720 West Muhammad Ali Blvd.</t>
  </si>
  <si>
    <t>Louisville</t>
  </si>
  <si>
    <t>502-561-2805</t>
  </si>
  <si>
    <t>38.251675,-85.763445</t>
  </si>
  <si>
    <t>This is the only stop in Louisville.</t>
  </si>
  <si>
    <t>LVN</t>
  </si>
  <si>
    <t>Lee Vining, California</t>
  </si>
  <si>
    <t>30 Main Street</t>
  </si>
  <si>
    <t>Lake View Lodge</t>
  </si>
  <si>
    <t>Lee Vining</t>
  </si>
  <si>
    <t>37.955403,-119.118687</t>
  </si>
  <si>
    <t xml:space="preserve"> UNSTAFFED BUS STOP - NO AMTRAK SERVICES</t>
  </si>
  <si>
    <t>LVS</t>
  </si>
  <si>
    <t>Las Vegas (Downtown), Nevada</t>
  </si>
  <si>
    <t>200 South Main St.</t>
  </si>
  <si>
    <t>36.170266,-115.147489</t>
  </si>
  <si>
    <t>Unstaffed by Amtrak - Greyhound tickets only</t>
  </si>
  <si>
    <t>LVW</t>
  </si>
  <si>
    <t>Longview, Texas</t>
  </si>
  <si>
    <t>905 Pacific Avenue</t>
  </si>
  <si>
    <t>Longview</t>
  </si>
  <si>
    <t>903-758-0902</t>
  </si>
  <si>
    <t>32.494032,-94.728322</t>
  </si>
  <si>
    <t>LVW Ticket Office 800-669-8509 From AR., LA., TX.</t>
  </si>
  <si>
    <t>LVWL</t>
  </si>
  <si>
    <t>JGH</t>
  </si>
  <si>
    <t>LWA</t>
  </si>
  <si>
    <t>Leavenworth (Trains), Washington</t>
  </si>
  <si>
    <t xml:space="preserve">11645 North Road </t>
  </si>
  <si>
    <t>Icicle Station</t>
  </si>
  <si>
    <t>47.605235,-120.641038</t>
  </si>
  <si>
    <t>Seattla, WA</t>
  </si>
  <si>
    <t>LWN</t>
  </si>
  <si>
    <t>Lewiston, Idaho</t>
  </si>
  <si>
    <t>1920 Highway 128</t>
  </si>
  <si>
    <t>Shell Dyna Mart</t>
  </si>
  <si>
    <t>Lewiston</t>
  </si>
  <si>
    <t>208-746-8108</t>
  </si>
  <si>
    <t>Northwestern Trlways</t>
  </si>
  <si>
    <t>46.426931,-117.005923</t>
  </si>
  <si>
    <t>unstaffed bus stop at Sportsman Inn</t>
  </si>
  <si>
    <t>LYH</t>
  </si>
  <si>
    <t>Lynchburg, Virginia</t>
  </si>
  <si>
    <t>825 Kemper Street</t>
  </si>
  <si>
    <t>Amtrak is below street level at track level</t>
  </si>
  <si>
    <t>Lynchburg</t>
  </si>
  <si>
    <t>434-847-8247</t>
  </si>
  <si>
    <t>37.406439,-79.156934</t>
  </si>
  <si>
    <t>Greyhound located in same building on upper level.</t>
  </si>
  <si>
    <t>LYHL</t>
  </si>
  <si>
    <t>MAC</t>
  </si>
  <si>
    <t>Macomb, Illinois</t>
  </si>
  <si>
    <t>120 East Calhoun Street</t>
  </si>
  <si>
    <t>Macomb</t>
  </si>
  <si>
    <t>40.461212,-90.670940</t>
  </si>
  <si>
    <t>See Miscellaneous for travel agency on site</t>
  </si>
  <si>
    <t>No Amtrak personnel.  See "Miscellaneous" for travel agency</t>
  </si>
  <si>
    <t>MAK</t>
  </si>
  <si>
    <t>Mackinaw City, Michigan</t>
  </si>
  <si>
    <t>102 South Huron Ave.</t>
  </si>
  <si>
    <t>Village Hall</t>
  </si>
  <si>
    <t>Mackinaw City</t>
  </si>
  <si>
    <t>45.781335,-84.725770</t>
  </si>
  <si>
    <t>Pick up at Mackinaw City Hall</t>
  </si>
  <si>
    <t>MS7</t>
  </si>
  <si>
    <t>MSPL</t>
  </si>
  <si>
    <t>MAL</t>
  </si>
  <si>
    <t>Malta, Montana</t>
  </si>
  <si>
    <t>51 South 1st Street East</t>
  </si>
  <si>
    <t>Malta</t>
  </si>
  <si>
    <t>48.360477,-107.872242</t>
  </si>
  <si>
    <t>MAR</t>
  </si>
  <si>
    <t>Marceline, Missouri</t>
  </si>
  <si>
    <t>Marceline</t>
  </si>
  <si>
    <t>39.715998,-92.947702</t>
  </si>
  <si>
    <t>Superintendent, Passenger Service</t>
  </si>
  <si>
    <t>MAT</t>
  </si>
  <si>
    <t>Mattoon, Illinois</t>
  </si>
  <si>
    <t>1718 Broadway Avenue</t>
  </si>
  <si>
    <t>Mattoon</t>
  </si>
  <si>
    <t>39.482730,-88.376045</t>
  </si>
  <si>
    <t>we now have functioning elevator and wheelchair lift!</t>
  </si>
  <si>
    <t>Minneapolis, MN 55114</t>
  </si>
  <si>
    <t>MAY</t>
  </si>
  <si>
    <t>Maysville,  Kentucky</t>
  </si>
  <si>
    <t>West Front Street &amp; Rosemary Clooney Street</t>
  </si>
  <si>
    <t>Maysville</t>
  </si>
  <si>
    <t>38.652148,-83.771074</t>
  </si>
  <si>
    <t>MCA</t>
  </si>
  <si>
    <t>McCall, Idaho</t>
  </si>
  <si>
    <t>507 N 3rd Street</t>
  </si>
  <si>
    <t xml:space="preserve">Old Town Shell Station </t>
  </si>
  <si>
    <t>McCall</t>
  </si>
  <si>
    <t>44.899158,-116.096803</t>
  </si>
  <si>
    <t>unstaffed bus stop at Bill's Grocery Store</t>
  </si>
  <si>
    <t>MCB</t>
  </si>
  <si>
    <t>McComb, Mississippi</t>
  </si>
  <si>
    <t>114 Northeast Railroad Avenue</t>
  </si>
  <si>
    <t>McComb</t>
  </si>
  <si>
    <t>31.244467,-90.451334</t>
  </si>
  <si>
    <t>MIAL</t>
  </si>
  <si>
    <t>CHW</t>
  </si>
  <si>
    <t>Charleston, West Virginia</t>
  </si>
  <si>
    <t>350 MacCorkle Avenue - Southeast</t>
  </si>
  <si>
    <t>(adjacent to South Side Bridge)</t>
  </si>
  <si>
    <t>Charleston</t>
  </si>
  <si>
    <t>304-342-6766</t>
  </si>
  <si>
    <t>38.346368,-81.638494</t>
  </si>
  <si>
    <t>Amtrak on 1st floor of 2-story building / track side entranc</t>
  </si>
  <si>
    <t>chw</t>
  </si>
  <si>
    <t>chwl</t>
  </si>
  <si>
    <t>Richmond, VA</t>
  </si>
  <si>
    <t>CIC</t>
  </si>
  <si>
    <t>Chico, California</t>
  </si>
  <si>
    <t>450 Orange Street</t>
  </si>
  <si>
    <t>West 5th and Orange Streets</t>
  </si>
  <si>
    <t>Chico</t>
  </si>
  <si>
    <t>39.723259,-121.845861</t>
  </si>
  <si>
    <t>Limited waiting room hours.  Greyhound shares the facility.</t>
  </si>
  <si>
    <t>Sacramento CA</t>
  </si>
  <si>
    <t>CIN</t>
  </si>
  <si>
    <t>Cincinnati, Ohio</t>
  </si>
  <si>
    <t>1301 Western Avenue</t>
  </si>
  <si>
    <t>Cincinnati Union Terminal</t>
  </si>
  <si>
    <t>Cincinnati</t>
  </si>
  <si>
    <t>513-651-3337</t>
  </si>
  <si>
    <t>CIX</t>
  </si>
  <si>
    <t>39.109927,-84.537061</t>
  </si>
  <si>
    <t>CINL</t>
  </si>
  <si>
    <t>CLA</t>
  </si>
  <si>
    <t>Claremont, New Hampshire</t>
  </si>
  <si>
    <t>Plains Road and Maple Avenue</t>
  </si>
  <si>
    <t>Claremont</t>
  </si>
  <si>
    <t>43.368330,-72.377644</t>
  </si>
  <si>
    <t>platform only no shelter available</t>
  </si>
  <si>
    <t>Unstaffed stop/// pay phone on bike shop</t>
  </si>
  <si>
    <t>CLB</t>
  </si>
  <si>
    <t>Columbia, South Carolina</t>
  </si>
  <si>
    <t>850 Pulaski Street</t>
  </si>
  <si>
    <t>Columbia</t>
  </si>
  <si>
    <t>803-252-8246</t>
  </si>
  <si>
    <t>33.994297,-81.040490</t>
  </si>
  <si>
    <t>CLBL</t>
  </si>
  <si>
    <t>1688 Peachtree Street , NW Atlanta, Ga. 30309</t>
  </si>
  <si>
    <t>M0E7</t>
  </si>
  <si>
    <t>CLC</t>
  </si>
  <si>
    <t>Cadillac, Michigan</t>
  </si>
  <si>
    <t>951 Casa Road</t>
  </si>
  <si>
    <t>Wexford Transit Office</t>
  </si>
  <si>
    <t>Cadillac</t>
  </si>
  <si>
    <t>800-231-2222</t>
  </si>
  <si>
    <t>44.270402,-85.389748</t>
  </si>
  <si>
    <t>Amtrak Thruway bus stop</t>
  </si>
  <si>
    <t>CLE</t>
  </si>
  <si>
    <t>Cleveland, Ohio</t>
  </si>
  <si>
    <t>200 Cleveland Memorial Shoreway</t>
  </si>
  <si>
    <t>Cleveland</t>
  </si>
  <si>
    <t>216-696-5115</t>
  </si>
  <si>
    <t>CLX</t>
  </si>
  <si>
    <t>41.505787,-81.696172</t>
  </si>
  <si>
    <t>CLEL</t>
  </si>
  <si>
    <t>CLF</t>
  </si>
  <si>
    <t>Clifton Forge, Virginia</t>
  </si>
  <si>
    <t>307 East Ridgeway Street</t>
  </si>
  <si>
    <t>CSX Office Building</t>
  </si>
  <si>
    <t>Clifton Forge</t>
  </si>
  <si>
    <t>37.814521,-79.827363</t>
  </si>
  <si>
    <t>Unstaffed</t>
  </si>
  <si>
    <t>CLK</t>
  </si>
  <si>
    <t>Crater Lake, Oregon</t>
  </si>
  <si>
    <t>Rim Drive</t>
  </si>
  <si>
    <t>Community House at Rim Village</t>
  </si>
  <si>
    <t>Crater Lake</t>
  </si>
  <si>
    <t>42.910901,-122.145006</t>
  </si>
  <si>
    <t>Seasonal service from late spring until early fall</t>
  </si>
  <si>
    <t>CLM</t>
  </si>
  <si>
    <t>Claremont, California</t>
  </si>
  <si>
    <t>200 West First Street</t>
  </si>
  <si>
    <t>Metrolink Station</t>
  </si>
  <si>
    <t>34.094469,-117.716857</t>
  </si>
  <si>
    <t>CLN</t>
  </si>
  <si>
    <t>Clinton, Connecticut</t>
  </si>
  <si>
    <t>10 John Street Extension</t>
  </si>
  <si>
    <t>Clinton</t>
  </si>
  <si>
    <t>CLP</t>
  </si>
  <si>
    <t>Culpeper, Virginia</t>
  </si>
  <si>
    <t>109 South Commerce Street</t>
  </si>
  <si>
    <t>Culpeper</t>
  </si>
  <si>
    <t>38.472360,-77.993421</t>
  </si>
  <si>
    <t>Station is Tourism center station open for some departures</t>
  </si>
  <si>
    <t>unstaffed station</t>
  </si>
  <si>
    <t>CLT</t>
  </si>
  <si>
    <t>Charlotte, North Carolina</t>
  </si>
  <si>
    <t>1914 North Tryon Street</t>
  </si>
  <si>
    <t>Charlotte</t>
  </si>
  <si>
    <t>704-378-3762</t>
  </si>
  <si>
    <t>35.241403,-80.822812</t>
  </si>
  <si>
    <t>Passenger Check-in Is One Hour Before Train Departure</t>
  </si>
  <si>
    <t>CLTL</t>
  </si>
  <si>
    <t>400 South West Street, Raleigh NC 27601</t>
  </si>
  <si>
    <t>CLV</t>
  </si>
  <si>
    <t>Cloverdale, California</t>
  </si>
  <si>
    <t>Citrus Fair Road and Asti Road</t>
  </si>
  <si>
    <t>Cloverdale Depot  Park-N-Ride Lot</t>
  </si>
  <si>
    <t>Cloverdale</t>
  </si>
  <si>
    <t>38.798399,-123.011511</t>
  </si>
  <si>
    <t>CML</t>
  </si>
  <si>
    <t>Camarillo, California</t>
  </si>
  <si>
    <t>30 Lewis Road</t>
  </si>
  <si>
    <t>Camarillo</t>
  </si>
  <si>
    <t>34.215933,-119.034114</t>
  </si>
  <si>
    <t>CMO</t>
  </si>
  <si>
    <t>Chemult, Oregon</t>
  </si>
  <si>
    <t>Palmer/Kranz Street and Depot Street</t>
  </si>
  <si>
    <t>Off Highway 97, center of town</t>
  </si>
  <si>
    <t>Chemult</t>
  </si>
  <si>
    <t>43.216784,-121.781594</t>
  </si>
  <si>
    <t>CNH</t>
  </si>
  <si>
    <t>Concord, New Hampshire</t>
  </si>
  <si>
    <t>30 Stickney Avenue</t>
  </si>
  <si>
    <t>Concord Transportation Center</t>
  </si>
  <si>
    <t>Concord</t>
  </si>
  <si>
    <t>43.212748,-71.534677</t>
  </si>
  <si>
    <t>For more infomation, see "Thruway Service"</t>
  </si>
  <si>
    <t>various</t>
  </si>
  <si>
    <t>CNL</t>
  </si>
  <si>
    <t>Colonel Allensworth Park, California</t>
  </si>
  <si>
    <t>4011 Grant Drive</t>
  </si>
  <si>
    <t>Stop for prearranged groups only</t>
  </si>
  <si>
    <t>Earlimart</t>
  </si>
  <si>
    <t>35.864338,-119.385865</t>
  </si>
  <si>
    <t>Stop for prearranged groups only.</t>
  </si>
  <si>
    <t>Hanford, California</t>
  </si>
  <si>
    <t>Oakland, California</t>
  </si>
  <si>
    <t>CNV</t>
  </si>
  <si>
    <t>Castleton, Vermont</t>
  </si>
  <si>
    <t>266 Main Street</t>
  </si>
  <si>
    <t>Castleton</t>
  </si>
  <si>
    <t>43.613382,-73.171337</t>
  </si>
  <si>
    <t>Service begins January 2, 2010</t>
  </si>
  <si>
    <t>Caretaker phone answered only when station open</t>
  </si>
  <si>
    <t>DISTRICT SUPERINTENDENT EMPIRE SERVICE</t>
  </si>
  <si>
    <t>ALBANY-RENSSELAER NY</t>
  </si>
  <si>
    <t>COC</t>
  </si>
  <si>
    <t>Corcoran, California</t>
  </si>
  <si>
    <t>1099 Otis Avenue</t>
  </si>
  <si>
    <t>Otis and Whitley Avenues</t>
  </si>
  <si>
    <t>Corcoran</t>
  </si>
  <si>
    <t>36.098516,-119.557050</t>
  </si>
  <si>
    <t>COI</t>
  </si>
  <si>
    <t>Connersville, Indiana</t>
  </si>
  <si>
    <t>1012 Eastern Avenue</t>
  </si>
  <si>
    <t>Connersville</t>
  </si>
  <si>
    <t>IN</t>
  </si>
  <si>
    <t>39.645969,-85.133380</t>
  </si>
  <si>
    <t>COS</t>
  </si>
  <si>
    <t>Colorado Springs, Colorado</t>
  </si>
  <si>
    <t>120 South Weber Street</t>
  </si>
  <si>
    <t>Colorado Springs</t>
  </si>
  <si>
    <t>CO</t>
  </si>
  <si>
    <t>719-635-1505</t>
  </si>
  <si>
    <t>Greyhound</t>
  </si>
  <si>
    <t>38.831613,-104.820170</t>
  </si>
  <si>
    <t>Non-Amtrak staffed bus depot</t>
  </si>
  <si>
    <t>Manager Intermodal Service</t>
  </si>
  <si>
    <t>Acting Supt  Passenger Service</t>
  </si>
  <si>
    <t>COT</t>
  </si>
  <si>
    <t>Coatesville, Pennsylvania</t>
  </si>
  <si>
    <t>Third Avenue and Fleetwood Street</t>
  </si>
  <si>
    <t>Coatesville</t>
  </si>
  <si>
    <t>39.985688,-75.820929</t>
  </si>
  <si>
    <t>Harrisburg, Pennsylvania</t>
  </si>
  <si>
    <t>HA7</t>
  </si>
  <si>
    <t>HARL</t>
  </si>
  <si>
    <t>COV</t>
  </si>
  <si>
    <t>Connellsville, Pennsylvania</t>
  </si>
  <si>
    <t>North Water Street &amp; West Peach Street</t>
  </si>
  <si>
    <t>Connellsville</t>
  </si>
  <si>
    <t>40.020282,-79.592813</t>
  </si>
  <si>
    <t>COX</t>
  </si>
  <si>
    <t>Colfax, California</t>
  </si>
  <si>
    <t>99 Railroad Street at Church Street</t>
  </si>
  <si>
    <t>39.098874,-120.952913</t>
  </si>
  <si>
    <t>EM7</t>
  </si>
  <si>
    <t>SOA6</t>
  </si>
  <si>
    <t>Asst. Superintendent of Passenger Services</t>
  </si>
  <si>
    <t>CPK</t>
  </si>
  <si>
    <t>College Park, Maryland</t>
  </si>
  <si>
    <t>7202 Bowdoin Avenue</t>
  </si>
  <si>
    <t>College Park</t>
  </si>
  <si>
    <t>CPN</t>
  </si>
  <si>
    <t>Carpinteria, California</t>
  </si>
  <si>
    <t>Concord trailways contract agent - no Amtrak sales</t>
  </si>
  <si>
    <t>CEN</t>
  </si>
  <si>
    <t>Centralia, Illinois</t>
  </si>
  <si>
    <t>110 South Oak St.</t>
  </si>
  <si>
    <t>at Broadway</t>
  </si>
  <si>
    <t>Centralia</t>
  </si>
  <si>
    <t>38.527531,-89.136118</t>
  </si>
  <si>
    <t>ST. LOUIS MISSOURI</t>
  </si>
  <si>
    <t>CER</t>
  </si>
  <si>
    <t>37.022471,-120.074980</t>
  </si>
  <si>
    <t>Stop moved to 18770 Road 26 on November 8, 2010.</t>
  </si>
  <si>
    <t>OK7</t>
  </si>
  <si>
    <t>MDS</t>
  </si>
  <si>
    <t>Madison, Connecticut</t>
  </si>
  <si>
    <t>79 Bradley Road</t>
  </si>
  <si>
    <t>Madison</t>
  </si>
  <si>
    <t>MDT</t>
  </si>
  <si>
    <t>Mendota, Illinois</t>
  </si>
  <si>
    <t>783 Main Street</t>
  </si>
  <si>
    <t>Mendota</t>
  </si>
  <si>
    <t>41.549584,-89.117920</t>
  </si>
  <si>
    <t>MEE</t>
  </si>
  <si>
    <t>Monroe (Eastbound), Washington</t>
  </si>
  <si>
    <t>19746 US Highway 2</t>
  </si>
  <si>
    <t>Grocery Outlet/Community Transit Stop</t>
  </si>
  <si>
    <t>Monroe</t>
  </si>
  <si>
    <t>MEX</t>
  </si>
  <si>
    <t>47.858216,-121.966252</t>
  </si>
  <si>
    <t>Westbound buses - see MEW</t>
  </si>
  <si>
    <t>MEI</t>
  </si>
  <si>
    <t>Meridian, Mississippi</t>
  </si>
  <si>
    <t>1901 Front Street</t>
  </si>
  <si>
    <t>Meridian</t>
  </si>
  <si>
    <t>601-693-6471</t>
  </si>
  <si>
    <t>32.364166,-88.696568</t>
  </si>
  <si>
    <t>Waiting room open 24 hrs.  Greyhound, city bus use station.</t>
  </si>
  <si>
    <t>MEIL</t>
  </si>
  <si>
    <t>1001 Loyola Ave., New Orleans, La. 70113</t>
  </si>
  <si>
    <t>MEM</t>
  </si>
  <si>
    <t>Memphis, Tennessee</t>
  </si>
  <si>
    <t>Central Station</t>
  </si>
  <si>
    <t>545 South Main Street</t>
  </si>
  <si>
    <t>Memphis</t>
  </si>
  <si>
    <t>TN</t>
  </si>
  <si>
    <t>901-526-0052</t>
  </si>
  <si>
    <t>35.132458,-90.059109</t>
  </si>
  <si>
    <t>one employee on duty - no red cap assistance available</t>
  </si>
  <si>
    <t>MEML</t>
  </si>
  <si>
    <t>MET</t>
  </si>
  <si>
    <t>Metropark (Iselin), New Jersey</t>
  </si>
  <si>
    <t>100 Middlesex-Essex Turnpike</t>
  </si>
  <si>
    <t>Iselin</t>
  </si>
  <si>
    <t>NJ Transit</t>
  </si>
  <si>
    <t>40.568056,-74.329583</t>
  </si>
  <si>
    <t>METL</t>
  </si>
  <si>
    <t>Newark, New Jersey</t>
  </si>
  <si>
    <t>Superintendant  Customer Services</t>
  </si>
  <si>
    <t>MEW</t>
  </si>
  <si>
    <t>Monroe (Westbound), Washington</t>
  </si>
  <si>
    <t>19721 US Highway 2</t>
  </si>
  <si>
    <t>Shell Station/Red Barn Store/Community Transit</t>
  </si>
  <si>
    <t>47.858463,-121.966193</t>
  </si>
  <si>
    <t>Eastbound buses - see MEE</t>
  </si>
  <si>
    <t>See Attractions for Chamber of Commerce contact</t>
  </si>
  <si>
    <t>MFR</t>
  </si>
  <si>
    <t>Medford, Oregon</t>
  </si>
  <si>
    <t>200 S. Front Street</t>
  </si>
  <si>
    <t>Rogue Valley Transit Center</t>
  </si>
  <si>
    <t>Medford</t>
  </si>
  <si>
    <t>RVTD, Greyhound</t>
  </si>
  <si>
    <t>42.324198,-122.871538</t>
  </si>
  <si>
    <t>For more information see Thruway Service</t>
  </si>
  <si>
    <t>MGP</t>
  </si>
  <si>
    <t>Mangonia Park, Florida</t>
  </si>
  <si>
    <t>1415 45th Street</t>
  </si>
  <si>
    <t>Tri-Rail Station</t>
  </si>
  <si>
    <t>West Palm Beach</t>
  </si>
  <si>
    <t>26.758303,-80.076508</t>
  </si>
  <si>
    <t>Special stop only for West Palm Beach Safety Patrol trains</t>
  </si>
  <si>
    <t>MHC</t>
  </si>
  <si>
    <t>Morgan Hill, California</t>
  </si>
  <si>
    <t>17300 Depot Street</t>
  </si>
  <si>
    <t>Morgan Hill</t>
  </si>
  <si>
    <t>37.130085,-121.650004</t>
  </si>
  <si>
    <t>MHL</t>
  </si>
  <si>
    <t>Marshall, Texas</t>
  </si>
  <si>
    <t>800 North Washington Street</t>
  </si>
  <si>
    <t>Suite 2</t>
  </si>
  <si>
    <t>Marshall</t>
  </si>
  <si>
    <t>903-927-2442</t>
  </si>
  <si>
    <t>32.551549,-94.366995</t>
  </si>
  <si>
    <t>P789</t>
  </si>
  <si>
    <t>MHT</t>
  </si>
  <si>
    <t>Manchester, New Hampshire</t>
  </si>
  <si>
    <t>119 Canal Street</t>
  </si>
  <si>
    <t>Manchester Transportation Center</t>
  </si>
  <si>
    <t>Manchester</t>
  </si>
  <si>
    <t>Boston Coach</t>
  </si>
  <si>
    <t>42.986893,-71.466051</t>
  </si>
  <si>
    <t>MIA</t>
  </si>
  <si>
    <t>Miami, Florida</t>
  </si>
  <si>
    <t>8303 NW 37th Avenue</t>
  </si>
  <si>
    <t>Miami</t>
  </si>
  <si>
    <t>305-835-1223</t>
  </si>
  <si>
    <t>25.849554,-80.257759</t>
  </si>
  <si>
    <t>District Manager Station</t>
  </si>
  <si>
    <t>Miami, Fla</t>
  </si>
  <si>
    <t>Assit Superintendent - Passenger Services</t>
  </si>
  <si>
    <t>MID</t>
  </si>
  <si>
    <t>Middletown, Pennsylvania</t>
  </si>
  <si>
    <t>Union Street and Mill Street</t>
  </si>
  <si>
    <t>Middletown</t>
  </si>
  <si>
    <t>40.192569,-76.730943</t>
  </si>
  <si>
    <t>Harrrisburg PA</t>
  </si>
  <si>
    <t>MIN</t>
  </si>
  <si>
    <t>Mineola, Texas</t>
  </si>
  <si>
    <t>115 East Front Street</t>
  </si>
  <si>
    <t>Mineola</t>
  </si>
  <si>
    <t>32.662049,-95.489100</t>
  </si>
  <si>
    <t>MJY</t>
  </si>
  <si>
    <t>Mount Joy, Pennsylvania</t>
  </si>
  <si>
    <t>East Henry Street and North Market Street</t>
  </si>
  <si>
    <t>Mount Joy</t>
  </si>
  <si>
    <t>40.108960,-76.502641</t>
  </si>
  <si>
    <t>MKA</t>
  </si>
  <si>
    <t>Milwaukee (General Mitchell Intl Airport), Wisconsin</t>
  </si>
  <si>
    <t>5601 South 6th Street</t>
  </si>
  <si>
    <t>(South 6th Street &amp; Airport Spur Freeway)</t>
  </si>
  <si>
    <t>Milwaukee</t>
  </si>
  <si>
    <t>42.940583,-87.924359</t>
  </si>
  <si>
    <t>475 Linden Avenue</t>
  </si>
  <si>
    <t>at Fifth Street</t>
  </si>
  <si>
    <t>Carpinteria</t>
  </si>
  <si>
    <t>34.396780,-119.522975</t>
  </si>
  <si>
    <t>CRC</t>
  </si>
  <si>
    <t>Crescent City, California</t>
  </si>
  <si>
    <t xml:space="preserve">1001 Front Street   </t>
  </si>
  <si>
    <t>RCT Bus Stop at Cultural Center</t>
  </si>
  <si>
    <t>Crescent City</t>
  </si>
  <si>
    <t>41.752373,-124.193475</t>
  </si>
  <si>
    <t>CRF</t>
  </si>
  <si>
    <t>Crawfordsville, Indiana</t>
  </si>
  <si>
    <t>400 North Green Street</t>
  </si>
  <si>
    <t>Crawfordsville</t>
  </si>
  <si>
    <t>CRX</t>
  </si>
  <si>
    <t>40.044705,-86.899187</t>
  </si>
  <si>
    <t>CRH</t>
  </si>
  <si>
    <t>Cherry Hill, New Jersey</t>
  </si>
  <si>
    <t>Cornell Avenue &amp; West Marlton Pike</t>
  </si>
  <si>
    <t>Cherry Hill</t>
  </si>
  <si>
    <t>39.928946,-75.041824</t>
  </si>
  <si>
    <t>CRM</t>
  </si>
  <si>
    <t>Carmel, California</t>
  </si>
  <si>
    <t>3645 Rio Road</t>
  </si>
  <si>
    <t>at Chevron Station</t>
  </si>
  <si>
    <t>Carmel</t>
  </si>
  <si>
    <t>36.539400,-121.909263</t>
  </si>
  <si>
    <t>Unstaffed Stop - No Amtrak Services</t>
  </si>
  <si>
    <t>200 SANTA FE AVE. #A, HANFORD, CA.  93230</t>
  </si>
  <si>
    <t>CRN</t>
  </si>
  <si>
    <t>Creston, Iowa</t>
  </si>
  <si>
    <t>Pine and Adams Avenue</t>
  </si>
  <si>
    <t>Creston</t>
  </si>
  <si>
    <t>41.056920,-94.361617</t>
  </si>
  <si>
    <t>CRT</t>
  </si>
  <si>
    <t>Croton Harmon, New York</t>
  </si>
  <si>
    <t>1 Croton Point Avenue</t>
  </si>
  <si>
    <t>Croton-on-Hudson</t>
  </si>
  <si>
    <t>914-271-1594</t>
  </si>
  <si>
    <t>Metro-North Railroad</t>
  </si>
  <si>
    <t>41.189903,-73.882394</t>
  </si>
  <si>
    <t>Metro-North Station</t>
  </si>
  <si>
    <t>Cathy Ryan-Station Manager</t>
  </si>
  <si>
    <t>PENN STATION/NEW YORK</t>
  </si>
  <si>
    <t>Q/7</t>
  </si>
  <si>
    <t>P431</t>
  </si>
  <si>
    <t>SUPERINTENDENT - PASSENGER SERVICES</t>
  </si>
  <si>
    <t>NEW YORK, NY</t>
  </si>
  <si>
    <t>P432</t>
  </si>
  <si>
    <t>CRV</t>
  </si>
  <si>
    <t>Carlinville, Illinois</t>
  </si>
  <si>
    <t>128 Alton Road</t>
  </si>
  <si>
    <t>Carlinville</t>
  </si>
  <si>
    <t>39.279295,-89.889276</t>
  </si>
  <si>
    <t>CRY</t>
  </si>
  <si>
    <t>Carry-on Charge</t>
  </si>
  <si>
    <t>City code to allow collection of carry-on item charges.</t>
  </si>
  <si>
    <t>CSN</t>
  </si>
  <si>
    <t>Clemson, South Carolina</t>
  </si>
  <si>
    <t>Calhoun Memorial Highway and College Avenue</t>
  </si>
  <si>
    <t>Clemson</t>
  </si>
  <si>
    <t>34.691115,-82.832501</t>
  </si>
  <si>
    <t>unstaffed station - Custodian Only</t>
  </si>
  <si>
    <t>Unstaffed Station - Custodian Only</t>
  </si>
  <si>
    <t>Suite 499, 1718 Peachtreet St NW Alanta, GA 30309</t>
  </si>
  <si>
    <t>CTL</t>
  </si>
  <si>
    <t>Centralia, Washington</t>
  </si>
  <si>
    <t>210 Railroad Avenue</t>
  </si>
  <si>
    <t>360-736-8653</t>
  </si>
  <si>
    <t>46.717470,-122.953062</t>
  </si>
  <si>
    <t>No checked baggage on Tr 14, station closed for this arrival</t>
  </si>
  <si>
    <t>CTLL</t>
  </si>
  <si>
    <t>Seattle, WA (At Holgate St. facitlity)</t>
  </si>
  <si>
    <t>CUA</t>
  </si>
  <si>
    <t>Cumberland (Allegany College), Maryland</t>
  </si>
  <si>
    <t>12401 Willowbrook Road SE</t>
  </si>
  <si>
    <t>Allegany College Ctr for Continuing Education</t>
  </si>
  <si>
    <t>Cumberland</t>
  </si>
  <si>
    <t>CUX</t>
  </si>
  <si>
    <t>39.650452,-78.730438</t>
  </si>
  <si>
    <t>CUM</t>
  </si>
  <si>
    <t>Cumberland (Amtrak Station), Maryland</t>
  </si>
  <si>
    <t>201 East Harrison Street</t>
  </si>
  <si>
    <t>39.650628,-78.758000</t>
  </si>
  <si>
    <t>Pittsburgh, Pi.</t>
  </si>
  <si>
    <t>CUT</t>
  </si>
  <si>
    <t>Cut Bank, Montana</t>
  </si>
  <si>
    <t>101 BNSF Industrial Site</t>
  </si>
  <si>
    <t>Off Central Avenue/Highway 213</t>
  </si>
  <si>
    <t>Cut Bank</t>
  </si>
  <si>
    <t>48.638364,-112.331584</t>
  </si>
  <si>
    <t>CVD</t>
  </si>
  <si>
    <t>Camp Verde, Arizona</t>
  </si>
  <si>
    <t>365 North Goswick</t>
  </si>
  <si>
    <t>Burger King # 7165</t>
  </si>
  <si>
    <t>Camp Verde</t>
  </si>
  <si>
    <t>928-567-4388</t>
  </si>
  <si>
    <t>34.574530,-111.882742</t>
  </si>
  <si>
    <t>Non-Amtrak staffed bus stop</t>
  </si>
  <si>
    <t>CVI</t>
  </si>
  <si>
    <t>895 rue de la Gauchetiere ouest</t>
  </si>
  <si>
    <t>Gare Centrale</t>
  </si>
  <si>
    <t>Montreal</t>
  </si>
  <si>
    <t>QC</t>
  </si>
  <si>
    <t>514-989-2626</t>
  </si>
  <si>
    <t>YMY</t>
  </si>
  <si>
    <t>VIAnet:  MTRL</t>
  </si>
  <si>
    <t>45.500169,-73.565767</t>
  </si>
  <si>
    <t>Ticketing:    OCC/VIA/P33</t>
  </si>
  <si>
    <t>MTRL</t>
  </si>
  <si>
    <t>Manager, Customer Services</t>
  </si>
  <si>
    <t>Montreal Central Station</t>
  </si>
  <si>
    <t>MTZ</t>
  </si>
  <si>
    <t>Martinez, California</t>
  </si>
  <si>
    <t>601 Marina Vista Avenue</t>
  </si>
  <si>
    <t>Martinez</t>
  </si>
  <si>
    <t>925-335-5180</t>
  </si>
  <si>
    <t>38.018921,-122.138784</t>
  </si>
  <si>
    <t>Saturday-Sunday hours apply on weekday holidays.</t>
  </si>
  <si>
    <t>MTZL</t>
  </si>
  <si>
    <t>MUK</t>
  </si>
  <si>
    <t>Muirkirk, Maryland</t>
  </si>
  <si>
    <t>7012-B Muirkirk Road</t>
  </si>
  <si>
    <t>Beltsville</t>
  </si>
  <si>
    <t>MVN</t>
  </si>
  <si>
    <t>Malvern, Arkansas</t>
  </si>
  <si>
    <t>200 East First Street</t>
  </si>
  <si>
    <t>Malvern</t>
  </si>
  <si>
    <t>34.365484,-92.814018</t>
  </si>
  <si>
    <t>Pay phone serves as paging phone.</t>
  </si>
  <si>
    <t>MVW</t>
  </si>
  <si>
    <t>Mount Vernon, Washington</t>
  </si>
  <si>
    <t>105 East Kincaid Street</t>
  </si>
  <si>
    <t>Skagit Transportation Center</t>
  </si>
  <si>
    <t>(NO Amtrak staff)</t>
  </si>
  <si>
    <t>Mount Vernon</t>
  </si>
  <si>
    <t>48.418470,-122.334738</t>
  </si>
  <si>
    <t>MWI</t>
  </si>
  <si>
    <t>Marinette, Wisconsin</t>
  </si>
  <si>
    <t>W1390 Old Peshtigo Road</t>
  </si>
  <si>
    <t>Shell Station/Taco Bell</t>
  </si>
  <si>
    <t>Marinette</t>
  </si>
  <si>
    <t>45.079497,-87.664782</t>
  </si>
  <si>
    <t>MYA</t>
  </si>
  <si>
    <t>Monterey (Aquarium), California</t>
  </si>
  <si>
    <t>886 Cannery Row</t>
  </si>
  <si>
    <t xml:space="preserve">Monterey Bay Aquarium </t>
  </si>
  <si>
    <t>36.617680,-121.901640</t>
  </si>
  <si>
    <t>ASST SUPT - PASSENGER SVCS</t>
  </si>
  <si>
    <t>MYH</t>
  </si>
  <si>
    <t>Monterey (Hyatt Regency), California</t>
  </si>
  <si>
    <t>1 Old Golf Course Road</t>
  </si>
  <si>
    <t>Hyatt Regency Hotel</t>
  </si>
  <si>
    <t>36.593107,-121.875798</t>
  </si>
  <si>
    <t>MYM</t>
  </si>
  <si>
    <t>Monterey (Marriott), California</t>
  </si>
  <si>
    <t>350 Calle Principal</t>
  </si>
  <si>
    <t>Marriott Hotel</t>
  </si>
  <si>
    <t>36.600361,-121.894992</t>
  </si>
  <si>
    <t>MYS</t>
  </si>
  <si>
    <t>Mystic, Connecticut</t>
  </si>
  <si>
    <t>2 Roosevelt Avenue</t>
  </si>
  <si>
    <t>U.S.Route 1</t>
  </si>
  <si>
    <t>Mystic</t>
  </si>
  <si>
    <t>41.350934,-71.963093</t>
  </si>
  <si>
    <t>Assistant Manager Of Stations</t>
  </si>
  <si>
    <t>MYT</t>
  </si>
  <si>
    <t>Monterey (Travelodge), California</t>
  </si>
  <si>
    <t>675 Munras Street</t>
  </si>
  <si>
    <t>Casa Munras Garden Hotel</t>
  </si>
  <si>
    <t>36.595379,-121.892522</t>
  </si>
  <si>
    <t>NAM</t>
  </si>
  <si>
    <t>Nampa, Idaho</t>
  </si>
  <si>
    <t>3116 Garrity Blvd, Suite 7</t>
  </si>
  <si>
    <t>Mail, Express &amp; Maps Store</t>
  </si>
  <si>
    <t>Nampa</t>
  </si>
  <si>
    <t>208-468-8910</t>
  </si>
  <si>
    <t>43.587422,-116.532790</t>
  </si>
  <si>
    <t>NAP</t>
  </si>
  <si>
    <t>Napa (VINE Transit Center), California</t>
  </si>
  <si>
    <t>1151 Pearl St.</t>
  </si>
  <si>
    <t>Napa</t>
  </si>
  <si>
    <t>NPX</t>
  </si>
  <si>
    <t>38.300086,-122.287359</t>
  </si>
  <si>
    <t>NBK</t>
  </si>
  <si>
    <t>New Brunswick, New Jersey</t>
  </si>
  <si>
    <t>French and Albany Streets</t>
  </si>
  <si>
    <t>New Brunswick</t>
  </si>
  <si>
    <t>40.496522,-74.446265</t>
  </si>
  <si>
    <t>NBKL</t>
  </si>
  <si>
    <t>District Manager  Customer Service</t>
  </si>
  <si>
    <t>Superintendent - Customer Services</t>
  </si>
  <si>
    <t>NBN</t>
  </si>
  <si>
    <t>Newbern-Dyersburg, Tennessee</t>
  </si>
  <si>
    <t>108 Jefferson St</t>
  </si>
  <si>
    <t>Newbern</t>
  </si>
  <si>
    <t>36.112711,-89.262264</t>
  </si>
  <si>
    <t>Assistant Superintendent - Passenger Services - Central Div</t>
  </si>
  <si>
    <t>NBT</t>
  </si>
  <si>
    <t>Newburyport, Massachusetts</t>
  </si>
  <si>
    <t>90 Storey Avenue</t>
  </si>
  <si>
    <t>Newburyport</t>
  </si>
  <si>
    <t>603-430-1100</t>
  </si>
  <si>
    <t>C&amp;J Trailways</t>
  </si>
  <si>
    <t>42.819073,-70.913722</t>
  </si>
  <si>
    <t>NBU</t>
  </si>
  <si>
    <t>New Buffalo, Michigan</t>
  </si>
  <si>
    <t>226 North Whittaker Street</t>
  </si>
  <si>
    <t>New Buffalo</t>
  </si>
  <si>
    <t>41.796656,-86.745782</t>
  </si>
  <si>
    <t>Toledo, Ohio</t>
  </si>
  <si>
    <t>NCG</t>
  </si>
  <si>
    <t>Nacogdoches, Texas</t>
  </si>
  <si>
    <t>9855 US Highway 259 North</t>
  </si>
  <si>
    <t>Exxon Gas Station</t>
  </si>
  <si>
    <t>Nacogdoches</t>
  </si>
  <si>
    <t>31.700274,-94.675886</t>
  </si>
  <si>
    <t>Stop moving to 9855 US Hwy 259 North on 2010-02-08</t>
  </si>
  <si>
    <t>Los Angeles, Calif.</t>
  </si>
  <si>
    <t>NCM</t>
  </si>
  <si>
    <t>Necanicum Junction, Oregon</t>
  </si>
  <si>
    <t>Highway 26 and Highway 53</t>
  </si>
  <si>
    <t>Bus stop is 100 ft east of junction</t>
  </si>
  <si>
    <t>Necanicum Junction</t>
  </si>
  <si>
    <t>From bus driver</t>
  </si>
  <si>
    <t>45.902226,-123.759275</t>
  </si>
  <si>
    <t>NCR</t>
  </si>
  <si>
    <t>New Carrollton, Maryland</t>
  </si>
  <si>
    <t>4300 Garden City Drive</t>
  </si>
  <si>
    <t>New Carrollton</t>
  </si>
  <si>
    <t>202-906-3764</t>
  </si>
  <si>
    <t>MARC Commuter / VIA</t>
  </si>
  <si>
    <t>38.948098,-76.871494</t>
  </si>
  <si>
    <t>See miscellaneous screen for more info on waiting area</t>
  </si>
  <si>
    <t>NCRL</t>
  </si>
  <si>
    <t>P72D</t>
  </si>
  <si>
    <t>NDL</t>
  </si>
  <si>
    <t>Needles, California</t>
  </si>
  <si>
    <t>900 Front Street</t>
  </si>
  <si>
    <t>Needles</t>
  </si>
  <si>
    <t>34.839964,-114.604635</t>
  </si>
  <si>
    <t>Disrict Manager Stations</t>
  </si>
  <si>
    <t>NEW</t>
  </si>
  <si>
    <t>Newton, Kansas</t>
  </si>
  <si>
    <t>414 North Main Street</t>
  </si>
  <si>
    <t>Newton</t>
  </si>
  <si>
    <t>316-283-7533</t>
  </si>
  <si>
    <t>38.046976,-97.344886</t>
  </si>
  <si>
    <t>One-Person Tkt Ofc; Call To Verify Hours</t>
  </si>
  <si>
    <t>NEWL</t>
  </si>
  <si>
    <t>NFK</t>
  </si>
  <si>
    <t>Norfolk, Virginia</t>
  </si>
  <si>
    <t>East Virginia Beach Blvd and Monticello Ave</t>
  </si>
  <si>
    <t>Bus Shelter at Cedar Grove Parking Lot</t>
  </si>
  <si>
    <t>Norfolk</t>
  </si>
  <si>
    <t>36.858730,-76.286717</t>
  </si>
  <si>
    <t>Amtrak Thruway Bus Stop Unstaffed Location</t>
  </si>
  <si>
    <t>Richmond, VA  (RVR)</t>
  </si>
  <si>
    <t>Washington, DC (WAS)</t>
  </si>
  <si>
    <t>NFL</t>
  </si>
  <si>
    <t>Niagara Falls, New York, United States</t>
  </si>
  <si>
    <t>2701 Willard Avenue</t>
  </si>
  <si>
    <t>27th Street and Lockport Road</t>
  </si>
  <si>
    <t>Niagara Falls</t>
  </si>
  <si>
    <t>716-285-4224</t>
  </si>
  <si>
    <t>43.113548,-79.031865</t>
  </si>
  <si>
    <t>Use lat/long in GPS device to accurately locate station</t>
  </si>
  <si>
    <t>NFLL</t>
  </si>
  <si>
    <t>Buffalo, NY</t>
  </si>
  <si>
    <t>NFS</t>
  </si>
  <si>
    <t>Niagara Falls, Ontario, Canada</t>
  </si>
  <si>
    <t>4267 Bridge Street</t>
  </si>
  <si>
    <t>XLV</t>
  </si>
  <si>
    <t>VIAnet:  NIAG</t>
  </si>
  <si>
    <t>43.108736,-79.063291</t>
  </si>
  <si>
    <t>Manager, Customer Services (VIA)</t>
  </si>
  <si>
    <t>Manager, Customer Services (Via Rail)</t>
  </si>
  <si>
    <t>298 Walker Road, Windsor, Ontario N8y 2M9</t>
  </si>
  <si>
    <t>NHL</t>
  </si>
  <si>
    <t>Santa Clarita-Newhall, California</t>
  </si>
  <si>
    <t>24300 Railroad Avenue</t>
  </si>
  <si>
    <t>Santa Clarita</t>
  </si>
  <si>
    <t>34.379451,-118.527338</t>
  </si>
  <si>
    <t>NHN</t>
  </si>
  <si>
    <t>New Hampton, New Hampshire</t>
  </si>
  <si>
    <t>325 Route 104</t>
  </si>
  <si>
    <t>Munce's Konvenience Store/CITGO</t>
  </si>
  <si>
    <t>New Hampton</t>
  </si>
  <si>
    <t>43.617415,-71.636254</t>
  </si>
  <si>
    <t>Concord Trailways Thruway service begins September 12, 2004</t>
  </si>
  <si>
    <t>NHV</t>
  </si>
  <si>
    <t>New Haven</t>
  </si>
  <si>
    <t>203-773-6176</t>
  </si>
  <si>
    <t>Shoreline East</t>
  </si>
  <si>
    <t>41.297714,-72.926670</t>
  </si>
  <si>
    <t>*Call center agents connect pax thru internal ATS, use x6178</t>
  </si>
  <si>
    <t>Information Center - internal only/For Spec.Service</t>
  </si>
  <si>
    <t>50 Union Ave. - New Haven, CT 06519</t>
  </si>
  <si>
    <t>50 Union Avenue, New Haven, CT 06519</t>
  </si>
  <si>
    <t>NIB</t>
  </si>
  <si>
    <t>New Iberia, Louisiana</t>
  </si>
  <si>
    <t>402 West Washington Street</t>
  </si>
  <si>
    <t>At Railroad Tracks - Downtown</t>
  </si>
  <si>
    <t>New Iberia</t>
  </si>
  <si>
    <t>30.008415,-91.823809</t>
  </si>
  <si>
    <t>waiting room and restrooms not available at this time.</t>
  </si>
  <si>
    <t>NLC</t>
  </si>
  <si>
    <t>New London, Connecticut</t>
  </si>
  <si>
    <t>27 Water Street</t>
  </si>
  <si>
    <t>New London</t>
  </si>
  <si>
    <t>860-446-3929</t>
  </si>
  <si>
    <t>VIA, Shore Line East</t>
  </si>
  <si>
    <t>Evans Expressmart/Exxon Station</t>
  </si>
  <si>
    <t>Tilton</t>
  </si>
  <si>
    <t>43.455699,-71.565590</t>
  </si>
  <si>
    <t>TOA</t>
  </si>
  <si>
    <t>Torrance, California</t>
  </si>
  <si>
    <t>20575 Hamilton Avenue</t>
  </si>
  <si>
    <t>Alpine Village</t>
  </si>
  <si>
    <t>Torrance</t>
  </si>
  <si>
    <t>33.843364,-118.286676</t>
  </si>
  <si>
    <t>TOH</t>
  </si>
  <si>
    <t>Tomah, Wisconsin</t>
  </si>
  <si>
    <t>North Superior Avenue and Washington Street</t>
  </si>
  <si>
    <t>Tomah</t>
  </si>
  <si>
    <t>43.986007,-90.505331</t>
  </si>
  <si>
    <t>415 Emerald Avenue</t>
  </si>
  <si>
    <t>Martin Luther King, Jr. Plaza</t>
  </si>
  <si>
    <t>(formerly Central Union Plaza)</t>
  </si>
  <si>
    <t>419-246-0159</t>
  </si>
  <si>
    <t>41.638345,-83.541721</t>
  </si>
  <si>
    <t>TOP</t>
  </si>
  <si>
    <t>Topeka, Kansas</t>
  </si>
  <si>
    <t>500 SE Holliday Place</t>
  </si>
  <si>
    <t>East 5th &amp; Holliday</t>
  </si>
  <si>
    <t>Topeka</t>
  </si>
  <si>
    <t>785-357-5362</t>
  </si>
  <si>
    <t>39.051415,-95.664916</t>
  </si>
  <si>
    <t>Tkt Ofc Closed Th 28Jun-Tu 03Jul; Reopen 12a We 04Jul</t>
  </si>
  <si>
    <t>TOPL</t>
  </si>
  <si>
    <t>TPA</t>
  </si>
  <si>
    <t>Tampa, Florida</t>
  </si>
  <si>
    <t>601 North Nebraska Avenue</t>
  </si>
  <si>
    <t>Tampa</t>
  </si>
  <si>
    <t>813-221-7601</t>
  </si>
  <si>
    <t>27.952492,-82.450777</t>
  </si>
  <si>
    <t>TPAL</t>
  </si>
  <si>
    <t>TPL</t>
  </si>
  <si>
    <t>Temple, Texas</t>
  </si>
  <si>
    <t>315 West Avenue B</t>
  </si>
  <si>
    <t>Temple</t>
  </si>
  <si>
    <t>254-742-2019</t>
  </si>
  <si>
    <t>31.095883,-97.345792</t>
  </si>
  <si>
    <t>P709</t>
  </si>
  <si>
    <t>AU&amp;</t>
  </si>
  <si>
    <t>TRA</t>
  </si>
  <si>
    <t>Tracy (Bus), California</t>
  </si>
  <si>
    <t>725 West Clover Road</t>
  </si>
  <si>
    <t>Wendy's Restaurant</t>
  </si>
  <si>
    <t>Tracy</t>
  </si>
  <si>
    <t>37.761409,-121.436094</t>
  </si>
  <si>
    <t>TRC</t>
  </si>
  <si>
    <t>Tracy (ACE Station), California</t>
  </si>
  <si>
    <t>4800 Tracy Boulevard</t>
  </si>
  <si>
    <t>37.696211,-121.433970</t>
  </si>
  <si>
    <t>TRE</t>
  </si>
  <si>
    <t>Trenton, New Jersey</t>
  </si>
  <si>
    <t>72 South Clinton Avenue</t>
  </si>
  <si>
    <t>Trenton Transit Center</t>
  </si>
  <si>
    <t>Trenton</t>
  </si>
  <si>
    <t>609-989-1770</t>
  </si>
  <si>
    <t>NJ Transit/SEPTA/VIA</t>
  </si>
  <si>
    <t>40.219011,-74.754440</t>
  </si>
  <si>
    <t>See misc page for important info on ticket office hours</t>
  </si>
  <si>
    <t>tre</t>
  </si>
  <si>
    <t>p738</t>
  </si>
  <si>
    <t>TRI</t>
  </si>
  <si>
    <t>Trinidad, Colorado</t>
  </si>
  <si>
    <t>110 West Pine Street</t>
  </si>
  <si>
    <t>Trinidad</t>
  </si>
  <si>
    <t>37.172688,-104.507981</t>
  </si>
  <si>
    <t>TRK</t>
  </si>
  <si>
    <t>Turlock-Denair, California</t>
  </si>
  <si>
    <t>3800 Santa Fe Avenue</t>
  </si>
  <si>
    <t>Corner of Elm Street</t>
  </si>
  <si>
    <t>End of the BNSF Tracks</t>
  </si>
  <si>
    <t>Denair</t>
  </si>
  <si>
    <t>37.527229,-120.798009</t>
  </si>
  <si>
    <t>TRU</t>
  </si>
  <si>
    <t>Truckee, California</t>
  </si>
  <si>
    <t>10065 Donner Pass Road</t>
  </si>
  <si>
    <t>Truckee</t>
  </si>
  <si>
    <t>39.327616,-120.185387</t>
  </si>
  <si>
    <t>Thursday stop location:  see Miscellaneous screen.</t>
  </si>
  <si>
    <t>TRV</t>
  </si>
  <si>
    <t>Traverse City, Michigan</t>
  </si>
  <si>
    <t>107 Hall St.</t>
  </si>
  <si>
    <t>Traverse City</t>
  </si>
  <si>
    <t>231-946-5180</t>
  </si>
  <si>
    <t>44.765169,-85.627845</t>
  </si>
  <si>
    <t>Picks up at Bay Area Transit</t>
  </si>
  <si>
    <t>TSY</t>
  </si>
  <si>
    <t>Tusayan, Arizona</t>
  </si>
  <si>
    <t>Arizona Highway 64</t>
  </si>
  <si>
    <t>Grand Canyon Village/IMAX Theatre</t>
  </si>
  <si>
    <t>Tusayan</t>
  </si>
  <si>
    <t>35.974367,-112.126413</t>
  </si>
  <si>
    <t>District Manager, Southwest District Stations</t>
  </si>
  <si>
    <t>AU7</t>
  </si>
  <si>
    <t>TUK</t>
  </si>
  <si>
    <t>Tukwila, Washington</t>
  </si>
  <si>
    <t>7301 Longacres Way</t>
  </si>
  <si>
    <t>Sounder Commuter Rail Station</t>
  </si>
  <si>
    <t>Tukwila</t>
  </si>
  <si>
    <t>47.461081,-122.240254</t>
  </si>
  <si>
    <t>Call for special instructions during service disruptions</t>
  </si>
  <si>
    <t>Room 250, 800 NW 6th Ave, Portland, OR</t>
  </si>
  <si>
    <t>TUS</t>
  </si>
  <si>
    <t>Tucson, Arizona</t>
  </si>
  <si>
    <t>400 North Toole Avenue</t>
  </si>
  <si>
    <t>Tucson</t>
  </si>
  <si>
    <t>520-623-4442</t>
  </si>
  <si>
    <t>32.222977,-110.966770</t>
  </si>
  <si>
    <t>TUSL</t>
  </si>
  <si>
    <t>TVF</t>
  </si>
  <si>
    <t>The Villages, Florida</t>
  </si>
  <si>
    <t>1150 Paige Place</t>
  </si>
  <si>
    <t>Spanish Springs Shuttle Station</t>
  </si>
  <si>
    <t>The Villages</t>
  </si>
  <si>
    <t>28.940672,-81.948381</t>
  </si>
  <si>
    <t>TWC</t>
  </si>
  <si>
    <t>Tawas City, Michigan</t>
  </si>
  <si>
    <t>1020 West Lake Street</t>
  </si>
  <si>
    <t>Bay Inn</t>
  </si>
  <si>
    <t>Tawas City</t>
  </si>
  <si>
    <t>44.257281,-83.531059</t>
  </si>
  <si>
    <t>Toronto, Ontario</t>
  </si>
  <si>
    <t>65 Front Street West</t>
  </si>
  <si>
    <t>Toronto</t>
  </si>
  <si>
    <t>YBZ</t>
  </si>
  <si>
    <t>VIAnet:  TRTO</t>
  </si>
  <si>
    <t>43.645427,-79.380762</t>
  </si>
  <si>
    <t>Ticketing:  OCC/VIA/P33</t>
  </si>
  <si>
    <t>TWZL</t>
  </si>
  <si>
    <t>Manager, Customer Experience, Terminal</t>
  </si>
  <si>
    <t>Room A2, Toronto Union Station</t>
  </si>
  <si>
    <t>Director, Customer Experience</t>
  </si>
  <si>
    <t>TXA</t>
  </si>
  <si>
    <t>Texarkana, Arkansas</t>
  </si>
  <si>
    <t>100 East Front Street</t>
  </si>
  <si>
    <t>Texarkana</t>
  </si>
  <si>
    <t>870-772-1011</t>
  </si>
  <si>
    <t>33.420067,-94.043082</t>
  </si>
  <si>
    <t>TXAL</t>
  </si>
  <si>
    <t>TYR</t>
  </si>
  <si>
    <t>Tyrone, Pennsylvania</t>
  </si>
  <si>
    <t>Pennsylvania Avenue and West 10th Street</t>
  </si>
  <si>
    <t>Tyrone</t>
  </si>
  <si>
    <t>40.667705,-78.240470</t>
  </si>
  <si>
    <t>UCA</t>
  </si>
  <si>
    <t>Utica, New York</t>
  </si>
  <si>
    <t>321 Main Street</t>
  </si>
  <si>
    <t>Boehlert Transportation Center</t>
  </si>
  <si>
    <t>Utica</t>
  </si>
  <si>
    <t>315-797-8962</t>
  </si>
  <si>
    <t>43.103892,-75.223434</t>
  </si>
  <si>
    <t>UCAL</t>
  </si>
  <si>
    <t>albl</t>
  </si>
  <si>
    <t>UKH</t>
  </si>
  <si>
    <t>Ukiah, California</t>
  </si>
  <si>
    <t>711 East Perkins Street</t>
  </si>
  <si>
    <t>Burger King</t>
  </si>
  <si>
    <t>Ukiah</t>
  </si>
  <si>
    <t>39.151579,-123.193671</t>
  </si>
  <si>
    <t>UOP</t>
  </si>
  <si>
    <t>University of Pennsylvania, Philadelphia, Pennsylvania</t>
  </si>
  <si>
    <t>3417 Spruce Street</t>
  </si>
  <si>
    <t>Houston Hall (Student Union)</t>
  </si>
  <si>
    <t>Non-station Quik-Trak kiosk here</t>
  </si>
  <si>
    <t>Off site Quik-Trak kiosk, walkup sales have PHL as origin</t>
  </si>
  <si>
    <t>USA</t>
  </si>
  <si>
    <t>USA Rail Pass</t>
  </si>
  <si>
    <t>USF</t>
  </si>
  <si>
    <t>USA Rail Pass Pseudo Station for MAAS processing only</t>
  </si>
  <si>
    <t>UWS</t>
  </si>
  <si>
    <t>Winston-Salem State Univ, Winston-Salem, North Carolina</t>
  </si>
  <si>
    <t>Martin Luther King, Jr. Drive &amp; Stadium Drive</t>
  </si>
  <si>
    <t>PART bus stop south of F.L. Atkins Nursing Bldg</t>
  </si>
  <si>
    <t>Winston-Salem</t>
  </si>
  <si>
    <t>36.090808,-80.227821</t>
  </si>
  <si>
    <t>See "Thruway Service" screen for bus information</t>
  </si>
  <si>
    <t>VAB</t>
  </si>
  <si>
    <t>Virginia Beach, Virginia</t>
  </si>
  <si>
    <t>19th St. and Pacific Ave.</t>
  </si>
  <si>
    <t>Virginia Beach</t>
  </si>
  <si>
    <t>36.847208,-75.976410</t>
  </si>
  <si>
    <t xml:space="preserve">Amtrak Thruway Bus stop connects with Amtrak trains in NPN </t>
  </si>
  <si>
    <t>Unstaffed Station Location Thruway bus stop</t>
  </si>
  <si>
    <t>Assistant General Manager</t>
  </si>
  <si>
    <t>Washington DC  (WAS)</t>
  </si>
  <si>
    <t>VAC</t>
  </si>
  <si>
    <t>Vancouver, British Columbia, Canada</t>
  </si>
  <si>
    <t>1150 Station Street</t>
  </si>
  <si>
    <t>Pacific Central Station</t>
  </si>
  <si>
    <t>Vancouver</t>
  </si>
  <si>
    <t>VIAnet:  VCVR</t>
  </si>
  <si>
    <t>49.273757,-123.098336</t>
  </si>
  <si>
    <t>Tr 513, 517: Must be at sta 1 hr before dp for immigration</t>
  </si>
  <si>
    <t>VACL</t>
  </si>
  <si>
    <t>Station Manager (VIA)</t>
  </si>
  <si>
    <t>Vancouver, BC</t>
  </si>
  <si>
    <t>Service Delivery - VIA Headquarters</t>
  </si>
  <si>
    <t>Montreal, QC</t>
  </si>
  <si>
    <t>VAE</t>
  </si>
  <si>
    <t>Vale, Oregon</t>
  </si>
  <si>
    <t>151 Smith Street North</t>
  </si>
  <si>
    <t>Sinclair Gas Station</t>
  </si>
  <si>
    <t>Vale</t>
  </si>
  <si>
    <t>43.982436,-117.248191</t>
  </si>
  <si>
    <t>VAI</t>
  </si>
  <si>
    <t>Vail, Colorado</t>
  </si>
  <si>
    <t>241 South Frontage Road East</t>
  </si>
  <si>
    <t>Vail</t>
  </si>
  <si>
    <t>970-476-5137</t>
  </si>
  <si>
    <t>39.642215,-106.373460</t>
  </si>
  <si>
    <t>VAL</t>
  </si>
  <si>
    <t>Vallejo, California</t>
  </si>
  <si>
    <t>4355 Sonoma Blvd.</t>
  </si>
  <si>
    <t>Vallejo</t>
  </si>
  <si>
    <t>38.136142,-122.256328</t>
  </si>
  <si>
    <t>Use VMW for the 6 Flags Discovery Kingdom seasonal stop</t>
  </si>
  <si>
    <t>VAN</t>
  </si>
  <si>
    <t>Vancouver, Washington, United States</t>
  </si>
  <si>
    <t>1301 West 11th Street</t>
  </si>
  <si>
    <t>360-694-7307</t>
  </si>
  <si>
    <t>45.628901,-122.686544</t>
  </si>
  <si>
    <t>VANL</t>
  </si>
  <si>
    <t>Seattle, WA (at Holgate St. facility)</t>
  </si>
  <si>
    <t>VAS</t>
  </si>
  <si>
    <t>Livermore (Vasco Road-ACE Station), California</t>
  </si>
  <si>
    <t>575 South Vasco Road</t>
  </si>
  <si>
    <t>37.696986,-121.718346</t>
  </si>
  <si>
    <t>VBC</t>
  </si>
  <si>
    <t>Victoria (Bus Station), British Columbia</t>
  </si>
  <si>
    <t>700 Douglas St.</t>
  </si>
  <si>
    <t>behind the Empress Hotel</t>
  </si>
  <si>
    <t>Victoria</t>
  </si>
  <si>
    <t>250-385-4411</t>
  </si>
  <si>
    <t>VIX</t>
  </si>
  <si>
    <t>Pacific Coach Lines</t>
  </si>
  <si>
    <t>48.420579,-123.366424</t>
  </si>
  <si>
    <t>VEC</t>
  </si>
  <si>
    <t>Ventura, California</t>
  </si>
  <si>
    <t>Harbor Boulevard and Figueroa Street</t>
  </si>
  <si>
    <t>Ventura</t>
  </si>
  <si>
    <t>34.276929,-119.299918</t>
  </si>
  <si>
    <t>VIA</t>
  </si>
  <si>
    <t>VIF</t>
  </si>
  <si>
    <t>Victoria (Ferry), British Columbia</t>
  </si>
  <si>
    <t>254 Belleville St.</t>
  </si>
  <si>
    <t>Victoria Clipper Ferry, Inner Harbour</t>
  </si>
  <si>
    <t>250-382-8100</t>
  </si>
  <si>
    <t>48.422426,-123.374174</t>
  </si>
  <si>
    <t>Ferry to Seattle, Washington</t>
  </si>
  <si>
    <t>VIS</t>
  </si>
  <si>
    <t>Visalia, California</t>
  </si>
  <si>
    <t>425 E. Oak Street</t>
  </si>
  <si>
    <t>Visalia Transit Center</t>
  </si>
  <si>
    <t>Visalia</t>
  </si>
  <si>
    <t>36.331892,-119.288424</t>
  </si>
  <si>
    <t>VMW</t>
  </si>
  <si>
    <t>Six Flags Discovery Kingdom (Seasonal), Vallejo, California</t>
  </si>
  <si>
    <t>Highway 37 and Fairgrounds Drive</t>
  </si>
  <si>
    <t>See VAL for daily Vallejo bus stop</t>
  </si>
  <si>
    <t>Service is Seasonal: March-October</t>
  </si>
  <si>
    <t>38.138008,-122.230557</t>
  </si>
  <si>
    <t>VNC</t>
  </si>
  <si>
    <t>Van Nuys, California</t>
  </si>
  <si>
    <t>7724 Van Nuys Boulevard</t>
  </si>
  <si>
    <t>Van Nuys</t>
  </si>
  <si>
    <t>818-901-6443</t>
  </si>
  <si>
    <t>VNX</t>
  </si>
  <si>
    <t>34.211294,-118.448206</t>
  </si>
  <si>
    <t>VNCL</t>
  </si>
  <si>
    <t>VRB</t>
  </si>
  <si>
    <t>Victorville (Thruway Buses), California</t>
  </si>
  <si>
    <t>16838 South D Street</t>
  </si>
  <si>
    <t>Victor Valley Transit Center/Greyhound Station</t>
  </si>
  <si>
    <t>Victorville</t>
  </si>
  <si>
    <t>VRX</t>
  </si>
  <si>
    <t>34.537467,-117.293918</t>
  </si>
  <si>
    <t>For adjacent Southwest Chief train stop, see city code VRV.</t>
  </si>
  <si>
    <t>VRV</t>
  </si>
  <si>
    <t>Victorville (Southwest Chief train), California</t>
  </si>
  <si>
    <t>16858 South D Street</t>
  </si>
  <si>
    <t>34.537200,-117.292956</t>
  </si>
  <si>
    <t xml:space="preserve">For adjacent Thruway bus stop, see city code VRB. </t>
  </si>
  <si>
    <t>WAB</t>
  </si>
  <si>
    <t>Waterbury, Vermont</t>
  </si>
  <si>
    <t>US Highway 2 and Park Row</t>
  </si>
  <si>
    <t>Waterbury</t>
  </si>
  <si>
    <t>802-244-6404</t>
  </si>
  <si>
    <t>44.335011,-72.751806</t>
  </si>
  <si>
    <t>Supervisor of Customer Service</t>
  </si>
  <si>
    <t>WAC</t>
  </si>
  <si>
    <t>Wasco, California</t>
  </si>
  <si>
    <t>700 G Street</t>
  </si>
  <si>
    <t>Wasco</t>
  </si>
  <si>
    <t>35.594092,-119.332309</t>
  </si>
  <si>
    <t>WAH</t>
  </si>
  <si>
    <t>Washington, Missouri</t>
  </si>
  <si>
    <t>301 West Front Street</t>
  </si>
  <si>
    <t>38.561466,-91.012717</t>
  </si>
  <si>
    <t>Washington has a wheelchair lift effective 5/13//2004!</t>
  </si>
  <si>
    <t>WAR</t>
  </si>
  <si>
    <t>Warrensburg, Missouri</t>
  </si>
  <si>
    <t>100 South Holden Street</t>
  </si>
  <si>
    <t>Warrensburg</t>
  </si>
  <si>
    <t>38.762750,-93.740900</t>
  </si>
  <si>
    <t>Washington, District of Columbia</t>
  </si>
  <si>
    <t>50 Massachusetts Avenue NE</t>
  </si>
  <si>
    <t>DC</t>
  </si>
  <si>
    <t>202-906-3260</t>
  </si>
  <si>
    <t>MARC, VRE, VIA</t>
  </si>
  <si>
    <t>38.896993,-77.006422</t>
  </si>
  <si>
    <t>Construction in and around station, see Miscellaneous screen</t>
  </si>
  <si>
    <t>P960</t>
  </si>
  <si>
    <t>R. Funk, K. Larkin, B. Exum J. Wilson (Managers)</t>
  </si>
  <si>
    <t>Washington Union Station, office near Starbuck's</t>
  </si>
  <si>
    <t>Assistant Superintendent, Station Operations</t>
  </si>
  <si>
    <t>Washington Union Station, Suite 100 - office near Gate A</t>
  </si>
  <si>
    <t>WAU</t>
  </si>
  <si>
    <t>Waupaca, Wisconsin</t>
  </si>
  <si>
    <t>1222 West Fulton Street</t>
  </si>
  <si>
    <t>Waupaca Mobil Travel Center</t>
  </si>
  <si>
    <t>Waupaca</t>
  </si>
  <si>
    <t>44.356797,-89.119758</t>
  </si>
  <si>
    <t>WBG</t>
  </si>
  <si>
    <t>Williamsburg, Virginia</t>
  </si>
  <si>
    <t>468 North Boundary Street</t>
  </si>
  <si>
    <t>Williamsburg</t>
  </si>
  <si>
    <t>757-229-8750</t>
  </si>
  <si>
    <t>37.276414,-76.708564</t>
  </si>
  <si>
    <t>WBGL</t>
  </si>
  <si>
    <t>WBL</t>
  </si>
  <si>
    <t>West Baltimore, Maryland</t>
  </si>
  <si>
    <t>401 Smallwood Street</t>
  </si>
  <si>
    <t>WCH</t>
  </si>
  <si>
    <t>Westchester, California</t>
  </si>
  <si>
    <t>6860 Park Terrace Drive</t>
  </si>
  <si>
    <t>Culver City Transit route 6 stop</t>
  </si>
  <si>
    <t>Westchester</t>
  </si>
  <si>
    <t>33.975825,-118.392390</t>
  </si>
  <si>
    <t>WCT</t>
  </si>
  <si>
    <t>White City, Oregon</t>
  </si>
  <si>
    <t>7455 Highway 62</t>
  </si>
  <si>
    <t>at Highway 140</t>
  </si>
  <si>
    <t>Cascade Bingo</t>
  </si>
  <si>
    <t>White City</t>
  </si>
  <si>
    <t>42.423973,-122.852689</t>
  </si>
  <si>
    <t>WDB</t>
  </si>
  <si>
    <t>Woodbridge, Virginia</t>
  </si>
  <si>
    <t>1040 Express Way</t>
  </si>
  <si>
    <t>Woodbridge</t>
  </si>
  <si>
    <t>38.658915,-77.247852</t>
  </si>
  <si>
    <t>Richmond, Virginia</t>
  </si>
  <si>
    <t>WDL</t>
  </si>
  <si>
    <t>Wisconsin Dells, Wisconsin</t>
  </si>
  <si>
    <t>100 LaCrosse Street</t>
  </si>
  <si>
    <t xml:space="preserve"> Intersection of Superior and La Crosse Streets</t>
  </si>
  <si>
    <t>Wisconsin Dells</t>
  </si>
  <si>
    <t>43.626509,-89.777451</t>
  </si>
  <si>
    <t xml:space="preserve"> Caretaker help pax 7 days / wk.  No tkt or bag</t>
  </si>
  <si>
    <t>Unstaffed Station - Depot Phone</t>
  </si>
  <si>
    <t>WDO</t>
  </si>
  <si>
    <t>Waldo, Florida</t>
  </si>
  <si>
    <t>14648 NE 147th Avenue</t>
  </si>
  <si>
    <t>Intersection Hwy 301 &amp; SR24</t>
  </si>
  <si>
    <t>Waldo</t>
  </si>
  <si>
    <t>352-468-9422</t>
  </si>
  <si>
    <t>29.790507,-82.166727</t>
  </si>
  <si>
    <t xml:space="preserve"> Asst. Superintendent - Passenger Services</t>
  </si>
  <si>
    <t>WDR</t>
  </si>
  <si>
    <t>Waldoboro, Maine</t>
  </si>
  <si>
    <t>1519 Atlantic Highway</t>
  </si>
  <si>
    <t>Mobil Station/Big Apple Convenience Store</t>
  </si>
  <si>
    <t>Waldoboro</t>
  </si>
  <si>
    <t>207-832-4110</t>
  </si>
  <si>
    <t>44.101471,-69.382112</t>
  </si>
  <si>
    <t>WEM</t>
  </si>
  <si>
    <t>Wells, Maine</t>
  </si>
  <si>
    <t>696 Sanford Road</t>
  </si>
  <si>
    <t>Wells</t>
  </si>
  <si>
    <t>43.320836,-70.612192</t>
  </si>
  <si>
    <t>PAYPHONE AND RESTROOM</t>
  </si>
  <si>
    <t>WEN</t>
  </si>
  <si>
    <t>Wenatchee, Washington</t>
  </si>
  <si>
    <t>Kittitas &amp; South Columbia Streets</t>
  </si>
  <si>
    <t>Bus stop is across the street from train platform</t>
  </si>
  <si>
    <t>Wenatchee</t>
  </si>
  <si>
    <t>47.421556,-120.306552</t>
  </si>
  <si>
    <t>WES</t>
  </si>
  <si>
    <t>Westwood-UCLA, California</t>
  </si>
  <si>
    <t>592 Gayley Ave.</t>
  </si>
  <si>
    <t>LAMTA route 2 stop (westbound)</t>
  </si>
  <si>
    <t>34.068772,-118.448979</t>
  </si>
  <si>
    <t>WFD</t>
  </si>
  <si>
    <t>Wallingford, Connecticut</t>
  </si>
  <si>
    <t>37 Hall Avenue</t>
  </si>
  <si>
    <t>Wallingford</t>
  </si>
  <si>
    <t>41.456969,-72.825221</t>
  </si>
  <si>
    <t>Acela ticket windows open 7a-715p mon thru fri only!</t>
  </si>
  <si>
    <t>E. Guilliam,  A. Medina, O. Knight, A. Jimenez -Sta. Mgrs</t>
  </si>
  <si>
    <t>Penn Station, New York</t>
  </si>
  <si>
    <t>OAC</t>
  </si>
  <si>
    <t>Oakland (Coliseum/Airport), California</t>
  </si>
  <si>
    <t>700 73rd Avenue</t>
  </si>
  <si>
    <t>Across San Leandro Blvd. from BART station</t>
  </si>
  <si>
    <t>37.752499,-122.198147</t>
  </si>
  <si>
    <t>Quik-Trak kiosk removed from OAC due to vandalism</t>
  </si>
  <si>
    <t>OCA</t>
  </si>
  <si>
    <t>Ocala, Florida</t>
  </si>
  <si>
    <t>531 Northeast First Avenue</t>
  </si>
  <si>
    <t>Central Transfer Station</t>
  </si>
  <si>
    <t>Ocala</t>
  </si>
  <si>
    <t>29.192235,-82.135282</t>
  </si>
  <si>
    <t>Waiting Room closed until further notice, April 8, 2009</t>
  </si>
  <si>
    <t>OCM</t>
  </si>
  <si>
    <t>Ocean City, Maryland</t>
  </si>
  <si>
    <t>12848 Ocean Gateway</t>
  </si>
  <si>
    <t>West Ocean City Park and Ride</t>
  </si>
  <si>
    <t>Ocean City</t>
  </si>
  <si>
    <t>38.334867,-75.102911</t>
  </si>
  <si>
    <t>OCO</t>
  </si>
  <si>
    <t>Oconto, Wisconsin</t>
  </si>
  <si>
    <t>517 Smith Avenue</t>
  </si>
  <si>
    <t>Oconto</t>
  </si>
  <si>
    <t>44.879381,-87.887149</t>
  </si>
  <si>
    <t>OCP</t>
  </si>
  <si>
    <t>Ocean Pines, Maryland</t>
  </si>
  <si>
    <t>11011 Manklin Creek Road</t>
  </si>
  <si>
    <t>Rite Aid Pharmacy</t>
  </si>
  <si>
    <t>38.376210,-75.164144</t>
  </si>
  <si>
    <t>OGD</t>
  </si>
  <si>
    <t>Ogden, Utah</t>
  </si>
  <si>
    <t>2393 Wall Avenue</t>
  </si>
  <si>
    <t>Ogden</t>
  </si>
  <si>
    <t>801-394-5573</t>
  </si>
  <si>
    <t>41.223128,-111.979027</t>
  </si>
  <si>
    <t>Non-Amtrak staffed Greyhound bus depot</t>
  </si>
  <si>
    <t>Albuqueruqe, New Mexico</t>
  </si>
  <si>
    <t>OGE</t>
  </si>
  <si>
    <t>Orange, California</t>
  </si>
  <si>
    <t>194 North Atchison Street</t>
  </si>
  <si>
    <t>Orange</t>
  </si>
  <si>
    <t>33.788704,-117.857356</t>
  </si>
  <si>
    <t>OGW</t>
  </si>
  <si>
    <t>Okanagan,  Washington</t>
  </si>
  <si>
    <t>424 Second Avenue South</t>
  </si>
  <si>
    <t>In front of Okanogan Co Comm Action Council</t>
  </si>
  <si>
    <t>Okanogan</t>
  </si>
  <si>
    <t>48.362300,-119.582904</t>
  </si>
  <si>
    <t>unstaffed bus stop - Food Depot</t>
  </si>
  <si>
    <t>OKC</t>
  </si>
  <si>
    <t>Oklahoma City, Oklahoma</t>
  </si>
  <si>
    <t>100 South E.K. Gaylord Boulevard</t>
  </si>
  <si>
    <t>Oklahoma City</t>
  </si>
  <si>
    <t>35.465490,-97.512749</t>
  </si>
  <si>
    <t>Unstaffed station.</t>
  </si>
  <si>
    <t>OKE</t>
  </si>
  <si>
    <t>Okeechobee, Florida</t>
  </si>
  <si>
    <t>801 North Parrott Avenue</t>
  </si>
  <si>
    <t>Okeechobee</t>
  </si>
  <si>
    <t>27.251867,-80.830812</t>
  </si>
  <si>
    <t>Asst. Superintendent - Passenger Service</t>
  </si>
  <si>
    <t>OKJ</t>
  </si>
  <si>
    <t>Oakland (Jack London Square), California</t>
  </si>
  <si>
    <t>245 Second Street</t>
  </si>
  <si>
    <t>510-238-4320</t>
  </si>
  <si>
    <t>37.793866,-122.271667</t>
  </si>
  <si>
    <t xml:space="preserve"> Assistant Superintendent of Passenger Services</t>
  </si>
  <si>
    <t>OKL</t>
  </si>
  <si>
    <t>Oakville, Ontario</t>
  </si>
  <si>
    <t>200 Cross Avenue</t>
  </si>
  <si>
    <t>Oakville</t>
  </si>
  <si>
    <t>XOK</t>
  </si>
  <si>
    <t>VIAnet:  OAKV</t>
  </si>
  <si>
    <t>43.455394,-79.682392</t>
  </si>
  <si>
    <t>Manager, Terminal Services (VIA Rail)</t>
  </si>
  <si>
    <t>Room 222, Toronto Union Station (see TWO for addr)</t>
  </si>
  <si>
    <t>OLT</t>
  </si>
  <si>
    <t>San Diego (Old Town), California</t>
  </si>
  <si>
    <t>4005 Taylor Street</t>
  </si>
  <si>
    <t>San Diego</t>
  </si>
  <si>
    <t>32.755266,-117.200073</t>
  </si>
  <si>
    <t>OLW</t>
  </si>
  <si>
    <t>Olympia-Lacey, Washington</t>
  </si>
  <si>
    <t>6600 Yelm Highway SE</t>
  </si>
  <si>
    <t>Lacey</t>
  </si>
  <si>
    <t>360-923-4602</t>
  </si>
  <si>
    <t>46.991273,-122.794059</t>
  </si>
  <si>
    <t>Volunteer attendants on duty for all trains</t>
  </si>
  <si>
    <t>Unstaffed station volunteers only</t>
  </si>
  <si>
    <t>OMA</t>
  </si>
  <si>
    <t>Omaha, Nebraska</t>
  </si>
  <si>
    <t>1003 South 9th Street</t>
  </si>
  <si>
    <t>Omaha</t>
  </si>
  <si>
    <t>402-342-1501</t>
  </si>
  <si>
    <t>41.249828,-95.928650</t>
  </si>
  <si>
    <t>OMAL</t>
  </si>
  <si>
    <t>OMW</t>
  </si>
  <si>
    <t>Omak, Washington</t>
  </si>
  <si>
    <t>800 East Riverside Drive</t>
  </si>
  <si>
    <t>Shell Station/Food Mart</t>
  </si>
  <si>
    <t>Omak</t>
  </si>
  <si>
    <t>48.416500,-119.510649</t>
  </si>
  <si>
    <t>unstaffed bus stop - Texaco Food Mart</t>
  </si>
  <si>
    <t>ONA</t>
  </si>
  <si>
    <t>Ontario, California</t>
  </si>
  <si>
    <t>198 East Emporia Street</t>
  </si>
  <si>
    <t>Amtrak Passenger Platform</t>
  </si>
  <si>
    <t>Ontario</t>
  </si>
  <si>
    <t>34.061672,-117.649569</t>
  </si>
  <si>
    <t>ONT</t>
  </si>
  <si>
    <t>Ontario, Oregon</t>
  </si>
  <si>
    <t>191 SE 3rd St.</t>
  </si>
  <si>
    <t>541-823-2567</t>
  </si>
  <si>
    <t>44.024151,-116.958099</t>
  </si>
  <si>
    <t>ORB</t>
  </si>
  <si>
    <t>Old Orchard Beach, Maine (Seasonal)</t>
  </si>
  <si>
    <t>11 First Street</t>
  </si>
  <si>
    <t>Old Orchard Beach</t>
  </si>
  <si>
    <t>43.514326,-70.376225</t>
  </si>
  <si>
    <t>Quik-Trak/waiting room inside Chamber of Commerce office.</t>
  </si>
  <si>
    <t>Assistant Superintendent - Dial Extension 311</t>
  </si>
  <si>
    <t>ORC</t>
  </si>
  <si>
    <t>Oregon City, Oregon</t>
  </si>
  <si>
    <t>1757 Washington Street</t>
  </si>
  <si>
    <t>Oregon City</t>
  </si>
  <si>
    <t>45.366146,-122.595925</t>
  </si>
  <si>
    <t>1400 Sligh Blvd.</t>
  </si>
  <si>
    <t>Orlando</t>
  </si>
  <si>
    <t>407-843-7611</t>
  </si>
  <si>
    <t>28.525926,-81.381516</t>
  </si>
  <si>
    <t>See "miscellaneous" screen for I-4 construction</t>
  </si>
  <si>
    <t>ORO</t>
  </si>
  <si>
    <t>Orono-University of Maine, Maine</t>
  </si>
  <si>
    <t>Campus bus stop at Memorial Gymnasium</t>
  </si>
  <si>
    <t>near Black Bear Mascot statue</t>
  </si>
  <si>
    <t>Orono</t>
  </si>
  <si>
    <t>44.903065,-68.669945</t>
  </si>
  <si>
    <t>ORV</t>
  </si>
  <si>
    <t>Oroville, California</t>
  </si>
  <si>
    <t>Hwy 70 and Grand Avenue</t>
  </si>
  <si>
    <t>Oroville</t>
  </si>
  <si>
    <t>39.520057,-121.572102</t>
  </si>
  <si>
    <t>For more information, see "thruway service"</t>
  </si>
  <si>
    <t>OSB</t>
  </si>
  <si>
    <t>Old Saybrook, Connecticut</t>
  </si>
  <si>
    <t>455 Boston Post Road</t>
  </si>
  <si>
    <t>Saybrook Junction Market Place</t>
  </si>
  <si>
    <t>Old Saybrook</t>
  </si>
  <si>
    <t>860-388-3741</t>
  </si>
  <si>
    <t>Shoreline East/VIA</t>
  </si>
  <si>
    <t>41.300390,-72.376818</t>
  </si>
  <si>
    <t>OSBL</t>
  </si>
  <si>
    <t>OSC</t>
  </si>
  <si>
    <t>Osceola, Iowa</t>
  </si>
  <si>
    <t>Main &amp; East Clay Streets</t>
  </si>
  <si>
    <t>Osceola</t>
  </si>
  <si>
    <t>41.037116,-93.764894</t>
  </si>
  <si>
    <t>OSD</t>
  </si>
  <si>
    <t>Oceanside, California</t>
  </si>
  <si>
    <t>235 South Tremont Street</t>
  </si>
  <si>
    <t>Oceanside Transit Center</t>
  </si>
  <si>
    <t>Oceanside</t>
  </si>
  <si>
    <t>760-722-4622</t>
  </si>
  <si>
    <t>33.192515,-117.379430</t>
  </si>
  <si>
    <t>OSDL</t>
  </si>
  <si>
    <t>OSH</t>
  </si>
  <si>
    <t>Oshkosh (Airport), Wisconsin</t>
  </si>
  <si>
    <t>525 West 20th Avenue</t>
  </si>
  <si>
    <t>Wittman Regional Airport Terminal</t>
  </si>
  <si>
    <t>Oshkosh</t>
  </si>
  <si>
    <t>43.994303,-88.551236</t>
  </si>
  <si>
    <t>OSU</t>
  </si>
  <si>
    <t>Oshkosh (University of Wisconsin), Wisconsin</t>
  </si>
  <si>
    <t>208 Osceola Street</t>
  </si>
  <si>
    <t>Univ of Wisconsin Gruenhagen Conference Ctr</t>
  </si>
  <si>
    <t>44.022747,-88.548899</t>
  </si>
  <si>
    <t>OTM</t>
  </si>
  <si>
    <t>Ottumwa, Iowa</t>
  </si>
  <si>
    <t>210 West Main Street</t>
  </si>
  <si>
    <t>Ottumwa</t>
  </si>
  <si>
    <t>641-682-3876</t>
  </si>
  <si>
    <t>41.018815,-92.414929</t>
  </si>
  <si>
    <t>Ticket Office closed 6/8/12</t>
  </si>
  <si>
    <t>OTML</t>
  </si>
  <si>
    <t>OTN</t>
  </si>
  <si>
    <t>Odenton, Maryland</t>
  </si>
  <si>
    <t>1400 Odenton Road</t>
  </si>
  <si>
    <t>Odenton</t>
  </si>
  <si>
    <t>OWO</t>
  </si>
  <si>
    <t>Owosso, Michigan</t>
  </si>
  <si>
    <t>109 Comstock Street</t>
  </si>
  <si>
    <t>Indian Trails Bus Station</t>
  </si>
  <si>
    <t>Owosso</t>
  </si>
  <si>
    <t>989-725-5105</t>
  </si>
  <si>
    <t>42.996636,-84.170085</t>
  </si>
  <si>
    <t>OXN</t>
  </si>
  <si>
    <t>Oxnard, California</t>
  </si>
  <si>
    <t>201 East Fourth Street</t>
  </si>
  <si>
    <t>Oxnard Transportation Center</t>
  </si>
  <si>
    <t>Oxnard</t>
  </si>
  <si>
    <t>805-487-8377</t>
  </si>
  <si>
    <t>34.199241,-119.175978</t>
  </si>
  <si>
    <t>OXNL</t>
  </si>
  <si>
    <t>PAK</t>
  </si>
  <si>
    <t>Palatka, Florida</t>
  </si>
  <si>
    <t>220 North 11th Street</t>
  </si>
  <si>
    <t>Palatka</t>
  </si>
  <si>
    <t>29.649734,-81.640471</t>
  </si>
  <si>
    <t xml:space="preserve"> " No hours of this type "</t>
  </si>
  <si>
    <t>Asst.Superintendent - Passenger Services</t>
  </si>
  <si>
    <t>PAO</t>
  </si>
  <si>
    <t>Paoli, Pennsylvania</t>
  </si>
  <si>
    <t>13 Lancaster Avenue</t>
  </si>
  <si>
    <t>East Lancaster Pike &amp; North Valley Road</t>
  </si>
  <si>
    <t>Paoli</t>
  </si>
  <si>
    <t>215-349-2018</t>
  </si>
  <si>
    <t>SEPTA / VIA</t>
  </si>
  <si>
    <t>40.042754,-75.483760</t>
  </si>
  <si>
    <t>PAOL</t>
  </si>
  <si>
    <t>Manager - Customer Services</t>
  </si>
  <si>
    <t>PHLT</t>
  </si>
  <si>
    <t>Assistant  Superintendent, Stations</t>
  </si>
  <si>
    <t>PAR</t>
  </si>
  <si>
    <t>Parkesburg, Pennsylvania</t>
  </si>
  <si>
    <t>West First and South Culvert Streets</t>
  </si>
  <si>
    <t>Parkesburg</t>
  </si>
  <si>
    <t>39.959180,-75.922123</t>
  </si>
  <si>
    <t>PAS</t>
  </si>
  <si>
    <t>Pasadena, California</t>
  </si>
  <si>
    <t>150 South Los Robles Ave.</t>
  </si>
  <si>
    <t>Pasadena Hilton Hotel</t>
  </si>
  <si>
    <t>Pasadena</t>
  </si>
  <si>
    <t>34.142577,-118.141273</t>
  </si>
  <si>
    <t>PBF</t>
  </si>
  <si>
    <t>Poplar Bluff, Missouri</t>
  </si>
  <si>
    <t>400 South Main Street</t>
  </si>
  <si>
    <t>Poplar Bluff</t>
  </si>
  <si>
    <t>36.753995,-90.393341</t>
  </si>
  <si>
    <t>Station is being renov.yet has clean safe wating room for pa</t>
  </si>
  <si>
    <t>Unmanned</t>
  </si>
  <si>
    <t>PBT</t>
  </si>
  <si>
    <t>Pemberton, British Columbia</t>
  </si>
  <si>
    <t>7424 Frontier Street</t>
  </si>
  <si>
    <t>Pemberton</t>
  </si>
  <si>
    <t>604-894-5976</t>
  </si>
  <si>
    <t>50.321377,-122.806342</t>
  </si>
  <si>
    <t>See "Thruway Service" for more info</t>
  </si>
  <si>
    <t>Staffed by Greyhound Agent</t>
  </si>
  <si>
    <t>PCH</t>
  </si>
  <si>
    <t>Port Charlotte, Florida</t>
  </si>
  <si>
    <t>909 Kings Highway</t>
  </si>
  <si>
    <t>Mobil Station/7-Eleven Store</t>
  </si>
  <si>
    <t>Port Charlotte</t>
  </si>
  <si>
    <t>27.016757,-82.052514</t>
  </si>
  <si>
    <t>Asst. Supt. Station/PSD</t>
  </si>
  <si>
    <t>Miami, FL.</t>
  </si>
  <si>
    <t>PCT</t>
  </si>
  <si>
    <t>Princeton, Illinois</t>
  </si>
  <si>
    <t>107 Bicentennial Drive</t>
  </si>
  <si>
    <t>Princeton</t>
  </si>
  <si>
    <t>41.385191,-89.466815</t>
  </si>
  <si>
    <t>Free wi-fi in and around the station provided by the City.</t>
  </si>
  <si>
    <t>Caretaker - City of Princeton</t>
  </si>
  <si>
    <t>PCV</t>
  </si>
  <si>
    <t>Placerville, California</t>
  </si>
  <si>
    <t>Mosquito Road and Clay Street</t>
  </si>
  <si>
    <t>Placerville Station Transit Center</t>
  </si>
  <si>
    <t>Placerville</t>
  </si>
  <si>
    <t>38.733020,-120.789419</t>
  </si>
  <si>
    <t>PDC</t>
  </si>
  <si>
    <t>Palm Desert, California</t>
  </si>
  <si>
    <t xml:space="preserve">44449 Towne Center Way </t>
  </si>
  <si>
    <t>Sunline Transit Stop (in front of Best Buy)</t>
  </si>
  <si>
    <t>Palm Desert</t>
  </si>
  <si>
    <t>33.725715,-116.398519</t>
  </si>
  <si>
    <t>PDG</t>
  </si>
  <si>
    <t>Portland (Greyhound Station), Oregon</t>
  </si>
  <si>
    <t>550 NW 6th Avenue</t>
  </si>
  <si>
    <t>Portland</t>
  </si>
  <si>
    <t>PRX</t>
  </si>
  <si>
    <t>45.527361,-122.676475</t>
  </si>
  <si>
    <t>Greyhound station is next door to Portland Union Station.</t>
  </si>
  <si>
    <t>Terminal Manager</t>
  </si>
  <si>
    <t>PDL</t>
  </si>
  <si>
    <t>Prunedale, California</t>
  </si>
  <si>
    <t>Highway 156 and Hwy 101</t>
  </si>
  <si>
    <t>Caltrans Park-and-Ride Lot</t>
  </si>
  <si>
    <t>Prunedale</t>
  </si>
  <si>
    <t>36.789342,-121.670938</t>
  </si>
  <si>
    <t>PDX</t>
  </si>
  <si>
    <t>Portland (Amtrak - Union Station), Oregon</t>
  </si>
  <si>
    <t>800 NW Sixth Avenue</t>
  </si>
  <si>
    <t>503-273-4865</t>
  </si>
  <si>
    <t>45.528724,-122.676806</t>
  </si>
  <si>
    <t>Passengers must be onboard trains 5 minutes before departure</t>
  </si>
  <si>
    <t>P103</t>
  </si>
  <si>
    <t>Seattle,WA</t>
  </si>
  <si>
    <t>PEN</t>
  </si>
  <si>
    <t>Pendleton, Oregon</t>
  </si>
  <si>
    <t>801 SE Court Avenue</t>
  </si>
  <si>
    <t>Double J Drive Thru/Greyhound Station</t>
  </si>
  <si>
    <t>Pendleton</t>
  </si>
  <si>
    <t>541-276-1551</t>
  </si>
  <si>
    <t>45.674323,-118.779502</t>
  </si>
  <si>
    <t>PFS</t>
  </si>
  <si>
    <t>Post Falls, Idaho</t>
  </si>
  <si>
    <t>201 East Fourth Avenue</t>
  </si>
  <si>
    <t>Post Falls</t>
  </si>
  <si>
    <t>47.711250,-116.946426</t>
  </si>
  <si>
    <t>PGH</t>
  </si>
  <si>
    <t>Pittsburgh, Pennsylvania</t>
  </si>
  <si>
    <t>1100 Liberty Avenue</t>
  </si>
  <si>
    <t>Pittsburgh</t>
  </si>
  <si>
    <t>412-471-6171</t>
  </si>
  <si>
    <t>Via Rail</t>
  </si>
  <si>
    <t>40.443880,-79.992733</t>
  </si>
  <si>
    <t>PGHL</t>
  </si>
  <si>
    <t>PHA</t>
  </si>
  <si>
    <t>Phoenix (Airport), Arizona</t>
  </si>
  <si>
    <t>3400 East Sky Harbor Boulevard</t>
  </si>
  <si>
    <t>City-to-City Transport Desk, Terminals 2, 3 or 4</t>
  </si>
  <si>
    <t>Must check in at Desk for escort to Van</t>
  </si>
  <si>
    <t>Phoenix</t>
  </si>
  <si>
    <t>33.436390,-112.013047</t>
  </si>
  <si>
    <t>$1.00 security fee collected by the airport from passengers.</t>
  </si>
  <si>
    <t>Unstaffed Thruway bus stop</t>
  </si>
  <si>
    <t>PHG</t>
  </si>
  <si>
    <t>Phoenix (Greyhound), Arizona</t>
  </si>
  <si>
    <t>2115 East Buckeye Road</t>
  </si>
  <si>
    <t>602-389-4200</t>
  </si>
  <si>
    <t>33.436395,-112.035623</t>
  </si>
  <si>
    <t>Non-Amtrak staffed Thruway bus stop</t>
  </si>
  <si>
    <t>Philadelphia (30th St), Pennsylvania</t>
  </si>
  <si>
    <t>2955 Market Street</t>
  </si>
  <si>
    <t>30th Street Station</t>
  </si>
  <si>
    <t>Philadelphia</t>
  </si>
  <si>
    <t>215-349-2135</t>
  </si>
  <si>
    <t>VIA / SEPTA/NJT</t>
  </si>
  <si>
    <t>39.955615,-75.181041</t>
  </si>
  <si>
    <t>P435</t>
  </si>
  <si>
    <t>Manager of  Station Operations</t>
  </si>
  <si>
    <t>PH9</t>
  </si>
  <si>
    <t>PHN</t>
  </si>
  <si>
    <t>Philadelphia (North), Pennsylvania</t>
  </si>
  <si>
    <t>2900 North Broad Street</t>
  </si>
  <si>
    <t>Broad St. and Glenwood Avenue</t>
  </si>
  <si>
    <t>39.996780,-75.155114</t>
  </si>
  <si>
    <t>Manager-customer Service</t>
  </si>
  <si>
    <t>PIA</t>
  </si>
  <si>
    <t>Peoria, Illinois</t>
  </si>
  <si>
    <t>407 Southwest Adams Street</t>
  </si>
  <si>
    <t>City Link Transit Center</t>
  </si>
  <si>
    <t>Peoria</t>
  </si>
  <si>
    <t>309-697-9000</t>
  </si>
  <si>
    <t>40.689245,-89.593871</t>
  </si>
  <si>
    <t>Passengers without ticket must pay Burlington Trailways</t>
  </si>
  <si>
    <t>THIS IS A STAFFED BUS STOP</t>
  </si>
  <si>
    <t>PIC</t>
  </si>
  <si>
    <t>Picayune, Mississippi</t>
  </si>
  <si>
    <t>200 Highway 11 South</t>
  </si>
  <si>
    <t>at Tate Street</t>
  </si>
  <si>
    <t>Picayune</t>
  </si>
  <si>
    <t>30.524606,-89.680260</t>
  </si>
  <si>
    <t>1001 Loyola Ave., New Orleans, LA 70013</t>
  </si>
  <si>
    <t>PIT</t>
  </si>
  <si>
    <t>Pittsfield, Massachusetts</t>
  </si>
  <si>
    <t>1355 East Street</t>
  </si>
  <si>
    <t>CSX yard</t>
  </si>
  <si>
    <t>Pittsfield</t>
  </si>
  <si>
    <t>42.454382,-73.219078</t>
  </si>
  <si>
    <t>Temporary thru late fall 2012 due to CSX trackwork</t>
  </si>
  <si>
    <t>Albany NY</t>
  </si>
  <si>
    <t>PJC</t>
  </si>
  <si>
    <t>Princeton Junction, New Jersey</t>
  </si>
  <si>
    <t>2 Wallace Circle</t>
  </si>
  <si>
    <t>Princeton Junction</t>
  </si>
  <si>
    <t>40.315850,-74.623976</t>
  </si>
  <si>
    <t>PJCL</t>
  </si>
  <si>
    <t>PLB</t>
  </si>
  <si>
    <t>Plattsburgh, New York</t>
  </si>
  <si>
    <t>Bridge and Dock Streets</t>
  </si>
  <si>
    <t>Plattsburgh</t>
  </si>
  <si>
    <t>518-561-8550</t>
  </si>
  <si>
    <t>44.696728,-73.446284</t>
  </si>
  <si>
    <t>unstaffed - caretaker on duty -</t>
  </si>
  <si>
    <t>Albany/Rensselaer,N.Y</t>
  </si>
  <si>
    <t>PLO</t>
  </si>
  <si>
    <t>Plano, Illinois</t>
  </si>
  <si>
    <t>101 West Main Street</t>
  </si>
  <si>
    <t>Plano</t>
  </si>
  <si>
    <t>41.662384,-88.538272</t>
  </si>
  <si>
    <t>PLS</t>
  </si>
  <si>
    <t>Pleasanton (ACE Station), California</t>
  </si>
  <si>
    <t>4950 Pleasanton Avenue</t>
  </si>
  <si>
    <t>37.658152,-121.882639</t>
  </si>
  <si>
    <t>PLU</t>
  </si>
  <si>
    <t>Plummer, Idaho</t>
  </si>
  <si>
    <t>396070 Highway 95</t>
  </si>
  <si>
    <t>Warpath Smoke Shop and Trading Post</t>
  </si>
  <si>
    <t>Plummer</t>
  </si>
  <si>
    <t>47.338388,-116.888786</t>
  </si>
  <si>
    <t>PMD</t>
  </si>
  <si>
    <t>Palmdale, California</t>
  </si>
  <si>
    <t>39000 Clock Tower Plaza Drive</t>
  </si>
  <si>
    <t>Palmdale Transportation Center, Bus Bay 2E</t>
  </si>
  <si>
    <t>Palmdale</t>
  </si>
  <si>
    <t>34.591238,-118.120737</t>
  </si>
  <si>
    <t>PMM</t>
  </si>
  <si>
    <t>Primm, Nevada</t>
  </si>
  <si>
    <t>31900 Las Vegas Blvd. South</t>
  </si>
  <si>
    <t>Whiskey Petes's Hotel/Casino</t>
  </si>
  <si>
    <t>Primm</t>
  </si>
  <si>
    <t>35.611030,-115.391742</t>
  </si>
  <si>
    <t>PMO</t>
  </si>
  <si>
    <t>Plymouth, New Hampshire</t>
  </si>
  <si>
    <t>83 Main Street</t>
  </si>
  <si>
    <t>Chase Street Market</t>
  </si>
  <si>
    <t>Plymouth</t>
  </si>
  <si>
    <t>43.757848,-71.687691</t>
  </si>
  <si>
    <t>PNT</t>
  </si>
  <si>
    <t>Pontiac, Michigan</t>
  </si>
  <si>
    <t>51000 Woodward Avenue</t>
  </si>
  <si>
    <t>Pontiac Transportation Center</t>
  </si>
  <si>
    <t>Pontiac</t>
  </si>
  <si>
    <t>42.632771,-83.292325</t>
  </si>
  <si>
    <t>Station hours determined by Greyhound agent &amp; are irregular</t>
  </si>
  <si>
    <t>POG</t>
  </si>
  <si>
    <t>Portage, Wisconsin</t>
  </si>
  <si>
    <t>400 West Oneida Street</t>
  </si>
  <si>
    <t>Portage</t>
  </si>
  <si>
    <t>43.547079,-89.467627</t>
  </si>
  <si>
    <t>Shelter has heat, no phone</t>
  </si>
  <si>
    <t>Superintendent, Passenger Services</t>
  </si>
  <si>
    <t>POH</t>
  </si>
  <si>
    <t>Port Henry, New York</t>
  </si>
  <si>
    <t>20 Park Place</t>
  </si>
  <si>
    <t>Senior Citizen Center</t>
  </si>
  <si>
    <t>Port Henry</t>
  </si>
  <si>
    <t>44.042297,-73.458753</t>
  </si>
  <si>
    <t>GJTL</t>
  </si>
  <si>
    <t>GLE</t>
  </si>
  <si>
    <t>Gainesville, Texas</t>
  </si>
  <si>
    <t>605 East California Street</t>
  </si>
  <si>
    <t>Gainesville</t>
  </si>
  <si>
    <t>33.625159,-97.140896</t>
  </si>
  <si>
    <t>GLF</t>
  </si>
  <si>
    <t>Golf Bag</t>
  </si>
  <si>
    <t>City code to allow collection of carry-on golf bag charges.</t>
  </si>
  <si>
    <t>GLM</t>
  </si>
  <si>
    <t>Gilman, Illinois</t>
  </si>
  <si>
    <t>US Highway 24 &amp; West Wenona Street</t>
  </si>
  <si>
    <t>Gilman</t>
  </si>
  <si>
    <t>40.752547,-87.998055</t>
  </si>
  <si>
    <t>GLN</t>
  </si>
  <si>
    <t>Glenview, Illinois</t>
  </si>
  <si>
    <t>1116 Depot Street</t>
  </si>
  <si>
    <t>Glenview</t>
  </si>
  <si>
    <t>847-724-2530</t>
  </si>
  <si>
    <t>42.075038,-87.805562</t>
  </si>
  <si>
    <t>GLNL</t>
  </si>
  <si>
    <t>GLP</t>
  </si>
  <si>
    <t>Gallup, New Mexico</t>
  </si>
  <si>
    <t>201 East Highway 66</t>
  </si>
  <si>
    <t>(Amtrak shares space with Gallup Cultural Center)</t>
  </si>
  <si>
    <t>Gallup</t>
  </si>
  <si>
    <t>N/A</t>
  </si>
  <si>
    <t>35.529176,-108.740548</t>
  </si>
  <si>
    <t>GLS</t>
  </si>
  <si>
    <t>Galveston (Texas Eagle Bus), Texas</t>
  </si>
  <si>
    <t>123 Rosenberg Street</t>
  </si>
  <si>
    <t>Galveston Railroad Museum</t>
  </si>
  <si>
    <t>Galveston</t>
  </si>
  <si>
    <t>GLX</t>
  </si>
  <si>
    <t>29.306615,-94.796849</t>
  </si>
  <si>
    <t>JPA</t>
  </si>
  <si>
    <t>Los Angeles, Ca.</t>
  </si>
  <si>
    <t>GLV</t>
  </si>
  <si>
    <t>Galveston (Sunset Limited Bus), Texas</t>
  </si>
  <si>
    <t>3825 Broadway, Suite B</t>
  </si>
  <si>
    <t>A-Z Cellular Phone/Valero Station</t>
  </si>
  <si>
    <t>409-765-7731</t>
  </si>
  <si>
    <t>29.295208,-94.809920</t>
  </si>
  <si>
    <t>GLY</t>
  </si>
  <si>
    <t>Gilroy, California</t>
  </si>
  <si>
    <t>7250 Monterey Street</t>
  </si>
  <si>
    <t>Caltrain Station</t>
  </si>
  <si>
    <t>Gilroy</t>
  </si>
  <si>
    <t>37.003961,-121.566798</t>
  </si>
  <si>
    <t>GMS</t>
  </si>
  <si>
    <t>Grimsby, Ontario</t>
  </si>
  <si>
    <t>Ontario Street and Drake Avenue</t>
  </si>
  <si>
    <t>Grimsby</t>
  </si>
  <si>
    <t>XGY</t>
  </si>
  <si>
    <t>VIAnet:  GRIM</t>
  </si>
  <si>
    <t>43.195910,-79.558007</t>
  </si>
  <si>
    <t>Manager, Customer Service (VIA)</t>
  </si>
  <si>
    <t>298 Walker Road, Windsor, Ontario N8Y 2M9</t>
  </si>
  <si>
    <t>Manager, Customer Service (Via Rail)</t>
  </si>
  <si>
    <t>298 Walker Road, Windsor, Ontario, N8Y 2M9</t>
  </si>
  <si>
    <t>GNB</t>
  </si>
  <si>
    <t>Greensburg, Pennsylvania</t>
  </si>
  <si>
    <t>Harrison Avenue and Seton Hill Drive</t>
  </si>
  <si>
    <t>Greensburg</t>
  </si>
  <si>
    <t>40.304986,-79.546893</t>
  </si>
  <si>
    <t>GNF</t>
  </si>
  <si>
    <t>Gainesville, Florida</t>
  </si>
  <si>
    <t>201 East University Avenue</t>
  </si>
  <si>
    <t>29.651852,-82.323536</t>
  </si>
  <si>
    <t>Jacksonville, Fl</t>
  </si>
  <si>
    <t>GNS</t>
  </si>
  <si>
    <t>Gainesville, Georgia</t>
  </si>
  <si>
    <t>116 Industrial Boulevard</t>
  </si>
  <si>
    <t>34.288897,-83.819694</t>
  </si>
  <si>
    <t>1001 Loyola Ave Suite 207A  New Orleans LA 70013</t>
  </si>
  <si>
    <t>GPB</t>
  </si>
  <si>
    <t>Group Breakfast</t>
  </si>
  <si>
    <t>GPD</t>
  </si>
  <si>
    <t>Group Dinner</t>
  </si>
  <si>
    <t>GPF</t>
  </si>
  <si>
    <t>Group FedEx TBM</t>
  </si>
  <si>
    <t>GPI</t>
  </si>
  <si>
    <t>Kids Trains and Meal</t>
  </si>
  <si>
    <t>GPK</t>
  </si>
  <si>
    <t>East Glacier Park, Montana</t>
  </si>
  <si>
    <t>400 Highway 49 North</t>
  </si>
  <si>
    <t>East Glacier Park</t>
  </si>
  <si>
    <t>406-226-4452</t>
  </si>
  <si>
    <t>48.442333,-113.219523</t>
  </si>
  <si>
    <t>Seasonal Stop April 29, 2012-October 6, 2012</t>
  </si>
  <si>
    <t>P3CF</t>
  </si>
  <si>
    <t>District Manager Stations North</t>
  </si>
  <si>
    <t>Asst supt passenger services</t>
  </si>
  <si>
    <t>se7</t>
  </si>
  <si>
    <t>p706</t>
  </si>
  <si>
    <t>GPL</t>
  </si>
  <si>
    <t>Group Lunch</t>
  </si>
  <si>
    <t>GPM</t>
  </si>
  <si>
    <t>Garrett Park, Maryland</t>
  </si>
  <si>
    <t>11015 Rokeby Avenue</t>
  </si>
  <si>
    <t>Garrett Park</t>
  </si>
  <si>
    <t>GPS</t>
  </si>
  <si>
    <t>Group Special Meal</t>
  </si>
  <si>
    <t>GRA</t>
  </si>
  <si>
    <t>Granby, Colorado</t>
  </si>
  <si>
    <t>438 Railroad Avenue</t>
  </si>
  <si>
    <t>Granby</t>
  </si>
  <si>
    <t>40.084188,-105.935503</t>
  </si>
  <si>
    <t>730 Transfer RD, St. Paul, MN 55114</t>
  </si>
  <si>
    <t>GRI</t>
  </si>
  <si>
    <t>Green River, Utah</t>
  </si>
  <si>
    <t>250 South Broadway</t>
  </si>
  <si>
    <t>@ RR Tracks and Green River Avenue</t>
  </si>
  <si>
    <t>Green River</t>
  </si>
  <si>
    <t>UT</t>
  </si>
  <si>
    <t>38.992039,-110.165228</t>
  </si>
  <si>
    <t>GRO</t>
  </si>
  <si>
    <t>Greensboro, North Carolina</t>
  </si>
  <si>
    <t>236 East Washington Street</t>
  </si>
  <si>
    <t>Galyon Transportation Center</t>
  </si>
  <si>
    <t>Look under "airport" for information on free shuttle service</t>
  </si>
  <si>
    <t>Amtrak Customer Service Number</t>
  </si>
  <si>
    <t>MKE</t>
  </si>
  <si>
    <t>Milwaukee (Intermodal Station), Wisconsin</t>
  </si>
  <si>
    <t>433 West St. Paul Avenue</t>
  </si>
  <si>
    <t>414-271-0840</t>
  </si>
  <si>
    <t>Via Rail Canda</t>
  </si>
  <si>
    <t>43.034518,-87.917104</t>
  </si>
  <si>
    <t>40TH ANNIVERSARY TRAIN SAT/SUN 10 - 4</t>
  </si>
  <si>
    <t>MKV</t>
  </si>
  <si>
    <t>McKinleyville, California</t>
  </si>
  <si>
    <t>3561 Boeing Avenue</t>
  </si>
  <si>
    <t>Arcata Airport Terminal</t>
  </si>
  <si>
    <t>McKinleyville</t>
  </si>
  <si>
    <t>40.970641,-124.106537</t>
  </si>
  <si>
    <t>MLI</t>
  </si>
  <si>
    <t>Moline, Illinois</t>
  </si>
  <si>
    <t>1200 River Drive</t>
  </si>
  <si>
    <t>Centre Station</t>
  </si>
  <si>
    <t>Moline</t>
  </si>
  <si>
    <t>309-764-4257</t>
  </si>
  <si>
    <t>Burlington Trailways</t>
  </si>
  <si>
    <t>41.506758,-90.521104</t>
  </si>
  <si>
    <t>THIS IS A AMTRAK THRUWAY BUS STOP</t>
  </si>
  <si>
    <t>MLK</t>
  </si>
  <si>
    <t>Moses Lake, Washington</t>
  </si>
  <si>
    <t>1810 East Kittleson Road</t>
  </si>
  <si>
    <t>Ernie's Truck Stop - Chevron Station</t>
  </si>
  <si>
    <t>Moses Lake</t>
  </si>
  <si>
    <t>47.101976,-119.245360</t>
  </si>
  <si>
    <t>MLN</t>
  </si>
  <si>
    <t>Mancelona, Michigan</t>
  </si>
  <si>
    <t>8497 US Highway 131 North</t>
  </si>
  <si>
    <t>McDonald's Restaurant</t>
  </si>
  <si>
    <t>Mancelona</t>
  </si>
  <si>
    <t>44.912833,-85.050309</t>
  </si>
  <si>
    <t>Pick up at McDonalds restaurant</t>
  </si>
  <si>
    <t>MMK</t>
  </si>
  <si>
    <t>Mammoth Lakes, California</t>
  </si>
  <si>
    <t>1 Minaret Road</t>
  </si>
  <si>
    <t>Mammoth Mountain Inn</t>
  </si>
  <si>
    <t>Mammoth Lakes</t>
  </si>
  <si>
    <t>37.651389,-119.038900</t>
  </si>
  <si>
    <t>MNG</t>
  </si>
  <si>
    <t>Montgomery, West Virginia</t>
  </si>
  <si>
    <t>Third Avenue and Washington Street</t>
  </si>
  <si>
    <t>Montgomery</t>
  </si>
  <si>
    <t>38.180743,-81.324030</t>
  </si>
  <si>
    <t>MNI</t>
  </si>
  <si>
    <t>Manning, Oregon</t>
  </si>
  <si>
    <t>47000 Highway 26</t>
  </si>
  <si>
    <t>East of Dairy Queen</t>
  </si>
  <si>
    <t>Manning</t>
  </si>
  <si>
    <t>45.666772,-123.167068</t>
  </si>
  <si>
    <t>MNM</t>
  </si>
  <si>
    <t>Menomonie, Wisconsin</t>
  </si>
  <si>
    <t>302 10th Avenue East</t>
  </si>
  <si>
    <t>UW-Stout Memorial Student Center</t>
  </si>
  <si>
    <t>Menomonie</t>
  </si>
  <si>
    <t>44.873665,-91.926059</t>
  </si>
  <si>
    <t xml:space="preserve">District Manager Stations </t>
  </si>
  <si>
    <t>MOC</t>
  </si>
  <si>
    <t>Moscow, Idaho</t>
  </si>
  <si>
    <t>120 West 6th St.</t>
  </si>
  <si>
    <t>Royal Motor Inn</t>
  </si>
  <si>
    <t>Northwestern Stage Bus Stop</t>
  </si>
  <si>
    <t>Moscow</t>
  </si>
  <si>
    <t>46.730120,-117.002249</t>
  </si>
  <si>
    <t>unstaffed bus stop at Royal Motor Inn</t>
  </si>
  <si>
    <t>MOD</t>
  </si>
  <si>
    <t>Modesto, California</t>
  </si>
  <si>
    <t>1700 Held Drive</t>
  </si>
  <si>
    <t>Modesto</t>
  </si>
  <si>
    <t>209-551-2048</t>
  </si>
  <si>
    <t>37.668951,-120.912913</t>
  </si>
  <si>
    <t>MODL</t>
  </si>
  <si>
    <t>Oakland, Ca</t>
  </si>
  <si>
    <t>MOJ</t>
  </si>
  <si>
    <t>Mojave, California</t>
  </si>
  <si>
    <t>15900 Sierra Highway</t>
  </si>
  <si>
    <t>Carl's Jr. Restaurant</t>
  </si>
  <si>
    <t>Mojave</t>
  </si>
  <si>
    <t>35.052490,-118.173181</t>
  </si>
  <si>
    <t>See "Thruway service" for more information</t>
  </si>
  <si>
    <t>Unstaffed Thruway Stop</t>
  </si>
  <si>
    <t>MOT</t>
  </si>
  <si>
    <t>Minot, North Dakota</t>
  </si>
  <si>
    <t>400 1st Avenue S.W.</t>
  </si>
  <si>
    <t>Minot</t>
  </si>
  <si>
    <t>701-852-0358</t>
  </si>
  <si>
    <t>48.236083,-101.298557</t>
  </si>
  <si>
    <t>No checked baggage! See the Miscellaneous screen.</t>
  </si>
  <si>
    <t>MOTL</t>
  </si>
  <si>
    <t>MOV</t>
  </si>
  <si>
    <t>Moreno Valley, California</t>
  </si>
  <si>
    <t>2650 East Alessandro Blvd.</t>
  </si>
  <si>
    <t>RTA Bus Stop at Curb</t>
  </si>
  <si>
    <t>Located just west of Big O Tires</t>
  </si>
  <si>
    <t>Riverside</t>
  </si>
  <si>
    <t>33.916959,-117.284319</t>
  </si>
  <si>
    <t>MPK</t>
  </si>
  <si>
    <t>Moorpark, California</t>
  </si>
  <si>
    <t>300 High Street</t>
  </si>
  <si>
    <t>Amtrak / Metrolink Station</t>
  </si>
  <si>
    <t>Moorpark</t>
  </si>
  <si>
    <t>34.284760,-118.878059</t>
  </si>
  <si>
    <t>MPR</t>
  </si>
  <si>
    <t>Montpelier, Vermont</t>
  </si>
  <si>
    <t>Junction Road and Short Road</t>
  </si>
  <si>
    <t>Montpelier</t>
  </si>
  <si>
    <t>44.255749,-72.606394</t>
  </si>
  <si>
    <t>2/17/12  waiting room temp closed</t>
  </si>
  <si>
    <t>unmanned</t>
  </si>
  <si>
    <t>MQT</t>
  </si>
  <si>
    <t>Marquette, Michigan</t>
  </si>
  <si>
    <t>1325 Commerce Drive</t>
  </si>
  <si>
    <t>Marquette Transit Authority</t>
  </si>
  <si>
    <t>Marquette</t>
  </si>
  <si>
    <t>46.556786,-87.451166</t>
  </si>
  <si>
    <t>MRB</t>
  </si>
  <si>
    <t>Martinsburg, West Virginia</t>
  </si>
  <si>
    <t>229 East Martin Street</t>
  </si>
  <si>
    <t>Caperton Station</t>
  </si>
  <si>
    <t>Martinsburg</t>
  </si>
  <si>
    <t>39.458661,-77.961014</t>
  </si>
  <si>
    <t>Caperton Station Info Center, 304-264-9977. No Amtrak info.</t>
  </si>
  <si>
    <t>Station Manager, Customer Services (WAS)</t>
  </si>
  <si>
    <t>Assistant Superintendent,  Passenger Services</t>
  </si>
  <si>
    <t>MRC</t>
  </si>
  <si>
    <t>Maricopa, Arizona</t>
  </si>
  <si>
    <t>19427 North John Wayne Parkway</t>
  </si>
  <si>
    <t>P.O. Box 897</t>
  </si>
  <si>
    <t>Maricopa</t>
  </si>
  <si>
    <t>520-568-2210</t>
  </si>
  <si>
    <t>PHX</t>
  </si>
  <si>
    <t>33.056284,-112.047137</t>
  </si>
  <si>
    <t>Robert Lorenzo-Do not give out station number.</t>
  </si>
  <si>
    <t>MRCL</t>
  </si>
  <si>
    <t>MRM</t>
  </si>
  <si>
    <t>Mariposa (Midtown), California</t>
  </si>
  <si>
    <t>409 West Oklahoma Ave.</t>
  </si>
  <si>
    <t>Santa Fe Depot</t>
  </si>
  <si>
    <t>Guthrie</t>
  </si>
  <si>
    <t>35.877861,-97.429698</t>
  </si>
  <si>
    <t>Special stop for Bluegrass Festival, see "Attractions" scrn</t>
  </si>
  <si>
    <t>GVB</t>
  </si>
  <si>
    <t>Grover Beach, California</t>
  </si>
  <si>
    <t>180 West Grand Avenue</t>
  </si>
  <si>
    <t>Grover Beach</t>
  </si>
  <si>
    <t>35.121260,-120.629266</t>
  </si>
  <si>
    <t>for additional information, see Thruway Service</t>
  </si>
  <si>
    <t>GVI</t>
  </si>
  <si>
    <t>Grangeville, Idaho</t>
  </si>
  <si>
    <t>901 West Main (Highway 95)</t>
  </si>
  <si>
    <t>ZIP TRIP</t>
  </si>
  <si>
    <t>Grangeville</t>
  </si>
  <si>
    <t>Bus tickets only</t>
  </si>
  <si>
    <t>45.927188,-116.131574</t>
  </si>
  <si>
    <t>unstaffed bus stop at Cenex Station</t>
  </si>
  <si>
    <t>Manager Bus Operations</t>
  </si>
  <si>
    <t>GWD</t>
  </si>
  <si>
    <t>Greenwood, Mississippi</t>
  </si>
  <si>
    <t>Carrollton Avenue and East Gibson Street</t>
  </si>
  <si>
    <t>Greenwood</t>
  </si>
  <si>
    <t>33.517159,-90.176454</t>
  </si>
  <si>
    <t>Tr 58: Conductor sells tkts to psgrs at sta before boarding</t>
  </si>
  <si>
    <t>ST. LOUIS, MO</t>
  </si>
  <si>
    <t>STL</t>
  </si>
  <si>
    <t>HAE</t>
  </si>
  <si>
    <t>Halethorpe, Maryland</t>
  </si>
  <si>
    <t>5833 Southwestern Boulevard</t>
  </si>
  <si>
    <t>HAG</t>
  </si>
  <si>
    <t>Hagerstown, Maryland</t>
  </si>
  <si>
    <t>10524 Sharpsburg Pike</t>
  </si>
  <si>
    <t>Liberty Gas Station/7-Eleven Store</t>
  </si>
  <si>
    <t>Hagerstown</t>
  </si>
  <si>
    <t>39.602882,-77.729935</t>
  </si>
  <si>
    <t>HAM</t>
  </si>
  <si>
    <t>Hamlet, North Carolina</t>
  </si>
  <si>
    <t>2 Main Street</t>
  </si>
  <si>
    <t>at Bridges St.</t>
  </si>
  <si>
    <t>Hamlet</t>
  </si>
  <si>
    <t>34.883663,-79.699218</t>
  </si>
  <si>
    <t>Unstaffed Station - Station Attendant meets all trains.</t>
  </si>
  <si>
    <t>HAR</t>
  </si>
  <si>
    <t>4th and Chestnut Streets</t>
  </si>
  <si>
    <t>Harrisburg</t>
  </si>
  <si>
    <t>717-232-3331</t>
  </si>
  <si>
    <t>40.262050,-76.878256</t>
  </si>
  <si>
    <t>HAS</t>
  </si>
  <si>
    <t>Hastings, Nebraska</t>
  </si>
  <si>
    <t>501 West First Street</t>
  </si>
  <si>
    <t>Hastings</t>
  </si>
  <si>
    <t>NE</t>
  </si>
  <si>
    <t>402-462-5703</t>
  </si>
  <si>
    <t>40.584276,-98.387534</t>
  </si>
  <si>
    <t>HASL</t>
  </si>
  <si>
    <t>HAV</t>
  </si>
  <si>
    <t>Havre, Montana</t>
  </si>
  <si>
    <t>235 Main Street</t>
  </si>
  <si>
    <t>Havre</t>
  </si>
  <si>
    <t>406-265-5381</t>
  </si>
  <si>
    <t>48.554465,-109.678352</t>
  </si>
  <si>
    <t>HAVL</t>
  </si>
  <si>
    <t>HAY</t>
  </si>
  <si>
    <t>Hayward, California</t>
  </si>
  <si>
    <t>22555 Meekland Avenue</t>
  </si>
  <si>
    <t>Hayward</t>
  </si>
  <si>
    <t>37.665997,-122.099277</t>
  </si>
  <si>
    <t>HAZ</t>
  </si>
  <si>
    <t>Hazlehurst, Mississippi</t>
  </si>
  <si>
    <t>North Ragsdale Avenue and East Conway Street</t>
  </si>
  <si>
    <t>Hazlehurst</t>
  </si>
  <si>
    <t>31.861320,-90.394347</t>
  </si>
  <si>
    <t>HBG</t>
  </si>
  <si>
    <t>Hattiesburg, Mississippi</t>
  </si>
  <si>
    <t>308 Newman Street</t>
  </si>
  <si>
    <t>Hattiesburg</t>
  </si>
  <si>
    <t>31.326921,-89.286463</t>
  </si>
  <si>
    <t>Completely rebuilt station - Amtrak facilities in station.</t>
  </si>
  <si>
    <t>District Manager- Stations</t>
  </si>
  <si>
    <t>1001 Loyola Ave., New Orleans, LA</t>
  </si>
  <si>
    <t>HDS</t>
  </si>
  <si>
    <t>Hammond</t>
  </si>
  <si>
    <t>985-345-6264</t>
  </si>
  <si>
    <t>30.507180,-90.462169</t>
  </si>
  <si>
    <t>HMDL</t>
  </si>
  <si>
    <t>nEW oLREANS</t>
  </si>
  <si>
    <t>HMI</t>
  </si>
  <si>
    <t>Hammond-Whiting, Indiana</t>
  </si>
  <si>
    <t>1135 North Calumet Avenue</t>
  </si>
  <si>
    <t>41.691155,-87.506511</t>
  </si>
  <si>
    <t>Caretaker only Mon-Fri 12p to 5p</t>
  </si>
  <si>
    <t>HMT</t>
  </si>
  <si>
    <t>at Park Road - Metro/MARC/Amtrak station</t>
  </si>
  <si>
    <t>Rockville</t>
  </si>
  <si>
    <t>39.084547,-77.145995</t>
  </si>
  <si>
    <t>Quik-Trak hours, see Hours screen, not available weekends</t>
  </si>
  <si>
    <t>Manager Stations, Customer Service</t>
  </si>
  <si>
    <t>RLN</t>
  </si>
  <si>
    <t>Rocklin, California</t>
  </si>
  <si>
    <t>Rocklin Rd. and Railroad Ave.</t>
  </si>
  <si>
    <t>Rocklin</t>
  </si>
  <si>
    <t>38.791006,-121.237299</t>
  </si>
  <si>
    <t>RLP</t>
  </si>
  <si>
    <t>Destination code for Rail Pass</t>
  </si>
  <si>
    <t>RMT</t>
  </si>
  <si>
    <t>Rocky Mount, North Carolina</t>
  </si>
  <si>
    <t>101 Coastline Street</t>
  </si>
  <si>
    <t>Rocky Mount</t>
  </si>
  <si>
    <t>252-446-3646</t>
  </si>
  <si>
    <t>35.938001,-77.797855</t>
  </si>
  <si>
    <t>Free Wi-Fi Internet Service is available at this station</t>
  </si>
  <si>
    <t>RMTL</t>
  </si>
  <si>
    <t>RNO</t>
  </si>
  <si>
    <t>Reno, Nevada</t>
  </si>
  <si>
    <t>280 North Center Street</t>
  </si>
  <si>
    <t>East Commercial Row and Center Street</t>
  </si>
  <si>
    <t>next door to Harrah's Casino</t>
  </si>
  <si>
    <t>Reno</t>
  </si>
  <si>
    <t>775-329-8638</t>
  </si>
  <si>
    <t>39.528521,-119.812123</t>
  </si>
  <si>
    <t>RNOL</t>
  </si>
  <si>
    <t>Sacramento, Ca</t>
  </si>
  <si>
    <t>RNY</t>
  </si>
  <si>
    <t>Running Y Ranch, Oregon</t>
  </si>
  <si>
    <t>5500 Running Y Road</t>
  </si>
  <si>
    <t>Running Y Lodge</t>
  </si>
  <si>
    <t>42.276880,-121.885157</t>
  </si>
  <si>
    <t>ROC</t>
  </si>
  <si>
    <t>Rochester, New York</t>
  </si>
  <si>
    <t>320 Central Avenue</t>
  </si>
  <si>
    <t>Rochester</t>
  </si>
  <si>
    <t>585-454-2894</t>
  </si>
  <si>
    <t>43.163411,-77.608057</t>
  </si>
  <si>
    <t>ROCL</t>
  </si>
  <si>
    <t>ROD</t>
  </si>
  <si>
    <t>Rockland, Maine</t>
  </si>
  <si>
    <t>517A Main Street</t>
  </si>
  <si>
    <t>Maine State Ferry Terminal</t>
  </si>
  <si>
    <t>Rockland</t>
  </si>
  <si>
    <t>207-596-2202</t>
  </si>
  <si>
    <t>44.107267,-69.108220</t>
  </si>
  <si>
    <t>Call 800-639-3317 the night before to make the bus stop here</t>
  </si>
  <si>
    <t>Concord Trailways contract agent, no Amtrak sales</t>
  </si>
  <si>
    <t>ROM</t>
  </si>
  <si>
    <t>Rome, New York</t>
  </si>
  <si>
    <t>6599 Martin Street</t>
  </si>
  <si>
    <t>Rome</t>
  </si>
  <si>
    <t>43.199425,-75.449960</t>
  </si>
  <si>
    <t>Buffalo/Depew, NY</t>
  </si>
  <si>
    <t>ROY</t>
  </si>
  <si>
    <t>Royal Oak, Michigan</t>
  </si>
  <si>
    <t>202 South Sherman Drive</t>
  </si>
  <si>
    <t>Royal Oak</t>
  </si>
  <si>
    <t>42.488439,-83.147010</t>
  </si>
  <si>
    <t>Quik-Trak at Transit Ctr, 202 S. Sherman Dr, 1 blk, see Misc</t>
  </si>
  <si>
    <t>RPA</t>
  </si>
  <si>
    <t>Rail Pass</t>
  </si>
  <si>
    <t>RPC</t>
  </si>
  <si>
    <t>Rohnert Park, California</t>
  </si>
  <si>
    <t>6335 Commerce Blvd</t>
  </si>
  <si>
    <t>Transit Stop</t>
  </si>
  <si>
    <t>Across the street from Safeway</t>
  </si>
  <si>
    <t>Rohnert Park</t>
  </si>
  <si>
    <t>38.347328,-122.709749</t>
  </si>
  <si>
    <t>Ast Supp</t>
  </si>
  <si>
    <t>RPH</t>
  </si>
  <si>
    <t>Randolph, Vermont</t>
  </si>
  <si>
    <t>South Main and Salisbury Streets</t>
  </si>
  <si>
    <t>Depot Square</t>
  </si>
  <si>
    <t>Randolph</t>
  </si>
  <si>
    <t>43.922398,-72.665459</t>
  </si>
  <si>
    <t>platform only  very small shelter</t>
  </si>
  <si>
    <t>RPT</t>
  </si>
  <si>
    <t>Reedsport, Oregon</t>
  </si>
  <si>
    <t>2012 Winchester Avenue</t>
  </si>
  <si>
    <t>Lion's Park, across street from 7-11 store</t>
  </si>
  <si>
    <t>Reedsport</t>
  </si>
  <si>
    <t>to EUG only</t>
  </si>
  <si>
    <t>43.695675,-124.120214</t>
  </si>
  <si>
    <t>RSP</t>
  </si>
  <si>
    <t>Rouses Point, New York</t>
  </si>
  <si>
    <t>Delaware and Pratt Streets</t>
  </si>
  <si>
    <t>Rouses Point</t>
  </si>
  <si>
    <t>44.994870,-73.371093</t>
  </si>
  <si>
    <t>Unstaffed Station - Custodian Office</t>
  </si>
  <si>
    <t>RSV</t>
  </si>
  <si>
    <t>Roseville, California</t>
  </si>
  <si>
    <t>201 Pacific Street</t>
  </si>
  <si>
    <t>Roseville</t>
  </si>
  <si>
    <t>38.750016,-121.286286</t>
  </si>
  <si>
    <t>District Manager Of Station</t>
  </si>
  <si>
    <t>RTE</t>
  </si>
  <si>
    <t>Route 128, Westwood, Massachusetts</t>
  </si>
  <si>
    <t>50 University Avenue</t>
  </si>
  <si>
    <t>Westwood</t>
  </si>
  <si>
    <t>781-751-5100</t>
  </si>
  <si>
    <t>42.210242,-71.147894</t>
  </si>
  <si>
    <t>Ticket Office opens at 6AM on Major Holidays</t>
  </si>
  <si>
    <t>Q557</t>
  </si>
  <si>
    <t>RTL</t>
  </si>
  <si>
    <t>Rantoul, Illinois</t>
  </si>
  <si>
    <t>West Sangamon and North Kentucky Avenues</t>
  </si>
  <si>
    <t>Rantoul</t>
  </si>
  <si>
    <t>40.310905,-88.159126</t>
  </si>
  <si>
    <t>RTZ</t>
  </si>
  <si>
    <t>Ritzville, Washington</t>
  </si>
  <si>
    <t>1503 South Smittys Blvd.</t>
  </si>
  <si>
    <t>Zips Drive In</t>
  </si>
  <si>
    <t>Ritzville</t>
  </si>
  <si>
    <t>47.119405,-118.365340</t>
  </si>
  <si>
    <t>RUD</t>
  </si>
  <si>
    <t>Rutland, Vermont</t>
  </si>
  <si>
    <t>25 Evelyn Street</t>
  </si>
  <si>
    <t>Rutland</t>
  </si>
  <si>
    <t>43.605756,-72.981538</t>
  </si>
  <si>
    <t>district superintendent empire service</t>
  </si>
  <si>
    <t>albany/rensselaer,ny</t>
  </si>
  <si>
    <t>RUG</t>
  </si>
  <si>
    <t>Rugby, North Dakota</t>
  </si>
  <si>
    <t>201 West Dewey Street</t>
  </si>
  <si>
    <t>Rugby</t>
  </si>
  <si>
    <t>701-776-5774</t>
  </si>
  <si>
    <t>48.369846,-99.997556</t>
  </si>
  <si>
    <t>RUGL</t>
  </si>
  <si>
    <t>RVD</t>
  </si>
  <si>
    <t>Riverdale, Maryland</t>
  </si>
  <si>
    <t>3 Queensberry Road</t>
  </si>
  <si>
    <t>Riverdale</t>
  </si>
  <si>
    <t>RVM</t>
  </si>
  <si>
    <t>Richmond (Main St), Virginia</t>
  </si>
  <si>
    <t>1500 East Main Street</t>
  </si>
  <si>
    <t>804-646-6246</t>
  </si>
  <si>
    <t>RVX</t>
  </si>
  <si>
    <t>37.534209,-77.429512</t>
  </si>
  <si>
    <t>Unstaffed, full service at RVR 10 miles away.</t>
  </si>
  <si>
    <t>Unstaffed location nearest staffed station RVR</t>
  </si>
  <si>
    <t>Unstaffed nearest staffed station services RVR</t>
  </si>
  <si>
    <t>Richmond VA Staples Mill Road station (RVR)</t>
  </si>
  <si>
    <t>RVR</t>
  </si>
  <si>
    <t>Richmond (Staples Mill Rd), Virginia</t>
  </si>
  <si>
    <t>7519 Staples Mill Road</t>
  </si>
  <si>
    <t>804-553-2903</t>
  </si>
  <si>
    <t>37.617693,-77.496943</t>
  </si>
  <si>
    <t>RVRT</t>
  </si>
  <si>
    <t>Customer Services Richmond, VA</t>
  </si>
  <si>
    <t>Richmond,VA (RVR)</t>
  </si>
  <si>
    <t>Assistant Superintendent, Customer Services</t>
  </si>
  <si>
    <t>RVT</t>
  </si>
  <si>
    <t>Rio Vista, California</t>
  </si>
  <si>
    <t>28 South Front Street</t>
  </si>
  <si>
    <t>Delta Breeze Transit bus stop</t>
  </si>
  <si>
    <t>Rio Vista</t>
  </si>
  <si>
    <t>38.155708,-121.690895</t>
  </si>
  <si>
    <t>SAB</t>
  </si>
  <si>
    <t>St. Albans, Vermont</t>
  </si>
  <si>
    <t>40 Federal Street</t>
  </si>
  <si>
    <t>St Albans</t>
  </si>
  <si>
    <t>802-527-7706</t>
  </si>
  <si>
    <t>44.812360,-73.086191</t>
  </si>
  <si>
    <t>caretaker on duty at trains times only</t>
  </si>
  <si>
    <t>District Manager of Passenger Services</t>
  </si>
  <si>
    <t>SAC</t>
  </si>
  <si>
    <t>Sacramento, California</t>
  </si>
  <si>
    <t>401 I Street</t>
  </si>
  <si>
    <t>Sacramento</t>
  </si>
  <si>
    <t>916-444-2475</t>
  </si>
  <si>
    <t>SAX</t>
  </si>
  <si>
    <t>38.584004,-121.500704</t>
  </si>
  <si>
    <t>See "Thruway Services" for STATE CAPITOL bus stop</t>
  </si>
  <si>
    <t>P72E</t>
  </si>
  <si>
    <t>SAF</t>
  </si>
  <si>
    <t>Santa Fe (Lamy Shuttle), New Mexico</t>
  </si>
  <si>
    <t>No specific stop location</t>
  </si>
  <si>
    <t>Call 505-982-8829 for pickup</t>
  </si>
  <si>
    <t>See Thruway screen for details.</t>
  </si>
  <si>
    <t>Santa Fe</t>
  </si>
  <si>
    <t>505-982-8829</t>
  </si>
  <si>
    <t>Call 505-982-8829 by 1030 for pickup to return to Lamy.</t>
  </si>
  <si>
    <t>Dedicated Thruway shuttle</t>
  </si>
  <si>
    <t>Washington, D.C.</t>
  </si>
  <si>
    <t>SAL</t>
  </si>
  <si>
    <t>Salisbury, North Carolina</t>
  </si>
  <si>
    <t>215 Depot Street</t>
  </si>
  <si>
    <t>Salisbury</t>
  </si>
  <si>
    <t>35.667496,-80.466323</t>
  </si>
  <si>
    <t>SAN</t>
  </si>
  <si>
    <t>San Diego (Downtown), California</t>
  </si>
  <si>
    <t>1050 Kettner Boulevard</t>
  </si>
  <si>
    <t>619-239-9989</t>
  </si>
  <si>
    <t>32.716169,-117.169576</t>
  </si>
  <si>
    <t>P705</t>
  </si>
  <si>
    <t>SAO</t>
  </si>
  <si>
    <t>Saco, Maine</t>
  </si>
  <si>
    <t>138 Main Street</t>
  </si>
  <si>
    <t>Saco Island on Main Street</t>
  </si>
  <si>
    <t>Saco</t>
  </si>
  <si>
    <t>43.496191,-70.449139</t>
  </si>
  <si>
    <t>Station has WiFi service.</t>
  </si>
  <si>
    <t>SAP</t>
  </si>
  <si>
    <t>Santa Paula, California</t>
  </si>
  <si>
    <t>327 South Palm Avenue</t>
  </si>
  <si>
    <t>Hudson, Wisconsin</t>
  </si>
  <si>
    <t>Carmichael Road and Coulee Road</t>
  </si>
  <si>
    <t>Park and Ride</t>
  </si>
  <si>
    <t>Hudson</t>
  </si>
  <si>
    <t>44.964226,-92.723127</t>
  </si>
  <si>
    <t>HEA</t>
  </si>
  <si>
    <t>Healdsburg, California</t>
  </si>
  <si>
    <t>165 Healdsburg Avenue</t>
  </si>
  <si>
    <t>Singletree Inn</t>
  </si>
  <si>
    <t>Healdsburg</t>
  </si>
  <si>
    <t>38.607095,-122.869554</t>
  </si>
  <si>
    <t>Districk Superintendent</t>
  </si>
  <si>
    <t>HEM</t>
  </si>
  <si>
    <t>Hermann, Missouri</t>
  </si>
  <si>
    <t>Wharf &amp; Gutenberg Streets</t>
  </si>
  <si>
    <t>Hermann</t>
  </si>
  <si>
    <t>MO</t>
  </si>
  <si>
    <t>38.707222,-91.432571</t>
  </si>
  <si>
    <t>HER</t>
  </si>
  <si>
    <t>Helper, Utah</t>
  </si>
  <si>
    <t>1 Depot Street</t>
  </si>
  <si>
    <t>Helper</t>
  </si>
  <si>
    <t>39.684036,-110.853894</t>
  </si>
  <si>
    <t>p72e</t>
  </si>
  <si>
    <t>HET</t>
  </si>
  <si>
    <t>Hemet (West Florida Ave), California</t>
  </si>
  <si>
    <t>3246 West Florida Avenue</t>
  </si>
  <si>
    <t>Coco's Restaurant</t>
  </si>
  <si>
    <t>Alt. Stop at Simpson Sr. Center-HMT</t>
  </si>
  <si>
    <t>Hemet</t>
  </si>
  <si>
    <t>HTX</t>
  </si>
  <si>
    <t>33.747509,-117.005831</t>
  </si>
  <si>
    <t>HFD</t>
  </si>
  <si>
    <t>Hartford, Connecticut</t>
  </si>
  <si>
    <t>One Union Place</t>
  </si>
  <si>
    <t>Hartford</t>
  </si>
  <si>
    <t>860-727-1776</t>
  </si>
  <si>
    <t>41.768761,-72.681314</t>
  </si>
  <si>
    <t>please see accessibility for specific restrictions!!!</t>
  </si>
  <si>
    <t>HFDL</t>
  </si>
  <si>
    <t>Assistant  Manager of Stations</t>
  </si>
  <si>
    <t>Springfield, Ma</t>
  </si>
  <si>
    <t>SP7</t>
  </si>
  <si>
    <t xml:space="preserve"> Manager of Stations</t>
  </si>
  <si>
    <t>50 Union Avenue</t>
  </si>
  <si>
    <t>HFY</t>
  </si>
  <si>
    <t>Harpers Ferry, West Virginia</t>
  </si>
  <si>
    <t>Potomac Street &amp; Shenandoah Street</t>
  </si>
  <si>
    <t>Harpers Ferry</t>
  </si>
  <si>
    <t>39.324452,-77.731078</t>
  </si>
  <si>
    <t>See "miscellaneous" screen for station and platform access</t>
  </si>
  <si>
    <t>None. Bldg opened by NPS for MARC psgrs only.</t>
  </si>
  <si>
    <t>Washington, DC  (WAS)</t>
  </si>
  <si>
    <t>see Thruway page for temporary drop location</t>
  </si>
  <si>
    <t>33.975670,-117.369988</t>
  </si>
  <si>
    <t>The only Riverside Metrolink station where Amtrak stops.</t>
  </si>
  <si>
    <t>RKF</t>
  </si>
  <si>
    <t>Rockford, Michigan</t>
  </si>
  <si>
    <t>2770 Ten Mile Road, Northeast</t>
  </si>
  <si>
    <t>43.116549,-85.601879</t>
  </si>
  <si>
    <t>Bus Stop</t>
  </si>
  <si>
    <t>TO&amp;</t>
  </si>
  <si>
    <t>RKI</t>
  </si>
  <si>
    <t>Rock Island, Illinois</t>
  </si>
  <si>
    <t>3500 5th Avenue</t>
  </si>
  <si>
    <t>Augustana College, Carver P.E. Center</t>
  </si>
  <si>
    <t>Rock Island</t>
  </si>
  <si>
    <t>41.506223,-90.550389</t>
  </si>
  <si>
    <t>RKV</t>
  </si>
  <si>
    <t>Rockville, Maryland</t>
  </si>
  <si>
    <t>307 South Stonestreet Avenue</t>
  </si>
  <si>
    <t>WFH</t>
  </si>
  <si>
    <t>Whitefish, Montana</t>
  </si>
  <si>
    <t>500 Depot Street</t>
  </si>
  <si>
    <t>Whitefish</t>
  </si>
  <si>
    <t>406-862-2268</t>
  </si>
  <si>
    <t>48.413474,-114.335575</t>
  </si>
  <si>
    <t>BAGGAGE MUST BE CHECKED 15 MINUTES PRIOR TO TRAIN ARRIVAL</t>
  </si>
  <si>
    <t>WFHL</t>
  </si>
  <si>
    <t>WGL</t>
  </si>
  <si>
    <t>West Glacier, Montana</t>
  </si>
  <si>
    <t>Highway 2 and Going-to-the-Sun Highway</t>
  </si>
  <si>
    <t>West Glacier</t>
  </si>
  <si>
    <t>48.496218,-113.979164</t>
  </si>
  <si>
    <t>WGM</t>
  </si>
  <si>
    <t>Washington Grove, Maryland</t>
  </si>
  <si>
    <t>100 Railroad Street</t>
  </si>
  <si>
    <t>WHL</t>
  </si>
  <si>
    <t>Whitehall, New York</t>
  </si>
  <si>
    <t>Main Street and Saunders Street</t>
  </si>
  <si>
    <t>Whitehall</t>
  </si>
  <si>
    <t>43.554740,-73.403206</t>
  </si>
  <si>
    <t>WIH</t>
  </si>
  <si>
    <t>Wishram, Washington</t>
  </si>
  <si>
    <t>Wishram</t>
  </si>
  <si>
    <t>45.657669,-120.966142</t>
  </si>
  <si>
    <t>Manager Stations</t>
  </si>
  <si>
    <t>Asst Superintendent - Passenger Service</t>
  </si>
  <si>
    <t>WIL</t>
  </si>
  <si>
    <t>Wilmington, Delaware</t>
  </si>
  <si>
    <t>100 South French Street</t>
  </si>
  <si>
    <t>Wilmington</t>
  </si>
  <si>
    <t>302-429-6529</t>
  </si>
  <si>
    <t>SEPTA   800-652-3278</t>
  </si>
  <si>
    <t>39.737263,-75.551095</t>
  </si>
  <si>
    <t xml:space="preserve">Greyhound/Trailways across MLK Blvd. 1 Block away </t>
  </si>
  <si>
    <t>P44D</t>
  </si>
  <si>
    <t>District Manger, Stations.</t>
  </si>
  <si>
    <t>Wilmington Customer Service    cell 215-397-8650</t>
  </si>
  <si>
    <t>Philadelphia 30th St Station</t>
  </si>
  <si>
    <t>WIN</t>
  </si>
  <si>
    <t>Winona, Minnesota</t>
  </si>
  <si>
    <t>65 East Mark Street</t>
  </si>
  <si>
    <t>Winona</t>
  </si>
  <si>
    <t>507-452-8612</t>
  </si>
  <si>
    <t>44.044404,-91.640073</t>
  </si>
  <si>
    <t>See "Miscellaneous" or "Thruway" for service to Rochester.</t>
  </si>
  <si>
    <t>WINL</t>
  </si>
  <si>
    <t>WIP</t>
  </si>
  <si>
    <t>Winter Park/Fraser, Colorado</t>
  </si>
  <si>
    <t>205 Fraser Avenue</t>
  </si>
  <si>
    <t>Fraser</t>
  </si>
  <si>
    <t>39.947566,-105.817388</t>
  </si>
  <si>
    <t>WIT</t>
  </si>
  <si>
    <t>Wittenberg, Wisconsin</t>
  </si>
  <si>
    <t>505 Grand Avenue</t>
  </si>
  <si>
    <t>Wittenberg Shell</t>
  </si>
  <si>
    <t>Wittenberg</t>
  </si>
  <si>
    <t>44.826834,-89.164447</t>
  </si>
  <si>
    <t>WLN</t>
  </si>
  <si>
    <t>Wilson, North Carolina</t>
  </si>
  <si>
    <t>401 East Nash Street</t>
  </si>
  <si>
    <t>Wilson</t>
  </si>
  <si>
    <t>252-246-1060</t>
  </si>
  <si>
    <t>35.723135,-77.908029</t>
  </si>
  <si>
    <t>WLNL</t>
  </si>
  <si>
    <t>Assistant Superintedent - Passenger Services</t>
  </si>
  <si>
    <t>WLO</t>
  </si>
  <si>
    <t>Winslow, Arizona</t>
  </si>
  <si>
    <t>303 East Second Street (Route 66)</t>
  </si>
  <si>
    <t>(La Posada Hotel Lobby)</t>
  </si>
  <si>
    <t>Winslow</t>
  </si>
  <si>
    <t>35.021666,-110.694981</t>
  </si>
  <si>
    <t>WLY</t>
  </si>
  <si>
    <t>Westerly, Rhode Island</t>
  </si>
  <si>
    <t>14 Railroad Avenue</t>
  </si>
  <si>
    <t>Westerly</t>
  </si>
  <si>
    <t>401-596-2355</t>
  </si>
  <si>
    <t>41.381081,-71.829780</t>
  </si>
  <si>
    <t>Eff:  May 7, 2012  Station opened for Train # 66</t>
  </si>
  <si>
    <t>WLYL</t>
  </si>
  <si>
    <t>WMA</t>
  </si>
  <si>
    <t>Williams, Arizona</t>
  </si>
  <si>
    <t>233 North Grand Canyon Blvd</t>
  </si>
  <si>
    <t>Grand Canyon Railway Depot</t>
  </si>
  <si>
    <t>Williams</t>
  </si>
  <si>
    <t>35.251950,-112.190106</t>
  </si>
  <si>
    <t>Pax for Williams Junction shuttle must check in inside hotel</t>
  </si>
  <si>
    <t>WMJ</t>
  </si>
  <si>
    <t>Williams Junction, Arizona</t>
  </si>
  <si>
    <t>No address, no private access</t>
  </si>
  <si>
    <t>Book free shuttle from WMA</t>
  </si>
  <si>
    <t>Williams Junction</t>
  </si>
  <si>
    <t>Access only by free shuttle from WMA.  No private vehicles.</t>
  </si>
  <si>
    <t>WND</t>
  </si>
  <si>
    <t>Windsor, Connecticut</t>
  </si>
  <si>
    <t>41 Central Street</t>
  </si>
  <si>
    <t>Windsor</t>
  </si>
  <si>
    <t>41.852013,-72.642253</t>
  </si>
  <si>
    <t>Springfield, Mass</t>
  </si>
  <si>
    <t>spg</t>
  </si>
  <si>
    <t>spgl</t>
  </si>
  <si>
    <t>WNK</t>
  </si>
  <si>
    <t>Walloon Lake, Michigan</t>
  </si>
  <si>
    <t>Hwy 131 &amp; Hwy 75</t>
  </si>
  <si>
    <t>Walloon Lake</t>
  </si>
  <si>
    <t>45.265871,-84.925044</t>
  </si>
  <si>
    <t>WNL</t>
  </si>
  <si>
    <t>Windsor Locks, Connecticut</t>
  </si>
  <si>
    <t>South Main Street at Stanton Road</t>
  </si>
  <si>
    <t>Windsor Locks</t>
  </si>
  <si>
    <t>41.913956,-72.626101</t>
  </si>
  <si>
    <t>WNM</t>
  </si>
  <si>
    <t>Windsor, Vermont</t>
  </si>
  <si>
    <t>26 Depot Avenue</t>
  </si>
  <si>
    <t>43.479908,-72.384985</t>
  </si>
  <si>
    <t>Town of Windsor, 802-674-6786</t>
  </si>
  <si>
    <t>WNN</t>
  </si>
  <si>
    <t>Winnemucca, Nevada</t>
  </si>
  <si>
    <t>209 Railroad Street</t>
  </si>
  <si>
    <t>Winnemucca</t>
  </si>
  <si>
    <t>40.969044,-117.732210</t>
  </si>
  <si>
    <t>WNR</t>
  </si>
  <si>
    <t>Walnut Ridge, Arkansas</t>
  </si>
  <si>
    <t>109 Southwest Front Street</t>
  </si>
  <si>
    <t>Walnut Ridge</t>
  </si>
  <si>
    <t>36.067660,-90.956766</t>
  </si>
  <si>
    <t>WNS</t>
  </si>
  <si>
    <t>Winston-Salem, North Carolina</t>
  </si>
  <si>
    <t>100 West 5th Street</t>
  </si>
  <si>
    <t>Corner of 5th Street &amp; Trade Street</t>
  </si>
  <si>
    <t>City Transit Center</t>
  </si>
  <si>
    <t>336-883-7278</t>
  </si>
  <si>
    <t>36.099779,-80.245561</t>
  </si>
  <si>
    <t>General Information Number</t>
  </si>
  <si>
    <t>PART Bus Services - Customer Service Dept</t>
  </si>
  <si>
    <t>Assistant Superintendant Passenger Services</t>
  </si>
  <si>
    <t>WNT</t>
  </si>
  <si>
    <t>Warrenton, Oregon</t>
  </si>
  <si>
    <t>695 S. Highway 101</t>
  </si>
  <si>
    <t>Fred Meyer Shopping Center</t>
  </si>
  <si>
    <t>City bus stop covered shelter</t>
  </si>
  <si>
    <t>Warrenton</t>
  </si>
  <si>
    <t>bus driver</t>
  </si>
  <si>
    <t>46.161461,-123.901883</t>
  </si>
  <si>
    <t>WOB</t>
  </si>
  <si>
    <t>Woburn, Massachusetts</t>
  </si>
  <si>
    <t>100 Atlantic Avenue</t>
  </si>
  <si>
    <t>Woburn-Anderson Regional Trans Center</t>
  </si>
  <si>
    <t>Woburn</t>
  </si>
  <si>
    <t>42.517358,-71.143823</t>
  </si>
  <si>
    <t>Logan Airport Express Bus</t>
  </si>
  <si>
    <t>Assistant  Superintendent, extension 311</t>
  </si>
  <si>
    <t>WOR</t>
  </si>
  <si>
    <t>Worcester, Massachusetts</t>
  </si>
  <si>
    <t>2 Washington Square</t>
  </si>
  <si>
    <t>Worcester Union Station</t>
  </si>
  <si>
    <t>Worcester</t>
  </si>
  <si>
    <t>508-755-5677</t>
  </si>
  <si>
    <t>42.261478,-71.794812</t>
  </si>
  <si>
    <t>WORL</t>
  </si>
  <si>
    <t>WPB</t>
  </si>
  <si>
    <t>West Palm Beach, Florida</t>
  </si>
  <si>
    <t>209 South Tamarind Avenue</t>
  </si>
  <si>
    <t>561-832-6169</t>
  </si>
  <si>
    <t>26.712554,-80.062184</t>
  </si>
  <si>
    <t>Station address changed by city, station itself hasn't moved</t>
  </si>
  <si>
    <t>WPBL</t>
  </si>
  <si>
    <t>Miami,FL</t>
  </si>
  <si>
    <t>WPK</t>
  </si>
  <si>
    <t>Winter Park, Florida</t>
  </si>
  <si>
    <t>150 West Morse Blvd</t>
  </si>
  <si>
    <t>Winter Park</t>
  </si>
  <si>
    <t>407-645-5055</t>
  </si>
  <si>
    <t>28.597654,-81.351842</t>
  </si>
  <si>
    <t>Groups 40 + must be approved G. Canadiate, District Manager</t>
  </si>
  <si>
    <t>WPKL</t>
  </si>
  <si>
    <t>District Manager  Stations</t>
  </si>
  <si>
    <t>WPN</t>
  </si>
  <si>
    <t>Waupun, Wisconsin</t>
  </si>
  <si>
    <t>928 East Main Street</t>
  </si>
  <si>
    <t>End of the Train Candy Shop</t>
  </si>
  <si>
    <t>Waupun</t>
  </si>
  <si>
    <t>43.633335,-88.717972</t>
  </si>
  <si>
    <t>WPT</t>
  </si>
  <si>
    <t>Wolf Point, Montana</t>
  </si>
  <si>
    <t>320 Front Street</t>
  </si>
  <si>
    <t>Wolf Point</t>
  </si>
  <si>
    <t>406-653-2350</t>
  </si>
  <si>
    <t>48.091672,-105.642736</t>
  </si>
  <si>
    <t>WPTL</t>
  </si>
  <si>
    <t>Seattle, WA (Not in Station - At Holgate Street Facilty)</t>
  </si>
  <si>
    <t>WRJ</t>
  </si>
  <si>
    <t>White River Jct., Vermont</t>
  </si>
  <si>
    <t>102 Railroad Row</t>
  </si>
  <si>
    <t>White River Junction</t>
  </si>
  <si>
    <t>802-295-7160</t>
  </si>
  <si>
    <t>43.647785,-72.317272</t>
  </si>
  <si>
    <t>caretaker on duty at train time</t>
  </si>
  <si>
    <t>New Haven Ct.</t>
  </si>
  <si>
    <t>WRM</t>
  </si>
  <si>
    <t>Western Railway Museum, Rio Vista Junction, California</t>
  </si>
  <si>
    <t>5848 State Highway 12</t>
  </si>
  <si>
    <t>Rio Vista Junction</t>
  </si>
  <si>
    <t>38.203447,-121.874302</t>
  </si>
  <si>
    <t>Stops at weekends only. See Miscellaneous for museum details</t>
  </si>
  <si>
    <t>WSB</t>
  </si>
  <si>
    <t>Westbrook, Connecticut</t>
  </si>
  <si>
    <t>119 Essex Road</t>
  </si>
  <si>
    <t>Westbrook</t>
  </si>
  <si>
    <t>WSF</t>
  </si>
  <si>
    <t>Westfield, Wisconsin</t>
  </si>
  <si>
    <t>244 North Pioneer Park Road</t>
  </si>
  <si>
    <t>Westfield</t>
  </si>
  <si>
    <t>43.887791,-89.484089</t>
  </si>
  <si>
    <t>WSJ</t>
  </si>
  <si>
    <t>Wausau (Transit Center), Wisconsin</t>
  </si>
  <si>
    <t>555 Jefferson Street</t>
  </si>
  <si>
    <t>Wausau Transit Center</t>
  </si>
  <si>
    <t>Wausau</t>
  </si>
  <si>
    <t>44.959456,-89.624628</t>
  </si>
  <si>
    <t>WSL</t>
  </si>
  <si>
    <t>Whistler, British Columbia</t>
  </si>
  <si>
    <t>2029 London Lane</t>
  </si>
  <si>
    <t>SS Services - Whistler Village</t>
  </si>
  <si>
    <t>Whistler Village</t>
  </si>
  <si>
    <t>604-932-5031</t>
  </si>
  <si>
    <t>50.094810,-122.989823</t>
  </si>
  <si>
    <t>See "Intercity Bus" for information on second stop in area</t>
  </si>
  <si>
    <t>WSP</t>
  </si>
  <si>
    <t>Westport, New York</t>
  </si>
  <si>
    <t>6705 Main Street</t>
  </si>
  <si>
    <t>at Highway 9N and Railroad Tracks</t>
  </si>
  <si>
    <t>Westport</t>
  </si>
  <si>
    <t>44.187288,-73.451773</t>
  </si>
  <si>
    <t>district manager stations</t>
  </si>
  <si>
    <t>WSS</t>
  </si>
  <si>
    <t>White Sulphur Springs, West Virginia</t>
  </si>
  <si>
    <t>315 West Main Street</t>
  </si>
  <si>
    <t>White Sulphur Springs</t>
  </si>
  <si>
    <t>37.786443,-80.304004</t>
  </si>
  <si>
    <t>WST</t>
  </si>
  <si>
    <t>Wiscasset, Maine</t>
  </si>
  <si>
    <t>279 Bath Road</t>
  </si>
  <si>
    <t>Huber's Market</t>
  </si>
  <si>
    <t>Wiscasset</t>
  </si>
  <si>
    <t>207-882-5544</t>
  </si>
  <si>
    <t>43.994287,-69.686490</t>
  </si>
  <si>
    <t>WSU</t>
  </si>
  <si>
    <t>Wausau-Rothschild (Lamer Bus), Wisconsin</t>
  </si>
  <si>
    <t>2415 Trailwood Lane</t>
  </si>
  <si>
    <t>Lamers Bus Lines Station</t>
  </si>
  <si>
    <t>Rothschild</t>
  </si>
  <si>
    <t>414-282-3566</t>
  </si>
  <si>
    <t>Lamers Bus Lines</t>
  </si>
  <si>
    <t>44.854324,-89.635643</t>
  </si>
  <si>
    <t>WTH</t>
  </si>
  <si>
    <t>Winter Haven, Florida</t>
  </si>
  <si>
    <t>1800 7th Street SW</t>
  </si>
  <si>
    <t>Winter Haven</t>
  </si>
  <si>
    <t>863-294-9203</t>
  </si>
  <si>
    <t>28.002146,-81.734878</t>
  </si>
  <si>
    <t>WTHL</t>
  </si>
  <si>
    <t>WTI</t>
  </si>
  <si>
    <t>Waterloo, Indiana</t>
  </si>
  <si>
    <t>Lincoln and Center Street</t>
  </si>
  <si>
    <t>Waterloo</t>
  </si>
  <si>
    <t>41.431687,-85.025659</t>
  </si>
  <si>
    <t>WTN</t>
  </si>
  <si>
    <t>Williston, North Dakota</t>
  </si>
  <si>
    <t>1 South Main Street</t>
  </si>
  <si>
    <t>Williston</t>
  </si>
  <si>
    <t>701-572-7171</t>
  </si>
  <si>
    <t>48.143000,-103.620926</t>
  </si>
  <si>
    <t xml:space="preserve">Ticket ofc closes 15 min before dep, check bags 1 hr before </t>
  </si>
  <si>
    <t>WTNL</t>
  </si>
  <si>
    <t>WTS</t>
  </si>
  <si>
    <t>Willits, California</t>
  </si>
  <si>
    <t>200 E. Commercial Street</t>
  </si>
  <si>
    <t>California Western Railroad Depot</t>
  </si>
  <si>
    <t>Willits</t>
  </si>
  <si>
    <t>39.412423,-123.350961</t>
  </si>
  <si>
    <t>WWA</t>
  </si>
  <si>
    <t>Walla Walla, Washington</t>
  </si>
  <si>
    <t>108 West Main Street</t>
  </si>
  <si>
    <t>Walla Walla</t>
  </si>
  <si>
    <t>46.065989,-118.341502</t>
  </si>
  <si>
    <t>For details see "Thruway Service" page</t>
  </si>
  <si>
    <t>WWD</t>
  </si>
  <si>
    <t>Wildwood, Florida</t>
  </si>
  <si>
    <t>601 North Main Street</t>
  </si>
  <si>
    <t>Wildwood</t>
  </si>
  <si>
    <t>28.866164,-82.039518</t>
  </si>
  <si>
    <t>Custodian  opens station 1 hour before bus arrival</t>
  </si>
  <si>
    <t>YAZ</t>
  </si>
  <si>
    <t>Yazoo City, Mississippi</t>
  </si>
  <si>
    <t>West Broadway (SR149) &amp; North Water Street</t>
  </si>
  <si>
    <t>Yazoo City</t>
  </si>
  <si>
    <t>32.848477,-90.415230</t>
  </si>
  <si>
    <t>YEM</t>
  </si>
  <si>
    <t>Yemassee, South Carolina</t>
  </si>
  <si>
    <t>Railroad Avenue and Old Salkehatchie Highway</t>
  </si>
  <si>
    <t>Yemassee</t>
  </si>
  <si>
    <t>32.688286,-80.846901</t>
  </si>
  <si>
    <t>Closed for renovations effective 30JUN2009. Restrooms N/A</t>
  </si>
  <si>
    <t>YNY</t>
  </si>
  <si>
    <t>Yonkers, New York</t>
  </si>
  <si>
    <t>5 Buena Vista Avenue</t>
  </si>
  <si>
    <t>Yonkers</t>
  </si>
  <si>
    <t>914-965-8500</t>
  </si>
  <si>
    <t>40.935586,-73.902263</t>
  </si>
  <si>
    <t>Penn Station/New York</t>
  </si>
  <si>
    <t>Superintendent--Passenger Services</t>
  </si>
  <si>
    <t>New York,NY</t>
  </si>
  <si>
    <t>q/7</t>
  </si>
  <si>
    <t>p431</t>
  </si>
  <si>
    <t>YOA</t>
  </si>
  <si>
    <t>Yosemite - Ahwahnee Hotel, California</t>
  </si>
  <si>
    <t>Yosemite Village</t>
  </si>
  <si>
    <t>Yosemite National Park</t>
  </si>
  <si>
    <t>37.746617,-119.574613</t>
  </si>
  <si>
    <t>YOC</t>
  </si>
  <si>
    <t>Yosemite - Curry Village, California</t>
  </si>
  <si>
    <t>Curry Village</t>
  </si>
  <si>
    <t>37.737730,-119.570605</t>
  </si>
  <si>
    <t>YOF</t>
  </si>
  <si>
    <t>Yosemite - Crane Flat, California</t>
  </si>
  <si>
    <t>8028 Big Oak Flat Road</t>
  </si>
  <si>
    <t>Chevron Gas Station</t>
  </si>
  <si>
    <t>37.753134,-119.797145</t>
  </si>
  <si>
    <t>YOS</t>
  </si>
  <si>
    <t>Yosemite - Lodge, California</t>
  </si>
  <si>
    <t>9006 Yosemite Lodge Drive</t>
  </si>
  <si>
    <t>Yosemite Park Lodge</t>
  </si>
  <si>
    <t>37.742646,-119.599331</t>
  </si>
  <si>
    <t>YOT</t>
  </si>
  <si>
    <t>Yosemite - Tuolumne Meadow, California</t>
  </si>
  <si>
    <t>Tuolumne Meadows Visitors Center</t>
  </si>
  <si>
    <t>Highway 120 East</t>
  </si>
  <si>
    <t>37.872240,-119.373801</t>
  </si>
  <si>
    <t>YOV</t>
  </si>
  <si>
    <t>Yosemite - Visitor Center, California</t>
  </si>
  <si>
    <t>National Park Visitor Center</t>
  </si>
  <si>
    <t>Yosemite Village.  Transfer point to park shuttles</t>
  </si>
  <si>
    <t>37.748042,-119.586318</t>
  </si>
  <si>
    <t>YOW</t>
  </si>
  <si>
    <t>Yosemite - White Wolf, California</t>
  </si>
  <si>
    <t>Old Tioga Road at Highway 120 East</t>
  </si>
  <si>
    <t>White Wolfe Lodge</t>
  </si>
  <si>
    <t>37.869636,-119.649293</t>
  </si>
  <si>
    <t>YUM</t>
  </si>
  <si>
    <t>Yuma, Arizona</t>
  </si>
  <si>
    <t>281 Gila Street</t>
  </si>
  <si>
    <t>Yuma</t>
  </si>
  <si>
    <t>32.723139,-114.615571</t>
  </si>
  <si>
    <t>Station building not usable by passengers.</t>
  </si>
  <si>
    <t>ZMW</t>
  </si>
  <si>
    <t xml:space="preserve">Six Flags Discovery Kingdom Admission Ticket </t>
  </si>
  <si>
    <t>Six Flags Discovery Kingdom</t>
  </si>
  <si>
    <t>Book between VMW and ZMW</t>
  </si>
  <si>
    <t>SENIOR CITIZEN CENTER, SENIORS OPEN/CLOSE STATION</t>
  </si>
  <si>
    <t>PON</t>
  </si>
  <si>
    <t>Pontiac, Illinois</t>
  </si>
  <si>
    <t>721 West Washington Street</t>
  </si>
  <si>
    <t>40.879652,-88.636601</t>
  </si>
  <si>
    <t>Time locks in operation. Local police have emergency key.</t>
  </si>
  <si>
    <t>100 Thompson's Point Road</t>
  </si>
  <si>
    <t>Portland Transportation Center</t>
  </si>
  <si>
    <t>Concord Trailway/VIA</t>
  </si>
  <si>
    <t>43.654097,-70.291258</t>
  </si>
  <si>
    <t>Assistant Superintendent,  Extension 311</t>
  </si>
  <si>
    <t>Portland ME.</t>
  </si>
  <si>
    <t>POS</t>
  </si>
  <si>
    <t>Pomona (Sunset Ltd), California</t>
  </si>
  <si>
    <t>100 West Commercial Street</t>
  </si>
  <si>
    <t>Pomona</t>
  </si>
  <si>
    <t>34.059224,-117.750621</t>
  </si>
  <si>
    <t>Metrolink TVM:  see "Miscellaneous" screen</t>
  </si>
  <si>
    <t>POU</t>
  </si>
  <si>
    <t>Poughkeepsie, New York</t>
  </si>
  <si>
    <t>41 Main Street</t>
  </si>
  <si>
    <t>Amtrak/Metro-North Station</t>
  </si>
  <si>
    <t>Poughkeepsie</t>
  </si>
  <si>
    <t>800-638-7646</t>
  </si>
  <si>
    <t>41.707056,-73.937490</t>
  </si>
  <si>
    <t>Metro-North</t>
  </si>
  <si>
    <t>p/7</t>
  </si>
  <si>
    <t>PRB</t>
  </si>
  <si>
    <t>Paso Robles, California</t>
  </si>
  <si>
    <t>800 Pine Street</t>
  </si>
  <si>
    <t>Paso Robles Intermodal Station</t>
  </si>
  <si>
    <t>Paso Robles</t>
  </si>
  <si>
    <t>35.622683,-120.687860</t>
  </si>
  <si>
    <t>Hanford, Ca.</t>
  </si>
  <si>
    <t>Oakland, Ca.</t>
  </si>
  <si>
    <t>PRC</t>
  </si>
  <si>
    <t>Prince, West Virginia (Beckley)</t>
  </si>
  <si>
    <t>5034 Stanaford Road</t>
  </si>
  <si>
    <t>(station between highway and railroad tracks)</t>
  </si>
  <si>
    <t>Prince</t>
  </si>
  <si>
    <t>304-253-6651</t>
  </si>
  <si>
    <t>37.856594,-81.060694</t>
  </si>
  <si>
    <t>PRCL</t>
  </si>
  <si>
    <t>Assistant Superitendent, Customer Service</t>
  </si>
  <si>
    <t>PRI</t>
  </si>
  <si>
    <t>Perris, California</t>
  </si>
  <si>
    <t>1688-J North Perris Blvd</t>
  </si>
  <si>
    <t>Perris</t>
  </si>
  <si>
    <t>33.801955,-117.229795</t>
  </si>
  <si>
    <t>PRK</t>
  </si>
  <si>
    <t>Port Kent, New York</t>
  </si>
  <si>
    <t>NY 373 and Lake Street</t>
  </si>
  <si>
    <t>near Burlington-Fort Kent ferry dock</t>
  </si>
  <si>
    <t>Port Kent</t>
  </si>
  <si>
    <t>44.524079,-73.403536</t>
  </si>
  <si>
    <t>Seasonal stop June 14 through October 8, 2012</t>
  </si>
  <si>
    <t>Albany/Rensselaer, NY</t>
  </si>
  <si>
    <t>PRM</t>
  </si>
  <si>
    <t>Point of Rocks, Maryland</t>
  </si>
  <si>
    <t>4000 Clay Street</t>
  </si>
  <si>
    <t>Point of Rocks</t>
  </si>
  <si>
    <t>PRO</t>
  </si>
  <si>
    <t>Provo, Utah</t>
  </si>
  <si>
    <t>300 West 600 South</t>
  </si>
  <si>
    <t>Provo</t>
  </si>
  <si>
    <t>40.225957,-111.664001</t>
  </si>
  <si>
    <t>PRV</t>
  </si>
  <si>
    <t>Perryville, Maryland</t>
  </si>
  <si>
    <t>650 Broad Street</t>
  </si>
  <si>
    <t>Perryville</t>
  </si>
  <si>
    <t>PSC</t>
  </si>
  <si>
    <t>Pasco, Washington</t>
  </si>
  <si>
    <t>535 North 1st Avenue</t>
  </si>
  <si>
    <t>Pasco Intermodal Train Station</t>
  </si>
  <si>
    <t>Pasco</t>
  </si>
  <si>
    <t>509-545-1554</t>
  </si>
  <si>
    <t>46.237012,-119.087729</t>
  </si>
  <si>
    <t>PSCL</t>
  </si>
  <si>
    <t>Room 250,  800 NW 6th Ave, Portland, Oregon</t>
  </si>
  <si>
    <t>PSK</t>
  </si>
  <si>
    <t>Petoskey, Michigan</t>
  </si>
  <si>
    <t>301 West Mitchell St.</t>
  </si>
  <si>
    <t>The Book Stop</t>
  </si>
  <si>
    <t>Petosky</t>
  </si>
  <si>
    <t>45.373819,-84.964139</t>
  </si>
  <si>
    <t>Pick up at The Book Shop</t>
  </si>
  <si>
    <t>PSN</t>
  </si>
  <si>
    <t>Palm Springs (Train), California</t>
  </si>
  <si>
    <t>North Indian Canyon Drive and Palm Springs Station Road</t>
  </si>
  <si>
    <t>0.6 mi /1.0 km south of I-10</t>
  </si>
  <si>
    <t>Palm Springs</t>
  </si>
  <si>
    <t>PSX</t>
  </si>
  <si>
    <t>33.897491,-116.547913</t>
  </si>
  <si>
    <t>PSP</t>
  </si>
  <si>
    <t>Palm Springs (Buses-Airport), California</t>
  </si>
  <si>
    <t>3400 East Tahquitz Canyon Way</t>
  </si>
  <si>
    <t>SunLine Transit Bus Stop</t>
  </si>
  <si>
    <t>33.824009,-116.508939</t>
  </si>
  <si>
    <t>PSS</t>
  </si>
  <si>
    <t>Palm Springs (Buses-Downtown), California</t>
  </si>
  <si>
    <t>100 North Indian Canyon Drive</t>
  </si>
  <si>
    <t>33.824643,-116.545440</t>
  </si>
  <si>
    <t>Service to this stop begins May 7, 2012</t>
  </si>
  <si>
    <t>PST</t>
  </si>
  <si>
    <t>Pellston, Michigan</t>
  </si>
  <si>
    <t>45 South US Hwy 31</t>
  </si>
  <si>
    <t>BP Station/General Store</t>
  </si>
  <si>
    <t>Pellston</t>
  </si>
  <si>
    <t>45.550636,-84.783762</t>
  </si>
  <si>
    <t>PTB</t>
  </si>
  <si>
    <t>Petersburg, Virginia</t>
  </si>
  <si>
    <t>3516 South Street</t>
  </si>
  <si>
    <t>Ettrick Station</t>
  </si>
  <si>
    <t>Petersburg</t>
  </si>
  <si>
    <t>804-526-4077</t>
  </si>
  <si>
    <t>37.241627,-77.428794</t>
  </si>
  <si>
    <t>PTBL</t>
  </si>
  <si>
    <t>PTC</t>
  </si>
  <si>
    <t>Petaluma, California</t>
  </si>
  <si>
    <t>100 Fairgrounds Drive</t>
  </si>
  <si>
    <t>Regional Library</t>
  </si>
  <si>
    <t>Petaluma</t>
  </si>
  <si>
    <t>38.242606,-122.631366</t>
  </si>
  <si>
    <t>PTE</t>
  </si>
  <si>
    <t>Pateros, Washington</t>
  </si>
  <si>
    <t>245 Lakeshore Drive</t>
  </si>
  <si>
    <t>Chevron Station/Super Stop Store</t>
  </si>
  <si>
    <t>Pateros</t>
  </si>
  <si>
    <t>48.051619,-119.902313</t>
  </si>
  <si>
    <t>Unstaffed Bus Stop at Super Stop</t>
  </si>
  <si>
    <t>PTH</t>
  </si>
  <si>
    <t>Port Huron, Michigan</t>
  </si>
  <si>
    <t>2223 16th Street</t>
  </si>
  <si>
    <t>Port Huron</t>
  </si>
  <si>
    <t>810-985-9607</t>
  </si>
  <si>
    <t>42.960419,-82.443805</t>
  </si>
  <si>
    <t>Off site Quik-Trak machine available, see "Miscellaneous"</t>
  </si>
  <si>
    <t>PTHL</t>
  </si>
  <si>
    <t>PTL</t>
  </si>
  <si>
    <t>Potlatch, Idaho</t>
  </si>
  <si>
    <t>5497 US Highway 95</t>
  </si>
  <si>
    <t>Dad's Diner</t>
  </si>
  <si>
    <t>Potlatch</t>
  </si>
  <si>
    <t>46.921502,-116.901792</t>
  </si>
  <si>
    <t>PTS</t>
  </si>
  <si>
    <t>Portsmouth, New Hampshire</t>
  </si>
  <si>
    <t>185 Grafton Drive</t>
  </si>
  <si>
    <t>Portsmouth Transportation Center</t>
  </si>
  <si>
    <t>Portsmouth</t>
  </si>
  <si>
    <t>43.059678,-70.804088</t>
  </si>
  <si>
    <t>PUB</t>
  </si>
  <si>
    <t>Pueblo, Colorado</t>
  </si>
  <si>
    <t>123 Court Street</t>
  </si>
  <si>
    <t>Pueblo</t>
  </si>
  <si>
    <t>719-543-2775</t>
  </si>
  <si>
    <t>38.268742,-104.610270</t>
  </si>
  <si>
    <t>Non-Amtrak staffed TNM&amp;O Greyhound bus depot</t>
  </si>
  <si>
    <t>Manager Intermodal Services</t>
  </si>
  <si>
    <t>Acting Supt Passenger Service</t>
  </si>
  <si>
    <t>PUL</t>
  </si>
  <si>
    <t>Pullman, Washington</t>
  </si>
  <si>
    <t>1002 Northwest Nye St.</t>
  </si>
  <si>
    <t>Northwestern Stage Lines Depot</t>
  </si>
  <si>
    <t>Pullman</t>
  </si>
  <si>
    <t>509-334-1412</t>
  </si>
  <si>
    <t>46.738008,-117.174584</t>
  </si>
  <si>
    <t>Northwestern  Stage Lines agent sells bus tkts only</t>
  </si>
  <si>
    <t>PUR</t>
  </si>
  <si>
    <t>Purcell, Oklahoma</t>
  </si>
  <si>
    <t>East Main Street and North Santa Fe Avenue</t>
  </si>
  <si>
    <t>Purcell</t>
  </si>
  <si>
    <t>35.012033,-97.357416</t>
  </si>
  <si>
    <t>Disrict Manager, Customer Service</t>
  </si>
  <si>
    <t>Providence, Rhode Island</t>
  </si>
  <si>
    <t>100 Gaspee Street</t>
  </si>
  <si>
    <t>Providence</t>
  </si>
  <si>
    <t>41.829490,-71.413478</t>
  </si>
  <si>
    <t>P73E</t>
  </si>
  <si>
    <t>DISTRICT MANAGER</t>
  </si>
  <si>
    <t>BOSTON</t>
  </si>
  <si>
    <t>PVL</t>
  </si>
  <si>
    <t>Pauls Valley, Oklahoma</t>
  </si>
  <si>
    <t>South Santa Fe Street and East Paul Avenue</t>
  </si>
  <si>
    <t>Pauls Valley</t>
  </si>
  <si>
    <t>34.741735,-97.218460</t>
  </si>
  <si>
    <t>PXN</t>
  </si>
  <si>
    <t>Phoenix (Metro Center Transit Station), Arizona</t>
  </si>
  <si>
    <t>9617 North Metro Parkway West</t>
  </si>
  <si>
    <t>North Phoenix</t>
  </si>
  <si>
    <t>Next to Metro Center Transit Station</t>
  </si>
  <si>
    <t>33.572957,-112.123148</t>
  </si>
  <si>
    <t>See "directions" for more details on this shuttle stop.</t>
  </si>
  <si>
    <t>la3</t>
  </si>
  <si>
    <t>QAN</t>
  </si>
  <si>
    <t>Quantico, Virginia</t>
  </si>
  <si>
    <t>550 Railroad Avenue</t>
  </si>
  <si>
    <t>at Potomac Avenue  inside Marine Corps base</t>
  </si>
  <si>
    <t>Quantico</t>
  </si>
  <si>
    <t>38.521882,-77.293027</t>
  </si>
  <si>
    <t>At Marine base, security/search delays, see "Miscellaneous"</t>
  </si>
  <si>
    <t>Unstaffed location</t>
  </si>
  <si>
    <t>QCY</t>
  </si>
  <si>
    <t>Quincy, Illinois</t>
  </si>
  <si>
    <t>North 30th Street and Wisman Lane</t>
  </si>
  <si>
    <t>Quincy</t>
  </si>
  <si>
    <t>39.957063,-91.368525</t>
  </si>
  <si>
    <t>QUC</t>
  </si>
  <si>
    <t>Quincy, Washington</t>
  </si>
  <si>
    <t>223 F Street SE</t>
  </si>
  <si>
    <t>Short Stop Gas Station</t>
  </si>
  <si>
    <t>47.234141,-119.848625</t>
  </si>
  <si>
    <t>RAT</t>
  </si>
  <si>
    <t>Raton, New Mexico</t>
  </si>
  <si>
    <t>201 South First Street</t>
  </si>
  <si>
    <t>(At Cook Ave)</t>
  </si>
  <si>
    <t>Raton</t>
  </si>
  <si>
    <t>36.901072,-104.437886</t>
  </si>
  <si>
    <t>P708</t>
  </si>
  <si>
    <t>District Manager District Stations</t>
  </si>
  <si>
    <t>RBC</t>
  </si>
  <si>
    <t>Richmond, British Columbia</t>
  </si>
  <si>
    <t>10251 St. Edwards Drive</t>
  </si>
  <si>
    <t>Sandman Signature Hotel</t>
  </si>
  <si>
    <t>(not nearby Sandman Inn)</t>
  </si>
  <si>
    <t>Richmond</t>
  </si>
  <si>
    <t>49.187230,-123.109885</t>
  </si>
  <si>
    <t>Station Facilty - Contact Ramada Park Plaza</t>
  </si>
  <si>
    <t>District Superintendent, Pacific Division</t>
  </si>
  <si>
    <t>RBF</t>
  </si>
  <si>
    <t>Red Bluff, California</t>
  </si>
  <si>
    <t>Rio and Walnut Streets</t>
  </si>
  <si>
    <t>TRAX Bus &amp; Ride</t>
  </si>
  <si>
    <t>Red Bluff</t>
  </si>
  <si>
    <t>40.178482,-122.234586</t>
  </si>
  <si>
    <t>RCK</t>
  </si>
  <si>
    <t>Rockford, Illinois</t>
  </si>
  <si>
    <t>7559 Walton St.</t>
  </si>
  <si>
    <t>Van Galder Bus Station</t>
  </si>
  <si>
    <t>Rockford</t>
  </si>
  <si>
    <t>42.268845,-88.966110</t>
  </si>
  <si>
    <t>RDD</t>
  </si>
  <si>
    <t>Redding (Amtrak Station), California</t>
  </si>
  <si>
    <t>1620 Yuba Street</t>
  </si>
  <si>
    <t>Redding</t>
  </si>
  <si>
    <t>40.583595,-122.393370</t>
  </si>
  <si>
    <t>See city RDR for Thruway service.</t>
  </si>
  <si>
    <t>RDM</t>
  </si>
  <si>
    <t>Redmond Airport, Oregon</t>
  </si>
  <si>
    <t>2300 Redmond Airport Way</t>
  </si>
  <si>
    <t>Redmond Airport</t>
  </si>
  <si>
    <t>2 hour advance booking - see Thruway page</t>
  </si>
  <si>
    <t>Redmond</t>
  </si>
  <si>
    <t>local bus tickets</t>
  </si>
  <si>
    <t>44.253466,-121.161056</t>
  </si>
  <si>
    <t>RDR</t>
  </si>
  <si>
    <t>Redding (RABA Transit Center), California</t>
  </si>
  <si>
    <t>1530 Yuba Street</t>
  </si>
  <si>
    <t>RDX</t>
  </si>
  <si>
    <t>40.583521,-122.392768</t>
  </si>
  <si>
    <t>See 'RDD' for the train station</t>
  </si>
  <si>
    <t>Manager Bus Operations Northern California</t>
  </si>
  <si>
    <t>Director Bus Operations</t>
  </si>
  <si>
    <t>RDS</t>
  </si>
  <si>
    <t>Rio Dell-Scotia, California</t>
  </si>
  <si>
    <t>100 Main Street</t>
  </si>
  <si>
    <t>Scotia Inn</t>
  </si>
  <si>
    <t>Scotia</t>
  </si>
  <si>
    <t>40.484822,-124.100790</t>
  </si>
  <si>
    <t>RDW</t>
  </si>
  <si>
    <t>Red Wing, Minnesota</t>
  </si>
  <si>
    <t>420 Levee Street</t>
  </si>
  <si>
    <t>Red Wing</t>
  </si>
  <si>
    <t>651-385-5934</t>
  </si>
  <si>
    <t>44.566214,-92.537066</t>
  </si>
  <si>
    <t>Visitor and Convention Bureau open in depot for train #8</t>
  </si>
  <si>
    <t xml:space="preserve">Red Wing Visitors Center - In Station </t>
  </si>
  <si>
    <t>800-498-3444</t>
  </si>
  <si>
    <t>Red Wing Chamber of Commerce - Station Custodian</t>
  </si>
  <si>
    <t>REE</t>
  </si>
  <si>
    <t>Reed City, Michigan</t>
  </si>
  <si>
    <t>US 10 &amp; 220th Ave.</t>
  </si>
  <si>
    <t>Reed City</t>
  </si>
  <si>
    <t>43.886840,-85.521804</t>
  </si>
  <si>
    <t>REF</t>
  </si>
  <si>
    <t>Refund</t>
  </si>
  <si>
    <t>REN</t>
  </si>
  <si>
    <t>Rensselaer, Indiana</t>
  </si>
  <si>
    <t>776 North Cullen Street</t>
  </si>
  <si>
    <t>40.943281,-87.155121</t>
  </si>
  <si>
    <t>RGH</t>
  </si>
  <si>
    <t>320 West Cabarrus Street</t>
  </si>
  <si>
    <t>Raleigh</t>
  </si>
  <si>
    <t>919-833-7594</t>
  </si>
  <si>
    <t>35.774923,-78.645894</t>
  </si>
  <si>
    <t>RHI</t>
  </si>
  <si>
    <t>Rhinecliff, New York</t>
  </si>
  <si>
    <t>Hutton and Charles Streets</t>
  </si>
  <si>
    <t>Rhinecliff</t>
  </si>
  <si>
    <t>845-876-2729</t>
  </si>
  <si>
    <t>41.921346,-73.951278</t>
  </si>
  <si>
    <t>RHIL</t>
  </si>
  <si>
    <t>District Manager Services</t>
  </si>
  <si>
    <t>Albany/Rensselaer NY</t>
  </si>
  <si>
    <t>RIC</t>
  </si>
  <si>
    <t>Richmond, California</t>
  </si>
  <si>
    <t>1700 Nevin Avenue</t>
  </si>
  <si>
    <t>BART Station</t>
  </si>
  <si>
    <t>at MacDonald Avenue &amp; 16th Street</t>
  </si>
  <si>
    <t>37.936752,-122.354130</t>
  </si>
  <si>
    <t>RIV</t>
  </si>
  <si>
    <t>Riverside, California</t>
  </si>
  <si>
    <t>4066 Vine Street</t>
  </si>
  <si>
    <t>St. Joseph, Michigan</t>
  </si>
  <si>
    <t>410 1/2 Vine Street</t>
  </si>
  <si>
    <t>St. Joseph</t>
  </si>
  <si>
    <t>42.109080,-86.484484</t>
  </si>
  <si>
    <t>SKE</t>
  </si>
  <si>
    <t>Skykomish (Eastbound), Washington</t>
  </si>
  <si>
    <t>147 5th Street North</t>
  </si>
  <si>
    <t>Sky Gas Station</t>
  </si>
  <si>
    <t>Skykomish</t>
  </si>
  <si>
    <t>SYX</t>
  </si>
  <si>
    <t>47.711229,-121.361738</t>
  </si>
  <si>
    <t>Westbound buses - see SKW</t>
  </si>
  <si>
    <t>SKN</t>
  </si>
  <si>
    <t>Stockton (711-718), California</t>
  </si>
  <si>
    <t>735 South San Joaquin Street</t>
  </si>
  <si>
    <t>Stockton</t>
  </si>
  <si>
    <t>209-946-0517</t>
  </si>
  <si>
    <t>SKX</t>
  </si>
  <si>
    <t>37.945468,-121.285632</t>
  </si>
  <si>
    <t>SKNL</t>
  </si>
  <si>
    <t>SKT</t>
  </si>
  <si>
    <t>Stockton (ACE, 701-704), California</t>
  </si>
  <si>
    <t>949 East Channel St.</t>
  </si>
  <si>
    <t>Robert J. Cabral Station</t>
  </si>
  <si>
    <t>37.957038,-121.279000</t>
  </si>
  <si>
    <t>Caretaker</t>
  </si>
  <si>
    <t>SKW</t>
  </si>
  <si>
    <t>Skykomish (Westbound), Washington</t>
  </si>
  <si>
    <t>90000 NE Stevens Pass Highway</t>
  </si>
  <si>
    <t>next to former Sky Chalet Restaurant</t>
  </si>
  <si>
    <t>47.711903,-121.360091</t>
  </si>
  <si>
    <t>Eastbound buses - see SKE</t>
  </si>
  <si>
    <t>SKY</t>
  </si>
  <si>
    <t>Sandusky, Ohio</t>
  </si>
  <si>
    <t>1200 North Depot St.</t>
  </si>
  <si>
    <t>at Shelby St.</t>
  </si>
  <si>
    <t>Sandusky</t>
  </si>
  <si>
    <t>41.440671,-82.717866</t>
  </si>
  <si>
    <t>SLB</t>
  </si>
  <si>
    <t>Salt Lake City (Buses), Utah</t>
  </si>
  <si>
    <t>300 South 600 West</t>
  </si>
  <si>
    <t>Intermodal Hub Bus Terminal</t>
  </si>
  <si>
    <t>Salt Lake City</t>
  </si>
  <si>
    <t>SCX</t>
  </si>
  <si>
    <t>40.763040,-111.908510</t>
  </si>
  <si>
    <t>Adjacent to Amtrak station.</t>
  </si>
  <si>
    <t>SLC</t>
  </si>
  <si>
    <t>Salt Lake City (Amtrak), Utah</t>
  </si>
  <si>
    <t>340 South 600 West</t>
  </si>
  <si>
    <t>801-322-3510</t>
  </si>
  <si>
    <t>40.761661,-111.908349</t>
  </si>
  <si>
    <t>SLCL</t>
  </si>
  <si>
    <t>SLG</t>
  </si>
  <si>
    <t>Salem (Greyhound), Oregon</t>
  </si>
  <si>
    <t>450 Church St. NE</t>
  </si>
  <si>
    <t>Salem</t>
  </si>
  <si>
    <t>503-362-2428</t>
  </si>
  <si>
    <t>SMX</t>
  </si>
  <si>
    <t>44.942975,-123.033525</t>
  </si>
  <si>
    <t>Obtain tickets reserved thru Amtrak at SLM station</t>
  </si>
  <si>
    <t>SLH</t>
  </si>
  <si>
    <t>Stateline Transit Center, California</t>
  </si>
  <si>
    <t>4114 Lake Tahoe Blvd</t>
  </si>
  <si>
    <t>Stateline</t>
  </si>
  <si>
    <t>38.957790,-119.942288</t>
  </si>
  <si>
    <t>SLM</t>
  </si>
  <si>
    <t>Salem, Oregon</t>
  </si>
  <si>
    <t>500 13th Street SE</t>
  </si>
  <si>
    <t>503-588-1551</t>
  </si>
  <si>
    <t>44.932331,-123.028331</t>
  </si>
  <si>
    <t>SLML</t>
  </si>
  <si>
    <t>Seattle, WA (Holgate St. facility)</t>
  </si>
  <si>
    <t>SLN</t>
  </si>
  <si>
    <t>Stateline, Nevada</t>
  </si>
  <si>
    <t>169 Highway 50</t>
  </si>
  <si>
    <t>Kingsbury Transit Center</t>
  </si>
  <si>
    <t>38.969907,-119.934816</t>
  </si>
  <si>
    <t>SLO</t>
  </si>
  <si>
    <t>San Luis Obispo, California</t>
  </si>
  <si>
    <t>1011 Railroad Avenue</t>
  </si>
  <si>
    <t>San Luis Obispo</t>
  </si>
  <si>
    <t>805-541-0505</t>
  </si>
  <si>
    <t>SNX</t>
  </si>
  <si>
    <t>35.276434,-120.654701</t>
  </si>
  <si>
    <t>SLOL</t>
  </si>
  <si>
    <t>SLP</t>
  </si>
  <si>
    <t>San Luis Obispo (Cal Poly), California</t>
  </si>
  <si>
    <t>Grand Avenue &amp; Deer Road</t>
  </si>
  <si>
    <t>Vista Grande Restaurant</t>
  </si>
  <si>
    <t>35.299260,-120.656635</t>
  </si>
  <si>
    <t>SLQ</t>
  </si>
  <si>
    <t>St-Lambert, Quebec</t>
  </si>
  <si>
    <t>329 avenue St-Denis</t>
  </si>
  <si>
    <t>St-Lambert</t>
  </si>
  <si>
    <t>VIAnet:  SLAM</t>
  </si>
  <si>
    <t>45.498896,-73.507287</t>
  </si>
  <si>
    <t>Manager, Customer Service</t>
  </si>
  <si>
    <t>Montreal, Quebec</t>
  </si>
  <si>
    <t>SLS</t>
  </si>
  <si>
    <t>Salisbury (BayRunner Shuttle), Maryland</t>
  </si>
  <si>
    <t>547E Riverside Drive</t>
  </si>
  <si>
    <t>BayRunner Shuttle</t>
  </si>
  <si>
    <t>38.361983,-75.605898</t>
  </si>
  <si>
    <t>SLT</t>
  </si>
  <si>
    <t>South Lake Tahoe, California</t>
  </si>
  <si>
    <t>1000 Emerald Bay Road</t>
  </si>
  <si>
    <t>South Y Transit Center</t>
  </si>
  <si>
    <t>South Lake Tahoe</t>
  </si>
  <si>
    <t>38.913065,-120.004765</t>
  </si>
  <si>
    <t>SLV</t>
  </si>
  <si>
    <t>Solvang, California</t>
  </si>
  <si>
    <t>1630 Mission Drive</t>
  </si>
  <si>
    <t>Solvang</t>
  </si>
  <si>
    <t>34.595913,-120.140580</t>
  </si>
  <si>
    <t>SLY</t>
  </si>
  <si>
    <t>Salisbury (Greyhound), Maryland</t>
  </si>
  <si>
    <t>799 North Salisbury Boulevard</t>
  </si>
  <si>
    <t>Suite 1300 - Shore Transit/Tri-County</t>
  </si>
  <si>
    <t>410-677-3017</t>
  </si>
  <si>
    <t>38.374109,-75.592050</t>
  </si>
  <si>
    <t>SMC</t>
  </si>
  <si>
    <t>San Marcos, Texas</t>
  </si>
  <si>
    <t>338 South Guadalupe Street</t>
  </si>
  <si>
    <t>San Marcos Intermodal Station</t>
  </si>
  <si>
    <t>San Marcos</t>
  </si>
  <si>
    <t>29.876571,-97.941049</t>
  </si>
  <si>
    <t>SMD</t>
  </si>
  <si>
    <t>Madison (Dutch Mill), Wisconsin</t>
  </si>
  <si>
    <t>Hwy 51 &amp; East Broadway Avenue</t>
  </si>
  <si>
    <t>Dutch Mill Park and Ride</t>
  </si>
  <si>
    <t>43.047464,-89.304303</t>
  </si>
  <si>
    <t>SMI</t>
  </si>
  <si>
    <t>Sault Sainte Marie, Michigan</t>
  </si>
  <si>
    <t>4001 I-75 Business Spur</t>
  </si>
  <si>
    <t>Eastern Upper Peninsula Transit Authority Terminal</t>
  </si>
  <si>
    <t>Sault Sainte Marie</t>
  </si>
  <si>
    <t>46.463461,-84.371705</t>
  </si>
  <si>
    <t>SMR</t>
  </si>
  <si>
    <t>Smith River, California</t>
  </si>
  <si>
    <t>13450 US Highway 101 North</t>
  </si>
  <si>
    <t>Shell Station Lucky 7 Casino Store</t>
  </si>
  <si>
    <t>Smith River</t>
  </si>
  <si>
    <t>41.957498,-124.203781</t>
  </si>
  <si>
    <t>SMT</t>
  </si>
  <si>
    <t>Summit, Illinois</t>
  </si>
  <si>
    <t>Archer Avenue and South Center Avenue</t>
  </si>
  <si>
    <t>Summit</t>
  </si>
  <si>
    <t>41.794912,-87.809742</t>
  </si>
  <si>
    <t>Unstaffed shelter</t>
  </si>
  <si>
    <t>SNA</t>
  </si>
  <si>
    <t>Santa Ana, California</t>
  </si>
  <si>
    <t>1000 East Santa Ana Boulevard</t>
  </si>
  <si>
    <t>Santa Ana Regional Transportation Center</t>
  </si>
  <si>
    <t>Santa Ana</t>
  </si>
  <si>
    <t>714-547-8389</t>
  </si>
  <si>
    <t>33.751629,-117.856607</t>
  </si>
  <si>
    <t>SNAL</t>
  </si>
  <si>
    <t>SNB</t>
  </si>
  <si>
    <t>San Bernardino (Amtrak Station), California</t>
  </si>
  <si>
    <t>1170 West Third Street</t>
  </si>
  <si>
    <t>San Bernardino</t>
  </si>
  <si>
    <t>34.104112,-117.310659</t>
  </si>
  <si>
    <t>SNC</t>
  </si>
  <si>
    <t>San Juan Capistrano, California</t>
  </si>
  <si>
    <t>26701 Verdugo Street</t>
  </si>
  <si>
    <t>San Juan Capistrano</t>
  </si>
  <si>
    <t>949-240-2972</t>
  </si>
  <si>
    <t>33.501318,-117.663813</t>
  </si>
  <si>
    <t>SND</t>
  </si>
  <si>
    <t>Sanderson, Texas</t>
  </si>
  <si>
    <t>201 West Downie Street</t>
  </si>
  <si>
    <t>Sanderson</t>
  </si>
  <si>
    <t>30.139951,-102.398746</t>
  </si>
  <si>
    <t>SNP</t>
  </si>
  <si>
    <t>San Clemente Pier, California</t>
  </si>
  <si>
    <t>615 Avenida Victoria</t>
  </si>
  <si>
    <t>at the San Clemente Pier</t>
  </si>
  <si>
    <t>San Clemente</t>
  </si>
  <si>
    <t>33.419645,-117.619733</t>
  </si>
  <si>
    <t>SNS</t>
  </si>
  <si>
    <t>Salinas, California</t>
  </si>
  <si>
    <t>11 Station Place</t>
  </si>
  <si>
    <t xml:space="preserve">1 block north of Market St. </t>
  </si>
  <si>
    <t>Salinas</t>
  </si>
  <si>
    <t>831-422-7458</t>
  </si>
  <si>
    <t>36.679145,-121.656745</t>
  </si>
  <si>
    <t>Make sure you give out the right ZIP code - 93901</t>
  </si>
  <si>
    <t>SNSL</t>
  </si>
  <si>
    <t>SNY</t>
  </si>
  <si>
    <t>Stanley, Wisconsin</t>
  </si>
  <si>
    <t>604 South Broadway Street</t>
  </si>
  <si>
    <t>Shell Station Travel Plaza</t>
  </si>
  <si>
    <t>Stanley</t>
  </si>
  <si>
    <t>44.949813,-90.938352</t>
  </si>
  <si>
    <t>SOB</t>
  </si>
  <si>
    <t>South Bend, Indiana</t>
  </si>
  <si>
    <t>2702 West Washington Avenue</t>
  </si>
  <si>
    <t>South Bend</t>
  </si>
  <si>
    <t>574-288-2212</t>
  </si>
  <si>
    <t>41.678360,-86.287345</t>
  </si>
  <si>
    <t>SOBL</t>
  </si>
  <si>
    <t>SOL</t>
  </si>
  <si>
    <t>Solana Beach, California</t>
  </si>
  <si>
    <t>105 North Cedros Avenue</t>
  </si>
  <si>
    <t>Solana Beach Transit Center</t>
  </si>
  <si>
    <t>Solana Beach</t>
  </si>
  <si>
    <t>858-259-2697</t>
  </si>
  <si>
    <t>32.992937,-117.271135</t>
  </si>
  <si>
    <t>SOLL</t>
  </si>
  <si>
    <t>SOP</t>
  </si>
  <si>
    <t>Southern Pines, North Carolina</t>
  </si>
  <si>
    <t>235 Northwest Broad Street</t>
  </si>
  <si>
    <t>Southern Pines</t>
  </si>
  <si>
    <t>35.175069,-79.390303</t>
  </si>
  <si>
    <t>SPB</t>
  </si>
  <si>
    <t>Spartanburg, South Carolina</t>
  </si>
  <si>
    <t>290 Magnolia Street</t>
  </si>
  <si>
    <t>Spartanburg</t>
  </si>
  <si>
    <t>34.953736,-81.936917</t>
  </si>
  <si>
    <t>1001 Loyola  Ave, New Orleans, LA 70013</t>
  </si>
  <si>
    <t>SPD</t>
  </si>
  <si>
    <t>San Pedro (Catalina Terminal), California</t>
  </si>
  <si>
    <t>North Front Street and Swinford Street</t>
  </si>
  <si>
    <t>Berth 95, Catalina Terminal</t>
  </si>
  <si>
    <t>San Pedro</t>
  </si>
  <si>
    <t>33.749855,-118.278320</t>
  </si>
  <si>
    <t>See "SPO" for the public library stop, also Thruway screen.</t>
  </si>
  <si>
    <t>Springfield, Massachusetts</t>
  </si>
  <si>
    <t>66 Lyman Street</t>
  </si>
  <si>
    <t>Springfield</t>
  </si>
  <si>
    <t>413-785-4230</t>
  </si>
  <si>
    <t>42.105987,-72.592905</t>
  </si>
  <si>
    <t>assistant manager, passenger services</t>
  </si>
  <si>
    <t>Manager, passenger services</t>
  </si>
  <si>
    <t>SPI</t>
  </si>
  <si>
    <t>Springfield, Illinois</t>
  </si>
  <si>
    <t>100 North Third Street</t>
  </si>
  <si>
    <t>217-753-2013</t>
  </si>
  <si>
    <t>39.802323,-89.651384</t>
  </si>
  <si>
    <t>SPIL</t>
  </si>
  <si>
    <t>SPK</t>
  </si>
  <si>
    <t>Spokane, Washington</t>
  </si>
  <si>
    <t>221 West 1st Avenue</t>
  </si>
  <si>
    <t>Spokane</t>
  </si>
  <si>
    <t>509-624-5144</t>
  </si>
  <si>
    <t>47.656720,-117.415455</t>
  </si>
  <si>
    <t>S134</t>
  </si>
  <si>
    <t>SPL</t>
  </si>
  <si>
    <t>Staples, Minnesota</t>
  </si>
  <si>
    <t>First Avenue N.E. and Fourth Street N.E.</t>
  </si>
  <si>
    <t>(On south side of new HWY 10)</t>
  </si>
  <si>
    <t>Staples</t>
  </si>
  <si>
    <t>218-000-0000</t>
  </si>
  <si>
    <t>46.354601,-94.795331</t>
  </si>
  <si>
    <t>Unstaffed Station - Chamber of Commerce Located Inside</t>
  </si>
  <si>
    <t>SPM</t>
  </si>
  <si>
    <t>South Shore-South Portsmouth, Kentucky</t>
  </si>
  <si>
    <t>Main Street &amp; US 23</t>
  </si>
  <si>
    <t>South Shore</t>
  </si>
  <si>
    <t>38.721281,-82.963751</t>
  </si>
  <si>
    <t>SPO</t>
  </si>
  <si>
    <t>San Pedro (Downtown), California</t>
  </si>
  <si>
    <t>931 South Gaffey Street</t>
  </si>
  <si>
    <t>Public Library</t>
  </si>
  <si>
    <t>33.735694,-118.292499</t>
  </si>
  <si>
    <t>See "SPD" for the Berth 95 stop.  Also see Thruway screen.</t>
  </si>
  <si>
    <t>SPT</t>
  </si>
  <si>
    <t>Sandpoint (Amtrak), Idaho</t>
  </si>
  <si>
    <t>450 Railroad Avenue</t>
  </si>
  <si>
    <t>Former Northern Pacific Station Site</t>
  </si>
  <si>
    <t>48.276234,-116.545583</t>
  </si>
  <si>
    <t>Station building closed due to condition</t>
  </si>
  <si>
    <t>SPX</t>
  </si>
  <si>
    <t>Sparks, Nevada (Thruway Buses)</t>
  </si>
  <si>
    <t>1100 Nugget Avenue</t>
  </si>
  <si>
    <t>John Ascuaga's Nugget Hotel and Casino</t>
  </si>
  <si>
    <t>Sparks</t>
  </si>
  <si>
    <t>SRX</t>
  </si>
  <si>
    <t>39.533532,-119.757111</t>
  </si>
  <si>
    <t>For trains 5/6, use Reno; Sparks train stop disc 2009-05-11.</t>
  </si>
  <si>
    <t>SAO6</t>
  </si>
  <si>
    <t>SQA</t>
  </si>
  <si>
    <t>Squamish, British Columbia</t>
  </si>
  <si>
    <t>38163 Second Avenue</t>
  </si>
  <si>
    <t>Greyhound Canada Transit Bus Stop</t>
  </si>
  <si>
    <t>in the Chieftain Shopping Center</t>
  </si>
  <si>
    <t>Squamish</t>
  </si>
  <si>
    <t>49.701680,-123.152996</t>
  </si>
  <si>
    <t>See G/AMW/B02/P61-62</t>
  </si>
  <si>
    <t>SRA</t>
  </si>
  <si>
    <t>Sarasota, Florida</t>
  </si>
  <si>
    <t>1993 Main Street</t>
  </si>
  <si>
    <t>US 301 and Main St., Hollywood 20 Complex</t>
  </si>
  <si>
    <t>Sarasota</t>
  </si>
  <si>
    <t>27.336522,-82.531496</t>
  </si>
  <si>
    <t>June 24,25,26 Stop Parking Lot Northeast Corner</t>
  </si>
  <si>
    <t>SRC</t>
  </si>
  <si>
    <t>Santa Rosa, California</t>
  </si>
  <si>
    <t>175 Railroad Street</t>
  </si>
  <si>
    <t>Courtyard Marriott Hotel</t>
  </si>
  <si>
    <t>Santa Rosa</t>
  </si>
  <si>
    <t>38.435884,-122.720145</t>
  </si>
  <si>
    <t>SRK</t>
  </si>
  <si>
    <t>Saratoga Race Course, Saratoga Springs, New York</t>
  </si>
  <si>
    <t>267 Union Avenue</t>
  </si>
  <si>
    <t>43.074607,-73.771017</t>
  </si>
  <si>
    <t>Seasonal stop for shuttle bus from Amtrak station</t>
  </si>
  <si>
    <t>SRT</t>
  </si>
  <si>
    <t>Searsport, Maine</t>
  </si>
  <si>
    <t>161 East Main Street</t>
  </si>
  <si>
    <t>Steamboat Mobil</t>
  </si>
  <si>
    <t>Searsport</t>
  </si>
  <si>
    <t>207-548-2728</t>
  </si>
  <si>
    <t>44.460756,-68.909658</t>
  </si>
  <si>
    <t>SSD</t>
  </si>
  <si>
    <t>Seaside, Oregon</t>
  </si>
  <si>
    <t>1215 South Holladay Drive</t>
  </si>
  <si>
    <t>Del's Chevron, South Holladay Dr at US 101/26</t>
  </si>
  <si>
    <t>Hostel:  see directions screen</t>
  </si>
  <si>
    <t>800-442-4106</t>
  </si>
  <si>
    <t>Oregon Coachways</t>
  </si>
  <si>
    <t>45.985913,-123.923410</t>
  </si>
  <si>
    <t>SSM</t>
  </si>
  <si>
    <t>Selma, North Carolina</t>
  </si>
  <si>
    <t>500 East Railroad Street</t>
  </si>
  <si>
    <t>Selma</t>
  </si>
  <si>
    <t>35.532786,-78.280099</t>
  </si>
  <si>
    <t>SSP</t>
  </si>
  <si>
    <t>Silver Spring, Maryland</t>
  </si>
  <si>
    <t>1170 Bonifant Street</t>
  </si>
  <si>
    <t>Silver Spring</t>
  </si>
  <si>
    <t>SSW</t>
  </si>
  <si>
    <t>Stevens Pass, Washington</t>
  </si>
  <si>
    <t>US Highway 2 at Summit Parking Lot</t>
  </si>
  <si>
    <t>WB stop on north side, EB stop on south side US2</t>
  </si>
  <si>
    <t>Stevens Pass</t>
  </si>
  <si>
    <t>47.746634,-121.088387</t>
  </si>
  <si>
    <t>STA</t>
  </si>
  <si>
    <t>Staunton, Virginia</t>
  </si>
  <si>
    <t>1 Middlebrook Avenue</t>
  </si>
  <si>
    <t>Staunton</t>
  </si>
  <si>
    <t>38.147639,-79.071776</t>
  </si>
  <si>
    <t>STD</t>
  </si>
  <si>
    <t>St. Denis, Maryland</t>
  </si>
  <si>
    <t>1734 Arlington Avenue</t>
  </si>
  <si>
    <t>STG</t>
  </si>
  <si>
    <t>St. George, Utah</t>
  </si>
  <si>
    <t>1235 South Bluff St.</t>
  </si>
  <si>
    <t>McDonalds Restaurant</t>
  </si>
  <si>
    <t>St. George</t>
  </si>
  <si>
    <t>435-673-2933</t>
  </si>
  <si>
    <t>37.087577,-113.583845</t>
  </si>
  <si>
    <t>STI</t>
  </si>
  <si>
    <t>St. Ignace, Michigan</t>
  </si>
  <si>
    <t>700 West US Hwy 2</t>
  </si>
  <si>
    <t>St. Ignace</t>
  </si>
  <si>
    <t>906-643-1531</t>
  </si>
  <si>
    <t>45.858556,-84.721153</t>
  </si>
  <si>
    <t>St. Ignace bus station</t>
  </si>
  <si>
    <t>430 South 15th Street</t>
  </si>
  <si>
    <t>St. Louis Gateway Station</t>
  </si>
  <si>
    <t>St. Louis</t>
  </si>
  <si>
    <t>314-331-3309</t>
  </si>
  <si>
    <t>38.624461,-90.203838</t>
  </si>
  <si>
    <t>District Station Manager, Customer Service</t>
  </si>
  <si>
    <t>STM</t>
  </si>
  <si>
    <t>Stamford, Connecticut</t>
  </si>
  <si>
    <t>Washington Blvd and South State Street</t>
  </si>
  <si>
    <t>Stamford</t>
  </si>
  <si>
    <t>203-363-5782</t>
  </si>
  <si>
    <t>41.047130,-73.542160</t>
  </si>
  <si>
    <t>Public phone is only for paging passengers.</t>
  </si>
  <si>
    <t>STML</t>
  </si>
  <si>
    <t>STN</t>
  </si>
  <si>
    <t>Stanley, North Dakota</t>
  </si>
  <si>
    <t>Main Street &amp; Railroad Avenue</t>
  </si>
  <si>
    <t>48.319813,-102.389379</t>
  </si>
  <si>
    <t>Station Locked at non-train time hours</t>
  </si>
  <si>
    <t>STP</t>
  </si>
  <si>
    <t>St Petersburg-Clearwater, Florida</t>
  </si>
  <si>
    <t>5251 110th Avenue North</t>
  </si>
  <si>
    <t>Pinellas Park Square, Suite 101</t>
  </si>
  <si>
    <t>Clearwater</t>
  </si>
  <si>
    <t>727-540-0034</t>
  </si>
  <si>
    <t>27.873108,-82.704424</t>
  </si>
  <si>
    <t>S137</t>
  </si>
  <si>
    <t>NEW ORLEANS LA</t>
  </si>
  <si>
    <t>MCD</t>
  </si>
  <si>
    <t>Merced, California</t>
  </si>
  <si>
    <t>324 West 24th Street</t>
  </si>
  <si>
    <t>Merced</t>
  </si>
  <si>
    <t>209-722-6862</t>
  </si>
  <si>
    <t>37.307183,-120.476805</t>
  </si>
  <si>
    <t>MCDL</t>
  </si>
  <si>
    <t>MCF</t>
  </si>
  <si>
    <t>MCG</t>
  </si>
  <si>
    <t>McGregor, Texas</t>
  </si>
  <si>
    <t>1 Amtrak Boulevard</t>
  </si>
  <si>
    <t>McGregor</t>
  </si>
  <si>
    <t>31.443352,-97.404756</t>
  </si>
  <si>
    <t>Pay phone 254-840-8833 - WAITING ROOM CLOSED 4/8-5/10/11</t>
  </si>
  <si>
    <t>Ft. Worth, TX</t>
  </si>
  <si>
    <t>MCI</t>
  </si>
  <si>
    <t>Michigan City, Indiana</t>
  </si>
  <si>
    <t>100 Washington Street</t>
  </si>
  <si>
    <t>Michigan City</t>
  </si>
  <si>
    <t>41.721103,-86.905385</t>
  </si>
  <si>
    <t>MCK</t>
  </si>
  <si>
    <t>McCook, Nebraska</t>
  </si>
  <si>
    <t>101 Norris Avenue</t>
  </si>
  <si>
    <t>McCook</t>
  </si>
  <si>
    <t>40.197634,-100.625792</t>
  </si>
  <si>
    <t>MCY</t>
  </si>
  <si>
    <t>Monocacy (Frederick), Maryland</t>
  </si>
  <si>
    <t>7800 Genstar Drive</t>
  </si>
  <si>
    <t>MARC commuter trains only, no Amtrak service here</t>
  </si>
  <si>
    <t>MDN</t>
  </si>
  <si>
    <t>Meriden, Connecticut</t>
  </si>
  <si>
    <t>60 State Street</t>
  </si>
  <si>
    <t>Meriden</t>
  </si>
  <si>
    <t>203-235-3402</t>
  </si>
  <si>
    <t>Shoreline East / Via</t>
  </si>
  <si>
    <t>41.539385,-72.800678</t>
  </si>
  <si>
    <t>closed weekends and major holidays</t>
  </si>
  <si>
    <t>MDNL</t>
  </si>
  <si>
    <t>Springfield,Massachusetts</t>
  </si>
  <si>
    <t>Manager of Stations</t>
  </si>
  <si>
    <t>New Haven, Connecticut</t>
  </si>
  <si>
    <t>MDP</t>
  </si>
  <si>
    <t>Midpines, California</t>
  </si>
  <si>
    <t>6979 Highway 140</t>
  </si>
  <si>
    <t>Yosemite Bug Youth Hostel</t>
  </si>
  <si>
    <t>Midpines</t>
  </si>
  <si>
    <t>37.544143,-119.920202</t>
  </si>
  <si>
    <t>MDR</t>
  </si>
  <si>
    <t>Madera, California</t>
  </si>
  <si>
    <t>18770 Road 26</t>
  </si>
  <si>
    <t>Madera</t>
  </si>
  <si>
    <t>559-661-0935</t>
  </si>
  <si>
    <t>Corvallis, Oregon</t>
  </si>
  <si>
    <t>153 NW 4th Avenue</t>
  </si>
  <si>
    <t>Corvallis</t>
  </si>
  <si>
    <t>44.565432,-123.261389</t>
  </si>
  <si>
    <t>CVJ</t>
  </si>
  <si>
    <t>Cave Junction, Oregon</t>
  </si>
  <si>
    <t>406 Redwood Coast Highway</t>
  </si>
  <si>
    <t>Junction Inn</t>
  </si>
  <si>
    <t>Cave Junction</t>
  </si>
  <si>
    <t>42.163002,-123.647000</t>
  </si>
  <si>
    <t>CVL</t>
  </si>
  <si>
    <t>Colville, Washington</t>
  </si>
  <si>
    <t>956 South Main Street</t>
  </si>
  <si>
    <t>Rural Resources Community Action</t>
  </si>
  <si>
    <t>Colville</t>
  </si>
  <si>
    <t>48.535879,-117.908378</t>
  </si>
  <si>
    <t>CVS</t>
  </si>
  <si>
    <t>Charlottesville, Virginia</t>
  </si>
  <si>
    <t>810 West Main Street</t>
  </si>
  <si>
    <t>Charlottesville</t>
  </si>
  <si>
    <t>434-296-4559</t>
  </si>
  <si>
    <t>38.031484,-78.491684</t>
  </si>
  <si>
    <t>See Thruway screen for buses to Richmond and Washington</t>
  </si>
  <si>
    <t>CVSL</t>
  </si>
  <si>
    <t>MRP</t>
  </si>
  <si>
    <t>Mariposa (Park and Ride), California</t>
  </si>
  <si>
    <t>4974 Joe Howard Street</t>
  </si>
  <si>
    <t>Mariposa Park and Ride</t>
  </si>
  <si>
    <t>2nd Stop - Hwy 140/49 at 7th - Downtown</t>
  </si>
  <si>
    <t>37.491268,-119.974222</t>
  </si>
  <si>
    <t>MRV</t>
  </si>
  <si>
    <t>Marysville, California</t>
  </si>
  <si>
    <t>I Street between 8th and 9th</t>
  </si>
  <si>
    <t>Yuba-Sutter Transit Stop</t>
  </si>
  <si>
    <t>near the Yuba County Goverment Center</t>
  </si>
  <si>
    <t>Marysville</t>
  </si>
  <si>
    <t>39.143721,-121.597259</t>
  </si>
  <si>
    <t>MRY</t>
  </si>
  <si>
    <t>Monterey (Transit Plaza), California</t>
  </si>
  <si>
    <t xml:space="preserve">500 Tyler St.  </t>
  </si>
  <si>
    <t>Corner of East Pearl St. and Tyler St.</t>
  </si>
  <si>
    <t>See "Directions" for details on where buses stop</t>
  </si>
  <si>
    <t>Monterey</t>
  </si>
  <si>
    <t>MRX</t>
  </si>
  <si>
    <t>36.597495,-121.894198</t>
  </si>
  <si>
    <t>MSA</t>
  </si>
  <si>
    <t>Martin State Airport, Maryland</t>
  </si>
  <si>
    <t>2710 Eastern Boulevard</t>
  </si>
  <si>
    <t>Middle River</t>
  </si>
  <si>
    <t>MSC</t>
  </si>
  <si>
    <t>Miscellaneous</t>
  </si>
  <si>
    <t>MSD</t>
  </si>
  <si>
    <t>Madison (Deforest), Wisconsin</t>
  </si>
  <si>
    <t>6162 Highway 51</t>
  </si>
  <si>
    <t>Truckers Inn Truck Stop</t>
  </si>
  <si>
    <t>Deforest</t>
  </si>
  <si>
    <t>43.184486,-89.323362</t>
  </si>
  <si>
    <t>MSI</t>
  </si>
  <si>
    <t>Mosinee, Wisconsin</t>
  </si>
  <si>
    <t>2400 CWA Drive</t>
  </si>
  <si>
    <t>Central  Wisconsin Airport</t>
  </si>
  <si>
    <t>Mosinee</t>
  </si>
  <si>
    <t>44.784233,-89.672975</t>
  </si>
  <si>
    <t>MSN</t>
  </si>
  <si>
    <t>Madison (University of Wisconsin), Wisconsin</t>
  </si>
  <si>
    <t>800 Langdon Street</t>
  </si>
  <si>
    <t>Highway 140 and 7th Street</t>
  </si>
  <si>
    <t>YARTS Bus Stop</t>
  </si>
  <si>
    <t>Mariposa</t>
  </si>
  <si>
    <t>MPX</t>
  </si>
  <si>
    <t>37.485747,-119.966205</t>
  </si>
  <si>
    <t>STS</t>
  </si>
  <si>
    <t>New Haven (State Street), Connecticut</t>
  </si>
  <si>
    <t>370 State Street</t>
  </si>
  <si>
    <t>STW</t>
  </si>
  <si>
    <t>Stanwood, Washington</t>
  </si>
  <si>
    <t>27111 Florence Way</t>
  </si>
  <si>
    <t>Stanwood</t>
  </si>
  <si>
    <t>48.242638,-122.349935</t>
  </si>
  <si>
    <t>See "Miscellaneous" screen for problem with Internet mapping</t>
  </si>
  <si>
    <t>Asst Superintendent, Passenger Services</t>
  </si>
  <si>
    <t>SUI</t>
  </si>
  <si>
    <t>Suisun-Fairfield, California</t>
  </si>
  <si>
    <t>177 Main Street</t>
  </si>
  <si>
    <t>Suisun City</t>
  </si>
  <si>
    <t>38.243401,-122.041099</t>
  </si>
  <si>
    <t>SUN</t>
  </si>
  <si>
    <t>Sunriver, Oregon</t>
  </si>
  <si>
    <t>56896 Venture Ln # 4</t>
  </si>
  <si>
    <t>Sunriver</t>
  </si>
  <si>
    <t>43.873858,-121.446097</t>
  </si>
  <si>
    <t>SUT</t>
  </si>
  <si>
    <t>Sun City-Menifee, California</t>
  </si>
  <si>
    <t>26938 Cherry Hills Blvd.</t>
  </si>
  <si>
    <t>In front of Menifee Valley Community Cupboard</t>
  </si>
  <si>
    <t>Sun City-Menifee</t>
  </si>
  <si>
    <t>33.710967,-117.189812</t>
  </si>
  <si>
    <t>Unstaffed Thruway Bus Stop. No Amtrak Services</t>
  </si>
  <si>
    <t>SUY</t>
  </si>
  <si>
    <t>Surrey, British Columbia</t>
  </si>
  <si>
    <t>1160 King George Boulevard</t>
  </si>
  <si>
    <t>Pacific Inn</t>
  </si>
  <si>
    <t>South Surrey</t>
  </si>
  <si>
    <t>49.023123,-122.764723</t>
  </si>
  <si>
    <t>Pacific Inn Hotel</t>
  </si>
  <si>
    <t>Manager thruway bus operations</t>
  </si>
  <si>
    <t>SVF</t>
  </si>
  <si>
    <t>Seattle (Ferry - Pier 69), Washington</t>
  </si>
  <si>
    <t>2701 Alaskan Way</t>
  </si>
  <si>
    <t>Victoria Clipper Ferry, Pier 69</t>
  </si>
  <si>
    <t>206-448-5000</t>
  </si>
  <si>
    <t>Victoria Clipper</t>
  </si>
  <si>
    <t>47.613623,-122.353001</t>
  </si>
  <si>
    <t>Ferry to Victoria, B.C.</t>
  </si>
  <si>
    <t>SVG</t>
  </si>
  <si>
    <t>Savage, Maryland</t>
  </si>
  <si>
    <t>9009 Dorsey Run Road</t>
  </si>
  <si>
    <t>Annapolis Junction</t>
  </si>
  <si>
    <t>SVP</t>
  </si>
  <si>
    <t>Stevens Point (200 Division St), Wisconsin</t>
  </si>
  <si>
    <t>200 Division Street</t>
  </si>
  <si>
    <t>Olympia Family Restaurant</t>
  </si>
  <si>
    <t>Stevens Point</t>
  </si>
  <si>
    <t>44.533158,-89.575535</t>
  </si>
  <si>
    <t>SVT</t>
  </si>
  <si>
    <t>Sturtevant, Wisconsin</t>
  </si>
  <si>
    <t>9900 East Exploration Court</t>
  </si>
  <si>
    <t>Sturtevant</t>
  </si>
  <si>
    <t>42.718292,-87.906300</t>
  </si>
  <si>
    <t>Asst. Superintendent, Passenger Services</t>
  </si>
  <si>
    <t>SVU</t>
  </si>
  <si>
    <t>Stevens Point (University of Wisconsin), Wisconsin</t>
  </si>
  <si>
    <t>2050 4th Avenue</t>
  </si>
  <si>
    <t>University of Wisconsin Health Enhancement Ctr</t>
  </si>
  <si>
    <t>44.528941,-89.571578</t>
  </si>
  <si>
    <t>SVY</t>
  </si>
  <si>
    <t>Scotts Valley, California</t>
  </si>
  <si>
    <t>246 Kings Village Road</t>
  </si>
  <si>
    <t>Scotts Valley Transit Center</t>
  </si>
  <si>
    <t>Scotts Valley</t>
  </si>
  <si>
    <t>37.048984,-122.027947</t>
  </si>
  <si>
    <t>Local tickets available from SCMTD</t>
  </si>
  <si>
    <t>SYR</t>
  </si>
  <si>
    <t>Syracuse, New York</t>
  </si>
  <si>
    <t>131 Alliance Bank Parkway</t>
  </si>
  <si>
    <t>Regional Transportation Center</t>
  </si>
  <si>
    <t>315-477-1152</t>
  </si>
  <si>
    <t>43.076548,-76.169244</t>
  </si>
  <si>
    <t>SYRL</t>
  </si>
  <si>
    <t>Buffalo, NY (Depew Station)</t>
  </si>
  <si>
    <t>alb</t>
  </si>
  <si>
    <t>TAC</t>
  </si>
  <si>
    <t>Tacoma, Washington</t>
  </si>
  <si>
    <t>1001 Puyallup Avenue</t>
  </si>
  <si>
    <t>Tacoma</t>
  </si>
  <si>
    <t>253-627-8141</t>
  </si>
  <si>
    <t>47.241894,-122.420509</t>
  </si>
  <si>
    <t>Sound Transit Commuter Rail not at this location!</t>
  </si>
  <si>
    <t>TACL</t>
  </si>
  <si>
    <t>TAY</t>
  </si>
  <si>
    <t>Taylor, Texas</t>
  </si>
  <si>
    <t>118 East First Street</t>
  </si>
  <si>
    <t>Union Pacific Yard Office</t>
  </si>
  <si>
    <t>Taylor</t>
  </si>
  <si>
    <t>30.567667,-97.407763</t>
  </si>
  <si>
    <t>TCA</t>
  </si>
  <si>
    <t>Toccoa, Georgia</t>
  </si>
  <si>
    <t>47 North Alexander Street</t>
  </si>
  <si>
    <t>Toccoa</t>
  </si>
  <si>
    <t>34.578456,-83.331542</t>
  </si>
  <si>
    <t>Construction in station area</t>
  </si>
  <si>
    <t>TCL</t>
  </si>
  <si>
    <t>Tuscaloosa, Alabama</t>
  </si>
  <si>
    <t>2105 Greensboro Avenue</t>
  </si>
  <si>
    <t>Tuscaloosa</t>
  </si>
  <si>
    <t>205-758-3578</t>
  </si>
  <si>
    <t>33.193165,-87.560228</t>
  </si>
  <si>
    <t>TCLL</t>
  </si>
  <si>
    <t>1001 Loyola Ave, New Orleans, La. 70113</t>
  </si>
  <si>
    <t>TDO</t>
  </si>
  <si>
    <t>Toledo, Oregon</t>
  </si>
  <si>
    <t>1805 NW Highway 20</t>
  </si>
  <si>
    <t>Dairy Queen/Valley Retriever Bus Stop</t>
  </si>
  <si>
    <t>Toledo</t>
  </si>
  <si>
    <t>Bus tickets</t>
  </si>
  <si>
    <t>44.632298,-123.947973</t>
  </si>
  <si>
    <t>TEH</t>
  </si>
  <si>
    <t>Tehachapi, California</t>
  </si>
  <si>
    <t>Westside of Mullbery Street</t>
  </si>
  <si>
    <t>50 Yards off Tehachapi Boulevard</t>
  </si>
  <si>
    <t>Tehachapi</t>
  </si>
  <si>
    <t>35.131909,-118.456943</t>
  </si>
  <si>
    <t>TFI</t>
  </si>
  <si>
    <t>Twin Falls, Idaho</t>
  </si>
  <si>
    <t>1390 Blue Lakes Boulevard North</t>
  </si>
  <si>
    <t>Oasis Stop N Go #14</t>
  </si>
  <si>
    <t>Twin Falls</t>
  </si>
  <si>
    <t>208-733-3002</t>
  </si>
  <si>
    <t>42.586494,-114.459625</t>
  </si>
  <si>
    <t>THD</t>
  </si>
  <si>
    <t>The Dalles, Oregon</t>
  </si>
  <si>
    <t>201 East Federal Street</t>
  </si>
  <si>
    <t>City Transportation Center</t>
  </si>
  <si>
    <t>The Dalles</t>
  </si>
  <si>
    <t>541-296-2421</t>
  </si>
  <si>
    <t>45.601204,-121.180275</t>
  </si>
  <si>
    <t>THN</t>
  </si>
  <si>
    <t>Thurmond, West Virginia</t>
  </si>
  <si>
    <t>Hwy 25 &amp; Hwy 2</t>
  </si>
  <si>
    <t>platform 1000 ft north of intersection</t>
  </si>
  <si>
    <t>Thurmond</t>
  </si>
  <si>
    <t>37.956986,-81.078754</t>
  </si>
  <si>
    <t>Historic C&amp;O Depot on County road 25 Thurmond McKendree Road</t>
  </si>
  <si>
    <t>TLT</t>
  </si>
  <si>
    <t>Tilton, New Hampshire</t>
  </si>
  <si>
    <t>63 Laconia 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</si>
</sst>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974"/>
  <sheetViews>
    <sheetView tabSelected="1" workbookViewId="0"/>
  </sheetViews>
  <sheetFormatPr defaultColWidth="8.77734375" defaultRowHeight="13.2" x14ac:dyDescent="0.25"/>
  <cols>
    <col min="1" max="1" width="6" bestFit="1" customWidth="1"/>
    <col min="2" max="2" width="51.44140625" bestFit="1" customWidth="1"/>
    <col min="3" max="3" width="7.44140625" bestFit="1" customWidth="1"/>
    <col min="4" max="4" width="31.109375" bestFit="1" customWidth="1"/>
    <col min="5" max="5" width="50.109375" bestFit="1" customWidth="1"/>
    <col min="6" max="6" width="54" bestFit="1" customWidth="1"/>
    <col min="7" max="7" width="52.109375" bestFit="1" customWidth="1"/>
    <col min="8" max="8" width="25" bestFit="1" customWidth="1"/>
    <col min="9" max="9" width="5.6640625" bestFit="1" customWidth="1"/>
    <col min="10" max="10" width="10.44140625" bestFit="1" customWidth="1"/>
    <col min="11" max="11" width="12.33203125" bestFit="1" customWidth="1"/>
    <col min="12" max="12" width="18.44140625" bestFit="1" customWidth="1"/>
    <col min="13" max="13" width="13.109375" bestFit="1" customWidth="1"/>
    <col min="14" max="14" width="11.6640625" bestFit="1" customWidth="1"/>
    <col min="16" max="16" width="13.44140625" bestFit="1" customWidth="1"/>
    <col min="17" max="17" width="17.33203125" bestFit="1" customWidth="1"/>
    <col min="18" max="18" width="14.44140625" bestFit="1" customWidth="1"/>
    <col min="19" max="19" width="14" bestFit="1" customWidth="1"/>
    <col min="20" max="20" width="7.77734375" bestFit="1" customWidth="1"/>
    <col min="21" max="21" width="23.77734375" bestFit="1" customWidth="1"/>
    <col min="22" max="22" width="11.77734375" bestFit="1" customWidth="1"/>
    <col min="23" max="23" width="13.109375" bestFit="1" customWidth="1"/>
    <col min="24" max="24" width="17.44140625" bestFit="1" customWidth="1"/>
    <col min="25" max="25" width="18.33203125" bestFit="1" customWidth="1"/>
    <col min="26" max="26" width="20.33203125" bestFit="1" customWidth="1"/>
    <col min="27" max="27" width="19.44140625" bestFit="1" customWidth="1"/>
    <col min="28" max="29" width="10" bestFit="1" customWidth="1"/>
    <col min="30" max="30" width="13.6640625" bestFit="1" customWidth="1"/>
    <col min="31" max="31" width="20.77734375" bestFit="1" customWidth="1"/>
    <col min="32" max="32" width="10" bestFit="1" customWidth="1"/>
    <col min="33" max="33" width="23.109375" bestFit="1" customWidth="1"/>
    <col min="34" max="34" width="17.33203125" bestFit="1" customWidth="1"/>
    <col min="35" max="35" width="18.6640625" bestFit="1" customWidth="1"/>
    <col min="36" max="36" width="20.44140625" bestFit="1" customWidth="1"/>
    <col min="37" max="37" width="9.44140625" bestFit="1" customWidth="1"/>
    <col min="38" max="38" width="10.77734375" bestFit="1" customWidth="1"/>
    <col min="39" max="39" width="66.33203125" bestFit="1" customWidth="1"/>
    <col min="40" max="40" width="59.6640625" bestFit="1" customWidth="1"/>
    <col min="41" max="41" width="14.33203125" bestFit="1" customWidth="1"/>
    <col min="42" max="42" width="18.109375" bestFit="1" customWidth="1"/>
    <col min="43" max="43" width="15.33203125" bestFit="1" customWidth="1"/>
    <col min="44" max="44" width="19.109375" bestFit="1" customWidth="1"/>
    <col min="45" max="45" width="18" bestFit="1" customWidth="1"/>
    <col min="46" max="46" width="21.77734375" bestFit="1" customWidth="1"/>
    <col min="47" max="47" width="63.6640625" bestFit="1" customWidth="1"/>
    <col min="48" max="48" width="17.77734375" bestFit="1" customWidth="1"/>
    <col min="49" max="49" width="21.6640625" bestFit="1" customWidth="1"/>
    <col min="50" max="50" width="18.77734375" bestFit="1" customWidth="1"/>
    <col min="51" max="51" width="22.6640625" bestFit="1" customWidth="1"/>
    <col min="52" max="52" width="21.44140625" bestFit="1" customWidth="1"/>
    <col min="53" max="53" width="25.33203125" bestFit="1" customWidth="1"/>
    <col min="54" max="54" width="22" bestFit="1" customWidth="1"/>
    <col min="55" max="55" width="25.77734375" bestFit="1" customWidth="1"/>
    <col min="56" max="56" width="27.44140625" bestFit="1" customWidth="1"/>
    <col min="57" max="57" width="31.44140625" bestFit="1" customWidth="1"/>
    <col min="58" max="58" width="51.44140625" bestFit="1" customWidth="1"/>
    <col min="59" max="59" width="51.77734375" bestFit="1" customWidth="1"/>
    <col min="60" max="60" width="48.33203125" bestFit="1" customWidth="1"/>
    <col min="61" max="61" width="20" bestFit="1" customWidth="1"/>
    <col min="62" max="62" width="23.77734375" bestFit="1" customWidth="1"/>
    <col min="63" max="63" width="21" bestFit="1" customWidth="1"/>
    <col min="64" max="64" width="24.77734375" bestFit="1" customWidth="1"/>
    <col min="65" max="65" width="23.6640625" bestFit="1" customWidth="1"/>
    <col min="66" max="66" width="27.44140625" bestFit="1" customWidth="1"/>
    <col min="67" max="67" width="26.109375" bestFit="1" customWidth="1"/>
    <col min="68" max="68" width="52.6640625" bestFit="1" customWidth="1"/>
    <col min="69" max="69" width="50.6640625" bestFit="1" customWidth="1"/>
    <col min="70" max="70" width="23.109375" bestFit="1" customWidth="1"/>
    <col min="71" max="71" width="27" bestFit="1" customWidth="1"/>
    <col min="72" max="72" width="24.109375" bestFit="1" customWidth="1"/>
    <col min="73" max="73" width="28" bestFit="1" customWidth="1"/>
    <col min="74" max="74" width="26.77734375" bestFit="1" customWidth="1"/>
    <col min="75" max="75" width="30.6640625" bestFit="1" customWidth="1"/>
    <col min="76" max="77" width="106" bestFit="1" customWidth="1"/>
    <col min="78" max="78" width="82.77734375" bestFit="1" customWidth="1"/>
    <col min="79" max="80" width="126.109375" bestFit="1" customWidth="1"/>
    <col min="81" max="81" width="96.44140625" bestFit="1" customWidth="1"/>
    <col min="82" max="82" width="29" bestFit="1" customWidth="1"/>
    <col min="83" max="83" width="64" bestFit="1" customWidth="1"/>
    <col min="84" max="84" width="101.77734375" bestFit="1" customWidth="1"/>
    <col min="85" max="85" width="19.44140625" bestFit="1" customWidth="1"/>
    <col min="86" max="86" width="43.77734375" bestFit="1" customWidth="1"/>
  </cols>
  <sheetData>
    <row r="1" spans="1:86" s="1" customFormat="1" x14ac:dyDescent="0.25">
      <c r="A1" s="1" t="s">
        <v>1903</v>
      </c>
      <c r="B1" s="1" t="s">
        <v>1904</v>
      </c>
      <c r="C1" s="1" t="s">
        <v>1905</v>
      </c>
      <c r="D1" s="1" t="s">
        <v>1906</v>
      </c>
      <c r="E1" s="1" t="s">
        <v>1907</v>
      </c>
      <c r="F1" s="1" t="s">
        <v>1908</v>
      </c>
      <c r="G1" s="1" t="s">
        <v>1909</v>
      </c>
      <c r="H1" s="1" t="s">
        <v>1910</v>
      </c>
      <c r="I1" s="1" t="s">
        <v>1911</v>
      </c>
      <c r="J1" s="1" t="s">
        <v>1912</v>
      </c>
      <c r="K1" s="1" t="s">
        <v>1913</v>
      </c>
      <c r="L1" s="1" t="s">
        <v>1914</v>
      </c>
      <c r="M1" s="1" t="s">
        <v>1915</v>
      </c>
      <c r="N1" s="1" t="s">
        <v>1916</v>
      </c>
      <c r="O1" s="1" t="s">
        <v>1917</v>
      </c>
      <c r="P1" s="1" t="s">
        <v>1918</v>
      </c>
      <c r="Q1" s="1" t="s">
        <v>1919</v>
      </c>
      <c r="R1" s="1" t="s">
        <v>1920</v>
      </c>
      <c r="S1" s="1" t="s">
        <v>1921</v>
      </c>
      <c r="T1" s="1" t="s">
        <v>1922</v>
      </c>
      <c r="U1" s="1" t="s">
        <v>1923</v>
      </c>
      <c r="V1" s="1" t="s">
        <v>1924</v>
      </c>
      <c r="W1" s="1" t="s">
        <v>1925</v>
      </c>
      <c r="X1" s="1" t="s">
        <v>1926</v>
      </c>
      <c r="Y1" s="1" t="s">
        <v>1927</v>
      </c>
      <c r="Z1" s="1" t="s">
        <v>1928</v>
      </c>
      <c r="AA1" s="1" t="s">
        <v>1929</v>
      </c>
      <c r="AB1" s="1" t="s">
        <v>1930</v>
      </c>
      <c r="AC1" s="1" t="s">
        <v>1931</v>
      </c>
      <c r="AD1" s="1" t="s">
        <v>1932</v>
      </c>
      <c r="AE1" s="1" t="s">
        <v>1933</v>
      </c>
      <c r="AF1" s="1" t="s">
        <v>1934</v>
      </c>
      <c r="AG1" s="1" t="s">
        <v>1935</v>
      </c>
      <c r="AH1" s="1" t="s">
        <v>1936</v>
      </c>
      <c r="AI1" s="1" t="s">
        <v>1937</v>
      </c>
      <c r="AJ1" s="1" t="s">
        <v>1938</v>
      </c>
      <c r="AK1" s="1" t="s">
        <v>1939</v>
      </c>
      <c r="AL1" s="1" t="s">
        <v>1940</v>
      </c>
      <c r="AM1" s="1" t="s">
        <v>1941</v>
      </c>
      <c r="AN1" s="1" t="s">
        <v>1942</v>
      </c>
      <c r="AO1" s="1" t="s">
        <v>1943</v>
      </c>
      <c r="AP1" s="1" t="s">
        <v>1944</v>
      </c>
      <c r="AQ1" s="1" t="s">
        <v>1945</v>
      </c>
      <c r="AR1" s="1" t="s">
        <v>1946</v>
      </c>
      <c r="AS1" s="1" t="s">
        <v>1947</v>
      </c>
      <c r="AT1" s="1" t="s">
        <v>1948</v>
      </c>
      <c r="AU1" s="1" t="s">
        <v>1949</v>
      </c>
      <c r="AV1" s="1" t="s">
        <v>1950</v>
      </c>
      <c r="AW1" s="1" t="s">
        <v>1951</v>
      </c>
      <c r="AX1" s="1" t="s">
        <v>1952</v>
      </c>
      <c r="AY1" s="1" t="s">
        <v>1953</v>
      </c>
      <c r="AZ1" s="1" t="s">
        <v>1954</v>
      </c>
      <c r="BA1" s="1" t="s">
        <v>1955</v>
      </c>
      <c r="BB1" s="1" t="s">
        <v>1956</v>
      </c>
      <c r="BC1" s="1" t="s">
        <v>1957</v>
      </c>
      <c r="BD1" s="1" t="s">
        <v>1958</v>
      </c>
      <c r="BE1" s="1" t="s">
        <v>1959</v>
      </c>
      <c r="BF1" s="1" t="s">
        <v>1960</v>
      </c>
      <c r="BG1" s="1" t="s">
        <v>1961</v>
      </c>
      <c r="BH1" s="1" t="s">
        <v>1962</v>
      </c>
      <c r="BI1" s="1" t="s">
        <v>1963</v>
      </c>
      <c r="BJ1" s="1" t="s">
        <v>1964</v>
      </c>
      <c r="BK1" s="1" t="s">
        <v>1965</v>
      </c>
      <c r="BL1" s="1" t="s">
        <v>1966</v>
      </c>
      <c r="BM1" s="1" t="s">
        <v>1967</v>
      </c>
      <c r="BN1" s="1" t="s">
        <v>1968</v>
      </c>
      <c r="BO1" s="1" t="s">
        <v>1969</v>
      </c>
      <c r="BP1" s="1" t="s">
        <v>1970</v>
      </c>
      <c r="BQ1" s="1" t="s">
        <v>1971</v>
      </c>
      <c r="BR1" s="1" t="s">
        <v>1972</v>
      </c>
      <c r="BS1" s="1" t="s">
        <v>1973</v>
      </c>
      <c r="BT1" s="1" t="s">
        <v>1974</v>
      </c>
      <c r="BU1" s="1" t="s">
        <v>1975</v>
      </c>
      <c r="BV1" s="1" t="s">
        <v>1976</v>
      </c>
      <c r="BW1" s="1" t="s">
        <v>1977</v>
      </c>
      <c r="BX1" s="1" t="s">
        <v>1978</v>
      </c>
      <c r="BY1" s="1" t="s">
        <v>1979</v>
      </c>
      <c r="BZ1" s="1" t="s">
        <v>1980</v>
      </c>
      <c r="CA1" s="1" t="s">
        <v>1981</v>
      </c>
      <c r="CB1" s="1" t="s">
        <v>1982</v>
      </c>
      <c r="CC1" s="1" t="s">
        <v>1983</v>
      </c>
      <c r="CD1" s="1" t="s">
        <v>1984</v>
      </c>
      <c r="CE1" s="1" t="s">
        <v>1985</v>
      </c>
      <c r="CF1" s="1" t="s">
        <v>1986</v>
      </c>
      <c r="CG1" s="1" t="s">
        <v>1987</v>
      </c>
      <c r="CH1" s="1" t="s">
        <v>1988</v>
      </c>
    </row>
    <row r="2" spans="1:86" x14ac:dyDescent="0.25">
      <c r="A2" t="s">
        <v>1989</v>
      </c>
      <c r="B2" t="s">
        <v>1990</v>
      </c>
      <c r="C2" t="s">
        <v>1992</v>
      </c>
      <c r="D2" t="s">
        <v>1993</v>
      </c>
      <c r="E2" t="s">
        <v>1994</v>
      </c>
      <c r="F2" t="s">
        <v>1995</v>
      </c>
      <c r="H2" t="s">
        <v>1996</v>
      </c>
      <c r="I2" t="s">
        <v>1997</v>
      </c>
      <c r="J2" t="str">
        <f>"54421"</f>
        <v>54421</v>
      </c>
      <c r="K2" t="s">
        <v>1998</v>
      </c>
      <c r="L2" t="s">
        <v>1999</v>
      </c>
      <c r="M2" t="s">
        <v>2000</v>
      </c>
      <c r="N2" t="s">
        <v>1992</v>
      </c>
      <c r="O2" t="s">
        <v>1992</v>
      </c>
      <c r="P2" t="s">
        <v>1992</v>
      </c>
      <c r="Q2" t="s">
        <v>1992</v>
      </c>
      <c r="R2" t="s">
        <v>1992</v>
      </c>
      <c r="S2" t="s">
        <v>1992</v>
      </c>
      <c r="T2" t="s">
        <v>1992</v>
      </c>
      <c r="U2" t="s">
        <v>1992</v>
      </c>
      <c r="V2" t="s">
        <v>1991</v>
      </c>
      <c r="Z2" t="s">
        <v>1991</v>
      </c>
      <c r="AF2" t="s">
        <v>2001</v>
      </c>
      <c r="AG2" t="s">
        <v>1991</v>
      </c>
      <c r="AH2">
        <v>15</v>
      </c>
      <c r="AI2">
        <v>15</v>
      </c>
      <c r="AJ2" t="s">
        <v>2002</v>
      </c>
      <c r="AK2">
        <v>1398</v>
      </c>
      <c r="BF2" t="s">
        <v>1053</v>
      </c>
      <c r="BG2" t="s">
        <v>2003</v>
      </c>
      <c r="BH2" t="s">
        <v>2004</v>
      </c>
      <c r="BI2" t="s">
        <v>1053</v>
      </c>
      <c r="BK2" t="s">
        <v>1053</v>
      </c>
      <c r="BO2" t="s">
        <v>1053</v>
      </c>
      <c r="BP2" t="s">
        <v>2005</v>
      </c>
      <c r="BQ2" t="s">
        <v>2006</v>
      </c>
      <c r="BR2" t="s">
        <v>1053</v>
      </c>
      <c r="BS2" t="s">
        <v>1053</v>
      </c>
      <c r="BT2" t="s">
        <v>1053</v>
      </c>
      <c r="BU2" t="s">
        <v>1053</v>
      </c>
      <c r="BX2" t="str">
        <f>""</f>
        <v/>
      </c>
      <c r="BY2" t="str">
        <f>""</f>
        <v/>
      </c>
      <c r="BZ2" t="str">
        <f>""</f>
        <v/>
      </c>
      <c r="CA2" t="str">
        <f>""</f>
        <v/>
      </c>
      <c r="CB2" t="str">
        <f>""</f>
        <v/>
      </c>
      <c r="CC2" t="str">
        <f>""</f>
        <v/>
      </c>
      <c r="CD2" t="str">
        <f>""</f>
        <v/>
      </c>
      <c r="CE2" t="str">
        <f>""</f>
        <v/>
      </c>
      <c r="CF2" t="str">
        <f>""</f>
        <v/>
      </c>
      <c r="CG2" t="str">
        <f>""</f>
        <v/>
      </c>
      <c r="CH2" t="str">
        <f>""</f>
        <v/>
      </c>
    </row>
    <row r="3" spans="1:86" x14ac:dyDescent="0.25">
      <c r="A3" t="s">
        <v>2008</v>
      </c>
      <c r="B3" t="s">
        <v>2009</v>
      </c>
      <c r="C3" t="s">
        <v>1992</v>
      </c>
      <c r="D3" t="s">
        <v>2010</v>
      </c>
      <c r="E3" t="s">
        <v>2011</v>
      </c>
      <c r="F3" t="s">
        <v>2012</v>
      </c>
      <c r="H3" t="s">
        <v>2013</v>
      </c>
      <c r="I3" t="s">
        <v>2014</v>
      </c>
      <c r="J3" t="str">
        <f>"21001-3701"</f>
        <v>21001-3701</v>
      </c>
      <c r="K3" t="s">
        <v>1998</v>
      </c>
      <c r="L3" t="s">
        <v>2015</v>
      </c>
      <c r="M3" t="s">
        <v>2000</v>
      </c>
      <c r="N3" t="s">
        <v>1992</v>
      </c>
      <c r="O3" t="s">
        <v>1991</v>
      </c>
      <c r="P3" t="s">
        <v>1992</v>
      </c>
      <c r="Q3" t="s">
        <v>1992</v>
      </c>
      <c r="R3" t="s">
        <v>1992</v>
      </c>
      <c r="S3" t="s">
        <v>1992</v>
      </c>
      <c r="T3" t="s">
        <v>1992</v>
      </c>
      <c r="U3" t="s">
        <v>1992</v>
      </c>
      <c r="V3" t="s">
        <v>1991</v>
      </c>
      <c r="W3" t="s">
        <v>1991</v>
      </c>
      <c r="X3" t="s">
        <v>1991</v>
      </c>
      <c r="Y3" t="s">
        <v>1992</v>
      </c>
      <c r="Z3" t="s">
        <v>1992</v>
      </c>
      <c r="AA3" t="s">
        <v>1991</v>
      </c>
      <c r="AF3" t="s">
        <v>2016</v>
      </c>
      <c r="AG3" t="s">
        <v>1991</v>
      </c>
      <c r="AH3">
        <v>30</v>
      </c>
      <c r="AI3">
        <v>30</v>
      </c>
      <c r="AJ3" t="s">
        <v>2017</v>
      </c>
      <c r="AK3">
        <v>90</v>
      </c>
      <c r="AL3">
        <v>18000</v>
      </c>
      <c r="AM3" t="s">
        <v>2018</v>
      </c>
      <c r="BF3" t="s">
        <v>1053</v>
      </c>
      <c r="BG3" t="s">
        <v>2019</v>
      </c>
      <c r="BH3" t="s">
        <v>2020</v>
      </c>
      <c r="BI3" t="s">
        <v>1053</v>
      </c>
      <c r="BJ3" t="s">
        <v>1053</v>
      </c>
      <c r="BK3" t="s">
        <v>1053</v>
      </c>
      <c r="BL3" t="s">
        <v>1053</v>
      </c>
      <c r="BM3" t="s">
        <v>2021</v>
      </c>
      <c r="BN3" t="s">
        <v>2022</v>
      </c>
      <c r="BO3" t="s">
        <v>1053</v>
      </c>
      <c r="BP3" t="s">
        <v>2023</v>
      </c>
      <c r="BQ3" t="s">
        <v>2024</v>
      </c>
      <c r="BR3" t="s">
        <v>1053</v>
      </c>
      <c r="BS3" t="s">
        <v>1053</v>
      </c>
      <c r="BT3" t="s">
        <v>1053</v>
      </c>
      <c r="BU3" t="s">
        <v>1053</v>
      </c>
      <c r="BV3" t="s">
        <v>2025</v>
      </c>
      <c r="BX3" t="str">
        <f>"-MTWTF- 0400-0930 1430-2030"</f>
        <v>-MTWTF- 0400-0930 1430-2030</v>
      </c>
      <c r="BY3" t="str">
        <f>""</f>
        <v/>
      </c>
      <c r="BZ3" t="str">
        <f>""</f>
        <v/>
      </c>
      <c r="CA3" t="str">
        <f>""</f>
        <v/>
      </c>
      <c r="CB3" t="str">
        <f>""</f>
        <v/>
      </c>
      <c r="CC3" t="str">
        <f>"-MTWTF- 0400-0930 1430-2030"</f>
        <v>-MTWTF- 0400-0930 1430-2030</v>
      </c>
      <c r="CD3" t="str">
        <f>""</f>
        <v/>
      </c>
      <c r="CE3" t="str">
        <f>""</f>
        <v/>
      </c>
      <c r="CF3" t="str">
        <f>""</f>
        <v/>
      </c>
      <c r="CG3" t="str">
        <f>""</f>
        <v/>
      </c>
      <c r="CH3" t="str">
        <f>"SMTWTFS 0000-2359"</f>
        <v>SMTWTFS 0000-2359</v>
      </c>
    </row>
    <row r="4" spans="1:86" x14ac:dyDescent="0.25">
      <c r="A4" t="s">
        <v>2026</v>
      </c>
      <c r="B4" t="s">
        <v>2027</v>
      </c>
      <c r="C4" t="s">
        <v>1992</v>
      </c>
      <c r="D4" t="s">
        <v>2028</v>
      </c>
      <c r="E4" t="s">
        <v>2029</v>
      </c>
      <c r="F4" t="s">
        <v>2030</v>
      </c>
      <c r="H4" t="s">
        <v>2031</v>
      </c>
      <c r="I4" t="s">
        <v>2032</v>
      </c>
      <c r="J4" t="str">
        <f>"08201"</f>
        <v>08201</v>
      </c>
      <c r="K4" t="s">
        <v>1998</v>
      </c>
      <c r="L4" t="s">
        <v>2033</v>
      </c>
      <c r="M4" t="s">
        <v>2034</v>
      </c>
      <c r="N4" t="s">
        <v>1992</v>
      </c>
      <c r="O4" t="s">
        <v>1992</v>
      </c>
      <c r="P4" t="s">
        <v>1992</v>
      </c>
      <c r="Q4" t="s">
        <v>1992</v>
      </c>
      <c r="R4" t="s">
        <v>1992</v>
      </c>
      <c r="S4" t="s">
        <v>1992</v>
      </c>
      <c r="T4" t="s">
        <v>1992</v>
      </c>
      <c r="U4" t="s">
        <v>1992</v>
      </c>
      <c r="V4" t="s">
        <v>1991</v>
      </c>
      <c r="W4" t="s">
        <v>1992</v>
      </c>
      <c r="X4" t="s">
        <v>1991</v>
      </c>
      <c r="Y4" t="s">
        <v>1992</v>
      </c>
      <c r="Z4" t="s">
        <v>1992</v>
      </c>
      <c r="AF4" t="s">
        <v>2016</v>
      </c>
      <c r="AG4" t="s">
        <v>1991</v>
      </c>
      <c r="AH4">
        <v>30</v>
      </c>
      <c r="AI4">
        <v>30</v>
      </c>
      <c r="AJ4" t="s">
        <v>2035</v>
      </c>
      <c r="AK4">
        <v>20</v>
      </c>
      <c r="AL4">
        <v>8065</v>
      </c>
      <c r="AM4" t="s">
        <v>2036</v>
      </c>
      <c r="AO4" t="s">
        <v>1053</v>
      </c>
      <c r="BF4" t="s">
        <v>2037</v>
      </c>
      <c r="BG4" t="s">
        <v>2038</v>
      </c>
      <c r="BH4" t="s">
        <v>2038</v>
      </c>
      <c r="BI4" t="s">
        <v>1053</v>
      </c>
      <c r="BO4" t="s">
        <v>1053</v>
      </c>
      <c r="BP4" t="s">
        <v>2038</v>
      </c>
      <c r="BQ4" t="s">
        <v>2038</v>
      </c>
      <c r="BR4" t="s">
        <v>1053</v>
      </c>
      <c r="BX4" t="str">
        <f>""</f>
        <v/>
      </c>
      <c r="BY4" t="str">
        <f>""</f>
        <v/>
      </c>
      <c r="BZ4" t="str">
        <f>""</f>
        <v/>
      </c>
      <c r="CA4" t="str">
        <f>""</f>
        <v/>
      </c>
      <c r="CB4" t="str">
        <f>""</f>
        <v/>
      </c>
      <c r="CC4" t="str">
        <f>""</f>
        <v/>
      </c>
      <c r="CD4" t="str">
        <f>""</f>
        <v/>
      </c>
      <c r="CE4" t="str">
        <f>""</f>
        <v/>
      </c>
      <c r="CF4" t="str">
        <f>""</f>
        <v/>
      </c>
      <c r="CG4" t="str">
        <f>""</f>
        <v/>
      </c>
      <c r="CH4" t="str">
        <f>""</f>
        <v/>
      </c>
    </row>
    <row r="5" spans="1:86" x14ac:dyDescent="0.25">
      <c r="A5" t="s">
        <v>2039</v>
      </c>
      <c r="B5" t="s">
        <v>2040</v>
      </c>
      <c r="C5" t="s">
        <v>1991</v>
      </c>
      <c r="D5" t="s">
        <v>2010</v>
      </c>
      <c r="E5" t="s">
        <v>2041</v>
      </c>
      <c r="F5" t="s">
        <v>2042</v>
      </c>
      <c r="H5" t="s">
        <v>2043</v>
      </c>
      <c r="I5" t="s">
        <v>2044</v>
      </c>
      <c r="J5" t="str">
        <f>"87102-3405"</f>
        <v>87102-3405</v>
      </c>
      <c r="K5" t="s">
        <v>1998</v>
      </c>
      <c r="L5" t="s">
        <v>2045</v>
      </c>
      <c r="M5" t="s">
        <v>2046</v>
      </c>
      <c r="N5" t="s">
        <v>1991</v>
      </c>
      <c r="O5" t="s">
        <v>1991</v>
      </c>
      <c r="P5" t="s">
        <v>1992</v>
      </c>
      <c r="Q5" t="s">
        <v>1991</v>
      </c>
      <c r="R5" t="s">
        <v>1992</v>
      </c>
      <c r="S5" t="s">
        <v>1992</v>
      </c>
      <c r="T5" t="s">
        <v>1992</v>
      </c>
      <c r="U5" t="s">
        <v>1991</v>
      </c>
      <c r="V5" t="s">
        <v>1991</v>
      </c>
      <c r="W5" t="s">
        <v>1991</v>
      </c>
      <c r="X5" t="s">
        <v>1991</v>
      </c>
      <c r="Y5" t="s">
        <v>1992</v>
      </c>
      <c r="Z5" t="s">
        <v>1991</v>
      </c>
      <c r="AA5" t="s">
        <v>1991</v>
      </c>
      <c r="AE5" t="s">
        <v>2047</v>
      </c>
      <c r="AF5" t="s">
        <v>2048</v>
      </c>
      <c r="AG5" t="s">
        <v>1991</v>
      </c>
      <c r="AH5">
        <v>60</v>
      </c>
      <c r="AI5">
        <v>30</v>
      </c>
      <c r="AJ5" t="s">
        <v>2049</v>
      </c>
      <c r="AK5">
        <v>4959</v>
      </c>
      <c r="AL5">
        <v>450000</v>
      </c>
      <c r="AM5" t="s">
        <v>2050</v>
      </c>
      <c r="AN5" t="s">
        <v>1053</v>
      </c>
      <c r="AO5" t="s">
        <v>1053</v>
      </c>
      <c r="AQ5" t="s">
        <v>1053</v>
      </c>
      <c r="AS5" t="s">
        <v>2039</v>
      </c>
      <c r="AT5" t="s">
        <v>2051</v>
      </c>
      <c r="BB5" t="s">
        <v>1053</v>
      </c>
      <c r="BF5" t="s">
        <v>1053</v>
      </c>
      <c r="BG5" t="s">
        <v>2052</v>
      </c>
      <c r="BH5" t="s">
        <v>2053</v>
      </c>
      <c r="BI5" t="s">
        <v>1053</v>
      </c>
      <c r="BO5" t="s">
        <v>1053</v>
      </c>
      <c r="BP5" t="s">
        <v>2054</v>
      </c>
      <c r="BQ5" t="s">
        <v>2055</v>
      </c>
      <c r="BR5" t="s">
        <v>1053</v>
      </c>
      <c r="BS5" t="s">
        <v>1053</v>
      </c>
      <c r="BV5" t="s">
        <v>2056</v>
      </c>
      <c r="BX5" t="str">
        <f>"SMTWTFS 0000-2359"</f>
        <v>SMTWTFS 0000-2359</v>
      </c>
      <c r="BY5" t="str">
        <f>"SMTWTFS 0945-1700"</f>
        <v>SMTWTFS 0945-1700</v>
      </c>
      <c r="BZ5" t="str">
        <f>"SMTWTFS 0945-1700"</f>
        <v>SMTWTFS 0945-1700</v>
      </c>
      <c r="CA5" t="str">
        <f>"SMTWTFS 0945-1700"</f>
        <v>SMTWTFS 0945-1700</v>
      </c>
      <c r="CB5" t="str">
        <f>""</f>
        <v/>
      </c>
      <c r="CC5" t="str">
        <f>"SMTWTFS 0000-2359"</f>
        <v>SMTWTFS 0000-2359</v>
      </c>
      <c r="CD5" t="str">
        <f>""</f>
        <v/>
      </c>
      <c r="CE5" t="str">
        <f>""</f>
        <v/>
      </c>
      <c r="CF5" t="str">
        <f>""</f>
        <v/>
      </c>
      <c r="CG5" t="str">
        <f>""</f>
        <v/>
      </c>
      <c r="CH5" t="str">
        <f>"SMTWTFS 0000-2359"</f>
        <v>SMTWTFS 0000-2359</v>
      </c>
    </row>
    <row r="6" spans="1:86" x14ac:dyDescent="0.25">
      <c r="A6" t="s">
        <v>2057</v>
      </c>
      <c r="B6" t="s">
        <v>2058</v>
      </c>
      <c r="C6" t="s">
        <v>1992</v>
      </c>
      <c r="D6" t="s">
        <v>2028</v>
      </c>
      <c r="E6" t="s">
        <v>2059</v>
      </c>
      <c r="H6" t="s">
        <v>2060</v>
      </c>
      <c r="I6" t="s">
        <v>2061</v>
      </c>
      <c r="J6" t="str">
        <f>"94509-1122"</f>
        <v>94509-1122</v>
      </c>
      <c r="K6" t="s">
        <v>1998</v>
      </c>
      <c r="L6" t="s">
        <v>2062</v>
      </c>
      <c r="M6" t="s">
        <v>2063</v>
      </c>
      <c r="N6" t="s">
        <v>1992</v>
      </c>
      <c r="O6" t="s">
        <v>1992</v>
      </c>
      <c r="P6" t="s">
        <v>1992</v>
      </c>
      <c r="Q6" t="s">
        <v>1992</v>
      </c>
      <c r="R6" t="s">
        <v>1992</v>
      </c>
      <c r="S6" t="s">
        <v>1992</v>
      </c>
      <c r="T6" t="s">
        <v>1992</v>
      </c>
      <c r="U6" t="s">
        <v>1992</v>
      </c>
      <c r="V6" t="s">
        <v>1991</v>
      </c>
      <c r="W6" t="s">
        <v>1991</v>
      </c>
      <c r="X6" t="s">
        <v>1992</v>
      </c>
      <c r="Y6" t="s">
        <v>1992</v>
      </c>
      <c r="Z6" t="s">
        <v>1992</v>
      </c>
      <c r="AA6" t="s">
        <v>1992</v>
      </c>
      <c r="AF6" t="s">
        <v>2064</v>
      </c>
      <c r="AG6" t="s">
        <v>1991</v>
      </c>
      <c r="AH6">
        <v>30</v>
      </c>
      <c r="AI6">
        <v>30</v>
      </c>
      <c r="AJ6" t="s">
        <v>2065</v>
      </c>
      <c r="AK6">
        <v>14</v>
      </c>
      <c r="AL6">
        <v>100586</v>
      </c>
      <c r="AN6" t="s">
        <v>2066</v>
      </c>
      <c r="AO6" t="s">
        <v>2063</v>
      </c>
      <c r="BF6" t="s">
        <v>1053</v>
      </c>
      <c r="BG6" t="s">
        <v>2067</v>
      </c>
      <c r="BH6" t="s">
        <v>2068</v>
      </c>
      <c r="BI6" t="s">
        <v>1053</v>
      </c>
      <c r="BJ6" t="s">
        <v>2069</v>
      </c>
      <c r="BK6" t="s">
        <v>1053</v>
      </c>
      <c r="BL6" t="s">
        <v>2069</v>
      </c>
      <c r="BM6" t="s">
        <v>2070</v>
      </c>
      <c r="BN6" t="s">
        <v>2071</v>
      </c>
      <c r="BO6" t="s">
        <v>1053</v>
      </c>
      <c r="BP6" t="s">
        <v>2072</v>
      </c>
      <c r="BQ6" t="s">
        <v>2073</v>
      </c>
      <c r="BR6" t="s">
        <v>1053</v>
      </c>
      <c r="BS6" t="s">
        <v>1053</v>
      </c>
      <c r="BT6" t="s">
        <v>1053</v>
      </c>
      <c r="BU6" t="s">
        <v>1053</v>
      </c>
      <c r="BV6" t="s">
        <v>2074</v>
      </c>
      <c r="BW6" t="s">
        <v>2075</v>
      </c>
      <c r="BX6" t="str">
        <f>""</f>
        <v/>
      </c>
      <c r="BY6" t="str">
        <f>""</f>
        <v/>
      </c>
      <c r="BZ6" t="str">
        <f>""</f>
        <v/>
      </c>
      <c r="CA6" t="str">
        <f>""</f>
        <v/>
      </c>
      <c r="CB6" t="str">
        <f>""</f>
        <v/>
      </c>
      <c r="CC6" t="str">
        <f>""</f>
        <v/>
      </c>
      <c r="CD6" t="str">
        <f>""</f>
        <v/>
      </c>
      <c r="CE6" t="str">
        <f>""</f>
        <v/>
      </c>
      <c r="CF6" t="str">
        <f>""</f>
        <v/>
      </c>
      <c r="CG6" t="str">
        <f>""</f>
        <v/>
      </c>
      <c r="CH6" t="str">
        <f>""</f>
        <v/>
      </c>
    </row>
    <row r="7" spans="1:86" x14ac:dyDescent="0.25">
      <c r="A7" t="s">
        <v>2076</v>
      </c>
      <c r="B7" t="s">
        <v>2077</v>
      </c>
      <c r="C7" t="s">
        <v>1992</v>
      </c>
      <c r="D7" t="s">
        <v>2010</v>
      </c>
      <c r="E7" t="s">
        <v>2078</v>
      </c>
      <c r="F7" t="s">
        <v>2030</v>
      </c>
      <c r="H7" t="s">
        <v>2079</v>
      </c>
      <c r="I7" t="s">
        <v>2032</v>
      </c>
      <c r="J7" t="str">
        <f>"08401-4106"</f>
        <v>08401-4106</v>
      </c>
      <c r="K7" t="s">
        <v>1998</v>
      </c>
      <c r="L7" t="s">
        <v>2033</v>
      </c>
      <c r="M7" t="s">
        <v>2080</v>
      </c>
      <c r="N7" t="s">
        <v>1992</v>
      </c>
      <c r="O7" t="s">
        <v>1991</v>
      </c>
      <c r="P7" t="s">
        <v>1992</v>
      </c>
      <c r="Q7" t="s">
        <v>1992</v>
      </c>
      <c r="R7" t="s">
        <v>1992</v>
      </c>
      <c r="S7" t="s">
        <v>1992</v>
      </c>
      <c r="T7" t="s">
        <v>1992</v>
      </c>
      <c r="U7" t="s">
        <v>1992</v>
      </c>
      <c r="V7" t="s">
        <v>1991</v>
      </c>
      <c r="W7" t="s">
        <v>1992</v>
      </c>
      <c r="X7" t="s">
        <v>1991</v>
      </c>
      <c r="Y7" t="s">
        <v>1992</v>
      </c>
      <c r="Z7" t="s">
        <v>1992</v>
      </c>
      <c r="AA7" t="s">
        <v>1992</v>
      </c>
      <c r="AE7" t="s">
        <v>2037</v>
      </c>
      <c r="AF7" t="s">
        <v>2016</v>
      </c>
      <c r="AG7" t="s">
        <v>1991</v>
      </c>
      <c r="AH7">
        <v>30</v>
      </c>
      <c r="AI7">
        <v>30</v>
      </c>
      <c r="AJ7" t="s">
        <v>2081</v>
      </c>
      <c r="AK7">
        <v>7</v>
      </c>
      <c r="AL7">
        <v>37000</v>
      </c>
      <c r="AM7" t="s">
        <v>2082</v>
      </c>
      <c r="AN7" t="s">
        <v>1053</v>
      </c>
      <c r="AO7" t="s">
        <v>1053</v>
      </c>
      <c r="AP7" t="s">
        <v>2083</v>
      </c>
      <c r="BF7" t="s">
        <v>1053</v>
      </c>
      <c r="BG7" t="s">
        <v>2084</v>
      </c>
      <c r="BH7" t="s">
        <v>2085</v>
      </c>
      <c r="BI7" t="s">
        <v>1053</v>
      </c>
      <c r="BO7" t="s">
        <v>1053</v>
      </c>
      <c r="BP7" t="s">
        <v>2086</v>
      </c>
      <c r="BQ7" t="s">
        <v>2085</v>
      </c>
      <c r="BR7" t="s">
        <v>1053</v>
      </c>
      <c r="BX7" t="str">
        <f>"SMTWTFS 0000-2359"</f>
        <v>SMTWTFS 0000-2359</v>
      </c>
      <c r="BY7" t="str">
        <f>""</f>
        <v/>
      </c>
      <c r="BZ7" t="str">
        <f>""</f>
        <v/>
      </c>
      <c r="CA7" t="str">
        <f>""</f>
        <v/>
      </c>
      <c r="CB7" t="str">
        <f>"SMTWTFS 0545-2100"</f>
        <v>SMTWTFS 0545-2100</v>
      </c>
      <c r="CC7" t="str">
        <f>"SMTWTFS 0000-2359"</f>
        <v>SMTWTFS 0000-2359</v>
      </c>
      <c r="CD7" t="str">
        <f>""</f>
        <v/>
      </c>
      <c r="CE7" t="str">
        <f>""</f>
        <v/>
      </c>
      <c r="CF7" t="str">
        <f>""</f>
        <v/>
      </c>
      <c r="CG7" t="str">
        <f>""</f>
        <v/>
      </c>
      <c r="CH7" t="str">
        <f>""</f>
        <v/>
      </c>
    </row>
    <row r="8" spans="1:86" x14ac:dyDescent="0.25">
      <c r="A8" t="s">
        <v>2087</v>
      </c>
      <c r="B8" t="s">
        <v>2088</v>
      </c>
      <c r="D8" t="s">
        <v>2089</v>
      </c>
      <c r="V8" t="s">
        <v>1991</v>
      </c>
      <c r="AJ8" t="s">
        <v>2090</v>
      </c>
      <c r="BX8" t="str">
        <f>""</f>
        <v/>
      </c>
      <c r="BY8" t="str">
        <f>""</f>
        <v/>
      </c>
      <c r="BZ8" t="str">
        <f>""</f>
        <v/>
      </c>
      <c r="CA8" t="str">
        <f>""</f>
        <v/>
      </c>
      <c r="CB8" t="str">
        <f>""</f>
        <v/>
      </c>
      <c r="CC8" t="str">
        <f>""</f>
        <v/>
      </c>
      <c r="CD8" t="str">
        <f>""</f>
        <v/>
      </c>
      <c r="CE8" t="str">
        <f>""</f>
        <v/>
      </c>
      <c r="CF8" t="str">
        <f>""</f>
        <v/>
      </c>
      <c r="CG8" t="str">
        <f>""</f>
        <v/>
      </c>
      <c r="CH8" t="str">
        <f>""</f>
        <v/>
      </c>
    </row>
    <row r="9" spans="1:86" x14ac:dyDescent="0.25">
      <c r="A9" t="s">
        <v>2091</v>
      </c>
      <c r="B9" t="s">
        <v>2092</v>
      </c>
      <c r="C9" t="s">
        <v>1992</v>
      </c>
      <c r="D9" t="s">
        <v>2010</v>
      </c>
      <c r="E9" t="s">
        <v>2093</v>
      </c>
      <c r="H9" t="s">
        <v>2094</v>
      </c>
      <c r="I9" t="s">
        <v>2095</v>
      </c>
      <c r="J9" t="str">
        <f>"73401-7016"</f>
        <v>73401-7016</v>
      </c>
      <c r="K9" t="s">
        <v>1998</v>
      </c>
      <c r="L9" t="s">
        <v>2045</v>
      </c>
      <c r="M9" t="s">
        <v>2063</v>
      </c>
      <c r="N9" t="s">
        <v>1992</v>
      </c>
      <c r="O9" t="s">
        <v>1992</v>
      </c>
      <c r="P9" t="s">
        <v>1992</v>
      </c>
      <c r="Q9" t="s">
        <v>1992</v>
      </c>
      <c r="R9" t="s">
        <v>1992</v>
      </c>
      <c r="S9" t="s">
        <v>1992</v>
      </c>
      <c r="T9" t="s">
        <v>1992</v>
      </c>
      <c r="U9" t="s">
        <v>1992</v>
      </c>
      <c r="V9" t="s">
        <v>1991</v>
      </c>
      <c r="W9" t="s">
        <v>1991</v>
      </c>
      <c r="X9" t="s">
        <v>1992</v>
      </c>
      <c r="Y9" t="s">
        <v>1992</v>
      </c>
      <c r="Z9" t="s">
        <v>1992</v>
      </c>
      <c r="AF9" t="s">
        <v>2001</v>
      </c>
      <c r="AG9" t="s">
        <v>1991</v>
      </c>
      <c r="AH9">
        <v>30</v>
      </c>
      <c r="AI9">
        <v>30</v>
      </c>
      <c r="AJ9" t="s">
        <v>2096</v>
      </c>
      <c r="AK9">
        <v>871</v>
      </c>
      <c r="AL9">
        <v>24810</v>
      </c>
      <c r="AN9" t="s">
        <v>2066</v>
      </c>
      <c r="AO9" t="s">
        <v>2063</v>
      </c>
      <c r="BF9" t="s">
        <v>1053</v>
      </c>
      <c r="BG9" t="s">
        <v>2097</v>
      </c>
      <c r="BH9" t="s">
        <v>2098</v>
      </c>
      <c r="BI9" t="s">
        <v>1053</v>
      </c>
      <c r="BJ9" t="s">
        <v>2069</v>
      </c>
      <c r="BK9" t="s">
        <v>1053</v>
      </c>
      <c r="BL9" t="s">
        <v>2069</v>
      </c>
      <c r="BM9" t="s">
        <v>2099</v>
      </c>
      <c r="BN9" t="s">
        <v>2100</v>
      </c>
      <c r="BO9" t="s">
        <v>1053</v>
      </c>
      <c r="BP9" t="s">
        <v>2101</v>
      </c>
      <c r="BQ9" t="s">
        <v>2055</v>
      </c>
      <c r="BR9" t="s">
        <v>1053</v>
      </c>
      <c r="BS9" t="s">
        <v>1053</v>
      </c>
      <c r="BT9" t="s">
        <v>1053</v>
      </c>
      <c r="BU9" t="s">
        <v>1053</v>
      </c>
      <c r="BV9" t="s">
        <v>2056</v>
      </c>
      <c r="BX9" t="str">
        <f>"SMTWTFS 1030-1930"</f>
        <v>SMTWTFS 1030-1930</v>
      </c>
      <c r="BY9" t="str">
        <f>""</f>
        <v/>
      </c>
      <c r="BZ9" t="str">
        <f>""</f>
        <v/>
      </c>
      <c r="CA9" t="str">
        <f>""</f>
        <v/>
      </c>
      <c r="CB9" t="str">
        <f>""</f>
        <v/>
      </c>
      <c r="CC9" t="str">
        <f>""</f>
        <v/>
      </c>
      <c r="CD9" t="str">
        <f>""</f>
        <v/>
      </c>
      <c r="CE9" t="str">
        <f>""</f>
        <v/>
      </c>
      <c r="CF9" t="str">
        <f>""</f>
        <v/>
      </c>
      <c r="CG9" t="str">
        <f>""</f>
        <v/>
      </c>
      <c r="CH9" t="str">
        <f>""</f>
        <v/>
      </c>
    </row>
    <row r="10" spans="1:86" x14ac:dyDescent="0.25">
      <c r="A10" t="s">
        <v>2102</v>
      </c>
      <c r="B10" t="s">
        <v>2103</v>
      </c>
      <c r="C10" t="s">
        <v>1992</v>
      </c>
      <c r="D10" t="s">
        <v>1993</v>
      </c>
      <c r="E10" t="s">
        <v>2284</v>
      </c>
      <c r="F10" t="s">
        <v>2285</v>
      </c>
      <c r="H10" t="s">
        <v>2286</v>
      </c>
      <c r="I10" t="s">
        <v>2287</v>
      </c>
      <c r="J10" t="str">
        <f>"04330"</f>
        <v>04330</v>
      </c>
      <c r="K10" t="s">
        <v>1998</v>
      </c>
      <c r="L10" t="s">
        <v>2033</v>
      </c>
      <c r="M10" t="s">
        <v>2000</v>
      </c>
      <c r="N10" t="s">
        <v>1992</v>
      </c>
      <c r="O10" t="s">
        <v>1992</v>
      </c>
      <c r="P10" t="s">
        <v>1992</v>
      </c>
      <c r="Q10" t="s">
        <v>1992</v>
      </c>
      <c r="R10" t="s">
        <v>1992</v>
      </c>
      <c r="S10" t="s">
        <v>1992</v>
      </c>
      <c r="T10" t="s">
        <v>1992</v>
      </c>
      <c r="U10" t="s">
        <v>1992</v>
      </c>
      <c r="V10" t="s">
        <v>1991</v>
      </c>
      <c r="Z10" t="s">
        <v>1991</v>
      </c>
      <c r="AF10" t="s">
        <v>2016</v>
      </c>
      <c r="AG10" t="s">
        <v>1991</v>
      </c>
      <c r="AH10">
        <v>15</v>
      </c>
      <c r="AI10">
        <v>15</v>
      </c>
      <c r="AJ10" t="s">
        <v>2288</v>
      </c>
      <c r="AK10">
        <v>225</v>
      </c>
      <c r="BX10" t="str">
        <f>""</f>
        <v/>
      </c>
      <c r="BY10" t="str">
        <f>""</f>
        <v/>
      </c>
      <c r="BZ10" t="str">
        <f>""</f>
        <v/>
      </c>
      <c r="CA10" t="str">
        <f>""</f>
        <v/>
      </c>
      <c r="CB10" t="str">
        <f>""</f>
        <v/>
      </c>
      <c r="CC10" t="str">
        <f>""</f>
        <v/>
      </c>
      <c r="CD10" t="str">
        <f>""</f>
        <v/>
      </c>
      <c r="CE10" t="str">
        <f>""</f>
        <v/>
      </c>
      <c r="CF10" t="str">
        <f>""</f>
        <v/>
      </c>
      <c r="CG10" t="str">
        <f>""</f>
        <v/>
      </c>
      <c r="CH10" t="str">
        <f>""</f>
        <v/>
      </c>
    </row>
    <row r="11" spans="1:86" x14ac:dyDescent="0.25">
      <c r="A11" t="s">
        <v>2289</v>
      </c>
      <c r="B11" t="s">
        <v>2290</v>
      </c>
      <c r="C11" t="s">
        <v>1992</v>
      </c>
      <c r="D11" t="s">
        <v>1993</v>
      </c>
      <c r="E11" t="s">
        <v>2291</v>
      </c>
      <c r="F11" t="s">
        <v>2292</v>
      </c>
      <c r="G11" t="s">
        <v>2293</v>
      </c>
      <c r="H11" t="s">
        <v>2294</v>
      </c>
      <c r="I11" t="s">
        <v>2295</v>
      </c>
      <c r="J11" t="str">
        <f>"97520"</f>
        <v>97520</v>
      </c>
      <c r="K11" t="s">
        <v>1998</v>
      </c>
      <c r="L11" t="s">
        <v>2062</v>
      </c>
      <c r="M11" t="s">
        <v>2063</v>
      </c>
      <c r="N11" t="s">
        <v>1992</v>
      </c>
      <c r="O11" t="s">
        <v>1992</v>
      </c>
      <c r="P11" t="s">
        <v>1992</v>
      </c>
      <c r="Q11" t="s">
        <v>1992</v>
      </c>
      <c r="R11" t="s">
        <v>1992</v>
      </c>
      <c r="S11" t="s">
        <v>1992</v>
      </c>
      <c r="T11" t="s">
        <v>1992</v>
      </c>
      <c r="U11" t="s">
        <v>1992</v>
      </c>
      <c r="V11" t="s">
        <v>1991</v>
      </c>
      <c r="W11" t="s">
        <v>1992</v>
      </c>
      <c r="X11" t="s">
        <v>1992</v>
      </c>
      <c r="Y11" t="s">
        <v>1991</v>
      </c>
      <c r="Z11" t="s">
        <v>1991</v>
      </c>
      <c r="AA11" t="s">
        <v>1992</v>
      </c>
      <c r="AE11" t="s">
        <v>2296</v>
      </c>
      <c r="AF11" t="s">
        <v>2064</v>
      </c>
      <c r="AG11" t="s">
        <v>1991</v>
      </c>
      <c r="AH11">
        <v>30</v>
      </c>
      <c r="AI11">
        <v>30</v>
      </c>
      <c r="AJ11" t="s">
        <v>2297</v>
      </c>
      <c r="AK11">
        <v>1954</v>
      </c>
      <c r="AL11">
        <v>20881</v>
      </c>
      <c r="AM11" t="s">
        <v>2298</v>
      </c>
      <c r="AN11" t="s">
        <v>2299</v>
      </c>
      <c r="AO11" t="s">
        <v>2063</v>
      </c>
      <c r="BF11" t="s">
        <v>1053</v>
      </c>
      <c r="BG11" t="s">
        <v>2300</v>
      </c>
      <c r="BH11" t="s">
        <v>2301</v>
      </c>
      <c r="BI11" t="s">
        <v>1053</v>
      </c>
      <c r="BK11" t="s">
        <v>1053</v>
      </c>
      <c r="BO11" t="s">
        <v>1053</v>
      </c>
      <c r="BP11" t="s">
        <v>2302</v>
      </c>
      <c r="BQ11" t="s">
        <v>2303</v>
      </c>
      <c r="BR11" t="s">
        <v>1053</v>
      </c>
      <c r="BS11" t="s">
        <v>1053</v>
      </c>
      <c r="BT11" t="s">
        <v>1053</v>
      </c>
      <c r="BU11" t="s">
        <v>1053</v>
      </c>
      <c r="BV11" t="s">
        <v>2304</v>
      </c>
      <c r="BW11" t="s">
        <v>2305</v>
      </c>
      <c r="BX11" t="str">
        <f>"-MTWTFS 0730-1900"</f>
        <v>-MTWTFS 0730-1900</v>
      </c>
      <c r="BY11" t="str">
        <f>""</f>
        <v/>
      </c>
      <c r="BZ11" t="str">
        <f>""</f>
        <v/>
      </c>
      <c r="CA11" t="str">
        <f>""</f>
        <v/>
      </c>
      <c r="CB11" t="str">
        <f>""</f>
        <v/>
      </c>
      <c r="CC11" t="str">
        <f>""</f>
        <v/>
      </c>
      <c r="CD11" t="str">
        <f>""</f>
        <v/>
      </c>
      <c r="CE11" t="str">
        <f>""</f>
        <v/>
      </c>
      <c r="CF11" t="str">
        <f>""</f>
        <v/>
      </c>
      <c r="CG11" t="str">
        <f>""</f>
        <v/>
      </c>
      <c r="CH11" t="str">
        <f>""</f>
        <v/>
      </c>
    </row>
    <row r="12" spans="1:86" x14ac:dyDescent="0.25">
      <c r="A12" t="s">
        <v>2306</v>
      </c>
      <c r="B12" t="s">
        <v>2307</v>
      </c>
      <c r="C12" t="s">
        <v>1992</v>
      </c>
      <c r="D12" t="s">
        <v>2010</v>
      </c>
      <c r="E12" t="s">
        <v>2308</v>
      </c>
      <c r="H12" t="s">
        <v>2294</v>
      </c>
      <c r="I12" t="s">
        <v>2309</v>
      </c>
      <c r="J12" t="str">
        <f>"41101"</f>
        <v>41101</v>
      </c>
      <c r="K12" t="s">
        <v>1998</v>
      </c>
      <c r="L12" t="s">
        <v>2015</v>
      </c>
      <c r="M12" t="s">
        <v>2063</v>
      </c>
      <c r="N12" t="s">
        <v>1992</v>
      </c>
      <c r="O12" t="s">
        <v>1992</v>
      </c>
      <c r="P12" t="s">
        <v>1992</v>
      </c>
      <c r="Q12" t="s">
        <v>1992</v>
      </c>
      <c r="R12" t="s">
        <v>1992</v>
      </c>
      <c r="S12" t="s">
        <v>1992</v>
      </c>
      <c r="T12" t="s">
        <v>1992</v>
      </c>
      <c r="U12" t="s">
        <v>1992</v>
      </c>
      <c r="V12" t="s">
        <v>1991</v>
      </c>
      <c r="W12" t="s">
        <v>1991</v>
      </c>
      <c r="X12" t="s">
        <v>1992</v>
      </c>
      <c r="Y12" t="s">
        <v>1992</v>
      </c>
      <c r="Z12" t="s">
        <v>1992</v>
      </c>
      <c r="AF12" t="s">
        <v>2016</v>
      </c>
      <c r="AG12" t="s">
        <v>1991</v>
      </c>
      <c r="AH12">
        <v>30</v>
      </c>
      <c r="AI12">
        <v>30</v>
      </c>
      <c r="AJ12" t="s">
        <v>2310</v>
      </c>
      <c r="AK12">
        <v>546</v>
      </c>
      <c r="AL12">
        <v>21570</v>
      </c>
      <c r="AN12" t="s">
        <v>2066</v>
      </c>
      <c r="AO12" t="s">
        <v>1053</v>
      </c>
      <c r="BF12" t="s">
        <v>1053</v>
      </c>
      <c r="BG12" t="s">
        <v>2097</v>
      </c>
      <c r="BH12" t="s">
        <v>2312</v>
      </c>
      <c r="BI12" t="s">
        <v>1053</v>
      </c>
      <c r="BJ12" t="s">
        <v>2069</v>
      </c>
      <c r="BK12" t="s">
        <v>1053</v>
      </c>
      <c r="BL12" t="s">
        <v>2069</v>
      </c>
      <c r="BM12" t="s">
        <v>2313</v>
      </c>
      <c r="BN12" t="s">
        <v>2314</v>
      </c>
      <c r="BO12" t="s">
        <v>1053</v>
      </c>
      <c r="BP12" t="s">
        <v>2315</v>
      </c>
      <c r="BQ12" t="s">
        <v>2316</v>
      </c>
      <c r="BR12" t="s">
        <v>1053</v>
      </c>
      <c r="BT12" t="s">
        <v>1053</v>
      </c>
      <c r="BX12" t="str">
        <f>""</f>
        <v/>
      </c>
      <c r="BY12" t="str">
        <f>""</f>
        <v/>
      </c>
      <c r="BZ12" t="str">
        <f>""</f>
        <v/>
      </c>
      <c r="CA12" t="str">
        <f>""</f>
        <v/>
      </c>
      <c r="CB12" t="str">
        <f>""</f>
        <v/>
      </c>
      <c r="CC12" t="str">
        <f>""</f>
        <v/>
      </c>
      <c r="CD12" t="str">
        <f>""</f>
        <v/>
      </c>
      <c r="CE12" t="str">
        <f>""</f>
        <v/>
      </c>
      <c r="CF12" t="str">
        <f>""</f>
        <v/>
      </c>
      <c r="CG12" t="str">
        <f>""</f>
        <v/>
      </c>
      <c r="CH12" t="str">
        <f>""</f>
        <v/>
      </c>
    </row>
    <row r="13" spans="1:86" x14ac:dyDescent="0.25">
      <c r="A13" t="s">
        <v>2317</v>
      </c>
      <c r="B13" t="s">
        <v>2318</v>
      </c>
      <c r="C13" t="s">
        <v>1991</v>
      </c>
      <c r="D13" t="s">
        <v>2010</v>
      </c>
      <c r="E13" t="s">
        <v>2319</v>
      </c>
      <c r="H13" t="s">
        <v>2320</v>
      </c>
      <c r="I13" t="s">
        <v>2321</v>
      </c>
      <c r="J13" t="str">
        <f>"12144-2310"</f>
        <v>12144-2310</v>
      </c>
      <c r="K13" t="s">
        <v>1998</v>
      </c>
      <c r="L13" t="s">
        <v>2033</v>
      </c>
      <c r="M13" t="s">
        <v>2322</v>
      </c>
      <c r="N13" t="s">
        <v>1991</v>
      </c>
      <c r="O13" t="s">
        <v>1991</v>
      </c>
      <c r="P13" t="s">
        <v>1992</v>
      </c>
      <c r="Q13" t="s">
        <v>1991</v>
      </c>
      <c r="R13" t="s">
        <v>1991</v>
      </c>
      <c r="S13" t="s">
        <v>1992</v>
      </c>
      <c r="T13" t="s">
        <v>1992</v>
      </c>
      <c r="U13" t="s">
        <v>1991</v>
      </c>
      <c r="V13" t="s">
        <v>1991</v>
      </c>
      <c r="W13" t="s">
        <v>1991</v>
      </c>
      <c r="X13" t="s">
        <v>1992</v>
      </c>
      <c r="Y13" t="s">
        <v>1992</v>
      </c>
      <c r="Z13" t="s">
        <v>1992</v>
      </c>
      <c r="AA13" t="s">
        <v>1992</v>
      </c>
      <c r="AE13" t="s">
        <v>2047</v>
      </c>
      <c r="AF13" t="s">
        <v>2016</v>
      </c>
      <c r="AG13" t="s">
        <v>1991</v>
      </c>
      <c r="AH13">
        <v>60</v>
      </c>
      <c r="AI13">
        <v>30</v>
      </c>
      <c r="AJ13" t="s">
        <v>2323</v>
      </c>
      <c r="AK13">
        <v>30</v>
      </c>
      <c r="AL13">
        <v>110000</v>
      </c>
      <c r="AN13" t="s">
        <v>1053</v>
      </c>
      <c r="AO13" t="s">
        <v>1053</v>
      </c>
      <c r="AP13" t="s">
        <v>1053</v>
      </c>
      <c r="AQ13" t="s">
        <v>1053</v>
      </c>
      <c r="AR13" t="s">
        <v>1053</v>
      </c>
      <c r="AS13" t="s">
        <v>2324</v>
      </c>
      <c r="AT13" t="s">
        <v>2325</v>
      </c>
      <c r="AU13" t="s">
        <v>1053</v>
      </c>
      <c r="AV13" t="s">
        <v>1053</v>
      </c>
      <c r="AW13" t="s">
        <v>1053</v>
      </c>
      <c r="AX13" t="s">
        <v>1053</v>
      </c>
      <c r="AY13" t="s">
        <v>1053</v>
      </c>
      <c r="AZ13" t="s">
        <v>2324</v>
      </c>
      <c r="BA13" t="s">
        <v>2325</v>
      </c>
      <c r="BB13" t="s">
        <v>1053</v>
      </c>
      <c r="BC13" t="s">
        <v>1053</v>
      </c>
      <c r="BD13" t="s">
        <v>1053</v>
      </c>
      <c r="BE13" t="s">
        <v>1053</v>
      </c>
      <c r="BF13" t="s">
        <v>1053</v>
      </c>
      <c r="BG13" t="s">
        <v>2019</v>
      </c>
      <c r="BH13" t="s">
        <v>2326</v>
      </c>
      <c r="BI13" t="s">
        <v>1053</v>
      </c>
      <c r="BJ13" t="s">
        <v>1053</v>
      </c>
      <c r="BK13" t="s">
        <v>1053</v>
      </c>
      <c r="BL13" t="s">
        <v>1053</v>
      </c>
      <c r="BM13" t="s">
        <v>2324</v>
      </c>
      <c r="BN13" t="s">
        <v>2325</v>
      </c>
      <c r="BO13" t="s">
        <v>1053</v>
      </c>
      <c r="BP13" t="s">
        <v>2327</v>
      </c>
      <c r="BQ13" t="s">
        <v>2328</v>
      </c>
      <c r="BR13" t="s">
        <v>1053</v>
      </c>
      <c r="BS13" t="s">
        <v>1053</v>
      </c>
      <c r="BV13" t="s">
        <v>2324</v>
      </c>
      <c r="BX13" t="str">
        <f>"S----FS 0000-0215 0500-2359; -MTWT-- 0000-0115 0415-2359"</f>
        <v>S----FS 0000-0215 0500-2359; -MTWT-- 0000-0115 0415-2359</v>
      </c>
      <c r="BY13" t="str">
        <f>"SMTWTFS 0600-2200"</f>
        <v>SMTWTFS 0600-2200</v>
      </c>
      <c r="BZ13" t="str">
        <f>"SMTWTFS 0600-2200"</f>
        <v>SMTWTFS 0600-2200</v>
      </c>
      <c r="CA13" t="str">
        <f>"S-----S 0530-2200; -MTWTF- 0500-2200"</f>
        <v>S-----S 0530-2200; -MTWTF- 0500-2200</v>
      </c>
      <c r="CB13" t="str">
        <f>""</f>
        <v/>
      </c>
      <c r="CC13" t="str">
        <f>"S----FS 0000-0215 0500-2359; -MTWT-- 0000-0115 0415-2359"</f>
        <v>S----FS 0000-0215 0500-2359; -MTWT-- 0000-0115 0415-2359</v>
      </c>
      <c r="CD13" t="str">
        <f>""</f>
        <v/>
      </c>
      <c r="CE13" t="str">
        <f>""</f>
        <v/>
      </c>
      <c r="CF13" t="str">
        <f>"SMTWTFS 0600-2200"</f>
        <v>SMTWTFS 0600-2200</v>
      </c>
      <c r="CG13" t="str">
        <f>""</f>
        <v/>
      </c>
      <c r="CH13" t="str">
        <f>"SMTWTFS 0000-2359"</f>
        <v>SMTWTFS 0000-2359</v>
      </c>
    </row>
    <row r="14" spans="1:86" x14ac:dyDescent="0.25">
      <c r="A14" t="s">
        <v>2329</v>
      </c>
      <c r="B14" t="s">
        <v>2330</v>
      </c>
      <c r="C14" t="s">
        <v>1992</v>
      </c>
      <c r="D14" t="s">
        <v>2331</v>
      </c>
      <c r="E14" t="s">
        <v>2332</v>
      </c>
      <c r="H14" t="s">
        <v>2333</v>
      </c>
      <c r="I14" t="s">
        <v>2334</v>
      </c>
      <c r="J14" t="str">
        <f>"44601"</f>
        <v>44601</v>
      </c>
      <c r="K14" t="s">
        <v>1998</v>
      </c>
      <c r="L14" t="s">
        <v>1999</v>
      </c>
      <c r="M14" t="s">
        <v>2063</v>
      </c>
      <c r="N14" t="s">
        <v>1992</v>
      </c>
      <c r="O14" t="s">
        <v>1992</v>
      </c>
      <c r="P14" t="s">
        <v>1992</v>
      </c>
      <c r="Q14" t="s">
        <v>1992</v>
      </c>
      <c r="R14" t="s">
        <v>1992</v>
      </c>
      <c r="S14" t="s">
        <v>1992</v>
      </c>
      <c r="T14" t="s">
        <v>1992</v>
      </c>
      <c r="U14" t="s">
        <v>1992</v>
      </c>
      <c r="V14" t="s">
        <v>1991</v>
      </c>
      <c r="W14" t="s">
        <v>1991</v>
      </c>
      <c r="X14" t="s">
        <v>1992</v>
      </c>
      <c r="Y14" t="s">
        <v>1992</v>
      </c>
      <c r="Z14" t="s">
        <v>1992</v>
      </c>
      <c r="AF14" t="s">
        <v>2016</v>
      </c>
      <c r="AG14" t="s">
        <v>1991</v>
      </c>
      <c r="AH14">
        <v>30</v>
      </c>
      <c r="AI14">
        <v>30</v>
      </c>
      <c r="AJ14" t="s">
        <v>2335</v>
      </c>
      <c r="AK14">
        <v>1078</v>
      </c>
      <c r="AL14">
        <v>23376</v>
      </c>
      <c r="AN14" t="s">
        <v>2066</v>
      </c>
      <c r="AO14" t="s">
        <v>1053</v>
      </c>
      <c r="BF14" t="s">
        <v>1053</v>
      </c>
      <c r="BG14" t="s">
        <v>2097</v>
      </c>
      <c r="BH14" t="s">
        <v>2312</v>
      </c>
      <c r="BI14" t="s">
        <v>1053</v>
      </c>
      <c r="BJ14" t="s">
        <v>2069</v>
      </c>
      <c r="BK14" t="s">
        <v>1053</v>
      </c>
      <c r="BL14" t="s">
        <v>2069</v>
      </c>
      <c r="BM14" t="s">
        <v>2313</v>
      </c>
      <c r="BN14" t="s">
        <v>2314</v>
      </c>
      <c r="BO14" t="s">
        <v>1053</v>
      </c>
      <c r="BP14" t="s">
        <v>2315</v>
      </c>
      <c r="BQ14" t="s">
        <v>2316</v>
      </c>
      <c r="BR14" t="s">
        <v>1053</v>
      </c>
      <c r="BT14" t="s">
        <v>1053</v>
      </c>
      <c r="BX14" t="str">
        <f>""</f>
        <v/>
      </c>
      <c r="BY14" t="str">
        <f>""</f>
        <v/>
      </c>
      <c r="BZ14" t="str">
        <f>""</f>
        <v/>
      </c>
      <c r="CA14" t="str">
        <f>""</f>
        <v/>
      </c>
      <c r="CB14" t="str">
        <f>""</f>
        <v/>
      </c>
      <c r="CC14" t="str">
        <f>""</f>
        <v/>
      </c>
      <c r="CD14" t="str">
        <f>""</f>
        <v/>
      </c>
      <c r="CE14" t="str">
        <f>""</f>
        <v/>
      </c>
      <c r="CF14" t="str">
        <f>""</f>
        <v/>
      </c>
      <c r="CG14" t="str">
        <f>""</f>
        <v/>
      </c>
      <c r="CH14" t="str">
        <f>""</f>
        <v/>
      </c>
    </row>
    <row r="15" spans="1:86" x14ac:dyDescent="0.25">
      <c r="A15" t="s">
        <v>2336</v>
      </c>
      <c r="B15" t="s">
        <v>2337</v>
      </c>
      <c r="C15" t="s">
        <v>1992</v>
      </c>
      <c r="D15" t="s">
        <v>2028</v>
      </c>
      <c r="E15" t="s">
        <v>2338</v>
      </c>
      <c r="H15" t="s">
        <v>2339</v>
      </c>
      <c r="I15" t="s">
        <v>2340</v>
      </c>
      <c r="J15" t="str">
        <f>"24910"</f>
        <v>24910</v>
      </c>
      <c r="K15" t="s">
        <v>1998</v>
      </c>
      <c r="L15" t="s">
        <v>2015</v>
      </c>
      <c r="M15" t="s">
        <v>2063</v>
      </c>
      <c r="N15" t="s">
        <v>1992</v>
      </c>
      <c r="O15" t="s">
        <v>1992</v>
      </c>
      <c r="P15" t="s">
        <v>1992</v>
      </c>
      <c r="Q15" t="s">
        <v>1992</v>
      </c>
      <c r="R15" t="s">
        <v>1992</v>
      </c>
      <c r="S15" t="s">
        <v>1992</v>
      </c>
      <c r="T15" t="s">
        <v>1992</v>
      </c>
      <c r="U15" t="s">
        <v>1992</v>
      </c>
      <c r="V15" t="s">
        <v>1991</v>
      </c>
      <c r="W15" t="s">
        <v>1991</v>
      </c>
      <c r="X15" t="s">
        <v>1992</v>
      </c>
      <c r="Y15" t="s">
        <v>1992</v>
      </c>
      <c r="Z15" t="s">
        <v>1992</v>
      </c>
      <c r="AF15" t="s">
        <v>2016</v>
      </c>
      <c r="AG15" t="s">
        <v>1991</v>
      </c>
      <c r="AH15">
        <v>30</v>
      </c>
      <c r="AI15">
        <v>30</v>
      </c>
      <c r="AJ15" t="s">
        <v>2341</v>
      </c>
      <c r="AK15">
        <v>1550</v>
      </c>
      <c r="AL15">
        <v>1086</v>
      </c>
      <c r="AN15" t="s">
        <v>2066</v>
      </c>
      <c r="AO15" t="s">
        <v>2063</v>
      </c>
      <c r="BF15" t="s">
        <v>1053</v>
      </c>
      <c r="BG15" t="s">
        <v>2097</v>
      </c>
      <c r="BH15" t="s">
        <v>2342</v>
      </c>
      <c r="BI15" t="s">
        <v>1053</v>
      </c>
      <c r="BJ15" t="s">
        <v>1053</v>
      </c>
      <c r="BK15" t="s">
        <v>1053</v>
      </c>
      <c r="BL15" t="s">
        <v>1053</v>
      </c>
      <c r="BM15" t="s">
        <v>2343</v>
      </c>
      <c r="BN15" t="s">
        <v>2344</v>
      </c>
      <c r="BO15" t="s">
        <v>1053</v>
      </c>
      <c r="BP15" t="s">
        <v>2345</v>
      </c>
      <c r="BQ15" t="s">
        <v>2346</v>
      </c>
      <c r="BR15" t="s">
        <v>1053</v>
      </c>
      <c r="BS15" t="s">
        <v>1053</v>
      </c>
      <c r="BT15" t="s">
        <v>1053</v>
      </c>
      <c r="BU15" t="s">
        <v>1053</v>
      </c>
      <c r="BV15" t="s">
        <v>2347</v>
      </c>
      <c r="BX15" t="str">
        <f>""</f>
        <v/>
      </c>
      <c r="BY15" t="str">
        <f>""</f>
        <v/>
      </c>
      <c r="BZ15" t="str">
        <f>""</f>
        <v/>
      </c>
      <c r="CA15" t="str">
        <f>""</f>
        <v/>
      </c>
      <c r="CB15" t="str">
        <f>""</f>
        <v/>
      </c>
      <c r="CC15" t="str">
        <f>""</f>
        <v/>
      </c>
      <c r="CD15" t="str">
        <f>""</f>
        <v/>
      </c>
      <c r="CE15" t="str">
        <f>""</f>
        <v/>
      </c>
      <c r="CF15" t="str">
        <f>""</f>
        <v/>
      </c>
      <c r="CG15" t="str">
        <f>""</f>
        <v/>
      </c>
      <c r="CH15" t="str">
        <f>""</f>
        <v/>
      </c>
    </row>
    <row r="16" spans="1:86" x14ac:dyDescent="0.25">
      <c r="A16" t="s">
        <v>2348</v>
      </c>
      <c r="B16" t="s">
        <v>2349</v>
      </c>
      <c r="C16" t="s">
        <v>1992</v>
      </c>
      <c r="D16" t="s">
        <v>2010</v>
      </c>
      <c r="E16" t="s">
        <v>2350</v>
      </c>
      <c r="H16" t="s">
        <v>2351</v>
      </c>
      <c r="I16" t="s">
        <v>2352</v>
      </c>
      <c r="J16" t="str">
        <f>"49224"</f>
        <v>49224</v>
      </c>
      <c r="K16" t="s">
        <v>1998</v>
      </c>
      <c r="L16" t="s">
        <v>1999</v>
      </c>
      <c r="M16" t="s">
        <v>2063</v>
      </c>
      <c r="N16" t="s">
        <v>1992</v>
      </c>
      <c r="O16" t="s">
        <v>1992</v>
      </c>
      <c r="P16" t="s">
        <v>1992</v>
      </c>
      <c r="Q16" t="s">
        <v>1992</v>
      </c>
      <c r="R16" t="s">
        <v>1992</v>
      </c>
      <c r="S16" t="s">
        <v>1992</v>
      </c>
      <c r="T16" t="s">
        <v>1992</v>
      </c>
      <c r="U16" t="s">
        <v>1992</v>
      </c>
      <c r="V16" t="s">
        <v>1991</v>
      </c>
      <c r="W16" t="s">
        <v>1991</v>
      </c>
      <c r="X16" t="s">
        <v>1992</v>
      </c>
      <c r="Y16" t="s">
        <v>1992</v>
      </c>
      <c r="Z16" t="s">
        <v>1992</v>
      </c>
      <c r="AE16" t="s">
        <v>2353</v>
      </c>
      <c r="AF16" t="s">
        <v>2016</v>
      </c>
      <c r="AG16" t="s">
        <v>1991</v>
      </c>
      <c r="AH16">
        <v>30</v>
      </c>
      <c r="AI16">
        <v>30</v>
      </c>
      <c r="AJ16" t="s">
        <v>2354</v>
      </c>
      <c r="AK16">
        <v>948</v>
      </c>
      <c r="AL16">
        <v>12115</v>
      </c>
      <c r="AN16" t="s">
        <v>2066</v>
      </c>
      <c r="AO16" t="s">
        <v>2311</v>
      </c>
      <c r="BF16" t="s">
        <v>1053</v>
      </c>
      <c r="BG16" t="s">
        <v>2355</v>
      </c>
      <c r="BH16" t="s">
        <v>2312</v>
      </c>
      <c r="BI16" t="s">
        <v>1053</v>
      </c>
      <c r="BJ16" t="s">
        <v>2069</v>
      </c>
      <c r="BK16" t="s">
        <v>1053</v>
      </c>
      <c r="BL16" t="s">
        <v>2069</v>
      </c>
      <c r="BM16" t="s">
        <v>2313</v>
      </c>
      <c r="BN16" t="s">
        <v>2314</v>
      </c>
      <c r="BO16" t="s">
        <v>1053</v>
      </c>
      <c r="BP16" t="s">
        <v>2356</v>
      </c>
      <c r="BQ16" t="s">
        <v>2316</v>
      </c>
      <c r="BR16" t="s">
        <v>1053</v>
      </c>
      <c r="BS16" t="s">
        <v>1053</v>
      </c>
      <c r="BT16" t="s">
        <v>1053</v>
      </c>
      <c r="BX16" t="str">
        <f>"SMTWTFS 0800-1900"</f>
        <v>SMTWTFS 0800-1900</v>
      </c>
      <c r="BY16" t="str">
        <f>""</f>
        <v/>
      </c>
      <c r="BZ16" t="str">
        <f>""</f>
        <v/>
      </c>
      <c r="CA16" t="str">
        <f>""</f>
        <v/>
      </c>
      <c r="CB16" t="str">
        <f>""</f>
        <v/>
      </c>
      <c r="CC16" t="str">
        <f>""</f>
        <v/>
      </c>
      <c r="CD16" t="str">
        <f>""</f>
        <v/>
      </c>
      <c r="CE16" t="str">
        <f>""</f>
        <v/>
      </c>
      <c r="CF16" t="str">
        <f>""</f>
        <v/>
      </c>
      <c r="CG16" t="str">
        <f>""</f>
        <v/>
      </c>
      <c r="CH16" t="str">
        <f>""</f>
        <v/>
      </c>
    </row>
    <row r="17" spans="1:86" x14ac:dyDescent="0.25">
      <c r="A17" t="s">
        <v>2357</v>
      </c>
      <c r="B17" t="s">
        <v>2358</v>
      </c>
      <c r="C17" t="s">
        <v>1992</v>
      </c>
      <c r="D17" t="s">
        <v>1993</v>
      </c>
      <c r="E17" t="s">
        <v>2359</v>
      </c>
      <c r="F17" t="s">
        <v>2360</v>
      </c>
      <c r="H17" t="s">
        <v>2361</v>
      </c>
      <c r="I17" t="s">
        <v>2352</v>
      </c>
      <c r="J17" t="str">
        <f>"49707"</f>
        <v>49707</v>
      </c>
      <c r="K17" t="s">
        <v>1998</v>
      </c>
      <c r="L17" t="s">
        <v>1999</v>
      </c>
      <c r="M17" t="s">
        <v>2000</v>
      </c>
      <c r="N17" t="s">
        <v>1992</v>
      </c>
      <c r="O17" t="s">
        <v>1992</v>
      </c>
      <c r="P17" t="s">
        <v>1992</v>
      </c>
      <c r="Q17" t="s">
        <v>1992</v>
      </c>
      <c r="R17" t="s">
        <v>1992</v>
      </c>
      <c r="S17" t="s">
        <v>1992</v>
      </c>
      <c r="T17" t="s">
        <v>1992</v>
      </c>
      <c r="U17" t="s">
        <v>1992</v>
      </c>
      <c r="V17" t="s">
        <v>1991</v>
      </c>
      <c r="Z17" t="s">
        <v>1991</v>
      </c>
      <c r="AF17" t="s">
        <v>2016</v>
      </c>
      <c r="AG17" t="s">
        <v>1992</v>
      </c>
      <c r="AH17">
        <v>30</v>
      </c>
      <c r="AI17">
        <v>30</v>
      </c>
      <c r="AJ17" t="s">
        <v>2362</v>
      </c>
      <c r="AK17">
        <v>627</v>
      </c>
      <c r="BX17" t="str">
        <f>""</f>
        <v/>
      </c>
      <c r="BY17" t="str">
        <f>""</f>
        <v/>
      </c>
      <c r="BZ17" t="str">
        <f>""</f>
        <v/>
      </c>
      <c r="CA17" t="str">
        <f>""</f>
        <v/>
      </c>
      <c r="CB17" t="str">
        <f>""</f>
        <v/>
      </c>
      <c r="CC17" t="str">
        <f>""</f>
        <v/>
      </c>
      <c r="CD17" t="str">
        <f>""</f>
        <v/>
      </c>
      <c r="CE17" t="str">
        <f>""</f>
        <v/>
      </c>
      <c r="CF17" t="str">
        <f>""</f>
        <v/>
      </c>
      <c r="CG17" t="str">
        <f>""</f>
        <v/>
      </c>
      <c r="CH17" t="str">
        <f>""</f>
        <v/>
      </c>
    </row>
    <row r="18" spans="1:86" x14ac:dyDescent="0.25">
      <c r="A18" t="s">
        <v>2363</v>
      </c>
      <c r="B18" t="s">
        <v>2364</v>
      </c>
      <c r="C18" t="s">
        <v>1991</v>
      </c>
      <c r="D18" t="s">
        <v>2010</v>
      </c>
      <c r="E18" t="s">
        <v>2365</v>
      </c>
      <c r="H18" t="s">
        <v>2366</v>
      </c>
      <c r="I18" t="s">
        <v>2367</v>
      </c>
      <c r="J18" t="str">
        <f>"62002-5000"</f>
        <v>62002-5000</v>
      </c>
      <c r="K18" t="s">
        <v>1998</v>
      </c>
      <c r="L18" t="s">
        <v>1999</v>
      </c>
      <c r="M18" t="s">
        <v>2368</v>
      </c>
      <c r="N18" t="s">
        <v>1991</v>
      </c>
      <c r="O18" t="s">
        <v>1992</v>
      </c>
      <c r="P18" t="s">
        <v>1992</v>
      </c>
      <c r="Q18" t="s">
        <v>1992</v>
      </c>
      <c r="R18" t="s">
        <v>1992</v>
      </c>
      <c r="S18" t="s">
        <v>1992</v>
      </c>
      <c r="T18" t="s">
        <v>1992</v>
      </c>
      <c r="U18" t="s">
        <v>1991</v>
      </c>
      <c r="V18" t="s">
        <v>1991</v>
      </c>
      <c r="W18" t="s">
        <v>1991</v>
      </c>
      <c r="X18" t="s">
        <v>1992</v>
      </c>
      <c r="Y18" t="s">
        <v>1992</v>
      </c>
      <c r="Z18" t="s">
        <v>1992</v>
      </c>
      <c r="AE18" t="s">
        <v>2047</v>
      </c>
      <c r="AF18" t="s">
        <v>2001</v>
      </c>
      <c r="AG18" t="s">
        <v>1991</v>
      </c>
      <c r="AH18">
        <v>60</v>
      </c>
      <c r="AI18">
        <v>30</v>
      </c>
      <c r="AJ18" t="s">
        <v>2369</v>
      </c>
      <c r="AK18">
        <v>491</v>
      </c>
      <c r="AL18">
        <v>29269</v>
      </c>
      <c r="AN18" t="s">
        <v>1053</v>
      </c>
      <c r="AO18" t="s">
        <v>1053</v>
      </c>
      <c r="AP18" t="s">
        <v>2069</v>
      </c>
      <c r="AQ18" t="s">
        <v>1053</v>
      </c>
      <c r="AR18" t="s">
        <v>2069</v>
      </c>
      <c r="AS18" t="s">
        <v>2363</v>
      </c>
      <c r="AT18" t="s">
        <v>2370</v>
      </c>
      <c r="AU18" t="s">
        <v>1053</v>
      </c>
      <c r="AV18" t="s">
        <v>1053</v>
      </c>
      <c r="AW18" t="s">
        <v>2069</v>
      </c>
      <c r="AX18" t="s">
        <v>1053</v>
      </c>
      <c r="AY18" t="s">
        <v>2069</v>
      </c>
      <c r="AZ18" t="s">
        <v>2363</v>
      </c>
      <c r="BA18" t="s">
        <v>2370</v>
      </c>
      <c r="BB18" t="s">
        <v>1053</v>
      </c>
      <c r="BC18" t="s">
        <v>2069</v>
      </c>
      <c r="BD18" t="s">
        <v>1053</v>
      </c>
      <c r="BE18" t="s">
        <v>2069</v>
      </c>
      <c r="BF18" t="s">
        <v>1053</v>
      </c>
      <c r="BG18" t="s">
        <v>2371</v>
      </c>
      <c r="BH18" t="s">
        <v>2372</v>
      </c>
      <c r="BI18" t="s">
        <v>1053</v>
      </c>
      <c r="BJ18" t="s">
        <v>1053</v>
      </c>
      <c r="BK18" t="s">
        <v>1053</v>
      </c>
      <c r="BL18" t="s">
        <v>1053</v>
      </c>
      <c r="BM18" t="s">
        <v>2373</v>
      </c>
      <c r="BN18" t="s">
        <v>2374</v>
      </c>
      <c r="BO18" t="s">
        <v>1053</v>
      </c>
      <c r="BP18" t="s">
        <v>2375</v>
      </c>
      <c r="BQ18" t="s">
        <v>2376</v>
      </c>
      <c r="BR18" t="s">
        <v>1053</v>
      </c>
      <c r="BX18" t="str">
        <f>"SMTWTFS 0600-1600"</f>
        <v>SMTWTFS 0600-1600</v>
      </c>
      <c r="BY18" t="str">
        <f>""</f>
        <v/>
      </c>
      <c r="BZ18" t="str">
        <f>"SMTWTFS 0615-1545"</f>
        <v>SMTWTFS 0615-1545</v>
      </c>
      <c r="CA18" t="str">
        <f>"SMTWTFS 0600-1550"</f>
        <v>SMTWTFS 0600-1550</v>
      </c>
      <c r="CB18" t="str">
        <f>""</f>
        <v/>
      </c>
      <c r="CC18" t="str">
        <f>""</f>
        <v/>
      </c>
      <c r="CD18" t="str">
        <f>""</f>
        <v/>
      </c>
      <c r="CE18" t="str">
        <f>""</f>
        <v/>
      </c>
      <c r="CF18" t="str">
        <f>""</f>
        <v/>
      </c>
      <c r="CG18" t="str">
        <f>""</f>
        <v/>
      </c>
      <c r="CH18" t="str">
        <f>""</f>
        <v/>
      </c>
    </row>
    <row r="19" spans="1:86" x14ac:dyDescent="0.25">
      <c r="A19" t="s">
        <v>2377</v>
      </c>
      <c r="B19" t="s">
        <v>2378</v>
      </c>
      <c r="C19" t="s">
        <v>1992</v>
      </c>
      <c r="D19" t="s">
        <v>2010</v>
      </c>
      <c r="E19" t="s">
        <v>2379</v>
      </c>
      <c r="H19" t="s">
        <v>2380</v>
      </c>
      <c r="I19" t="s">
        <v>2381</v>
      </c>
      <c r="J19" t="str">
        <f>"79830"</f>
        <v>79830</v>
      </c>
      <c r="K19" t="s">
        <v>1998</v>
      </c>
      <c r="L19" t="s">
        <v>2045</v>
      </c>
      <c r="M19" t="s">
        <v>2063</v>
      </c>
      <c r="N19" t="s">
        <v>1992</v>
      </c>
      <c r="O19" t="s">
        <v>1992</v>
      </c>
      <c r="P19" t="s">
        <v>1992</v>
      </c>
      <c r="Q19" t="s">
        <v>1992</v>
      </c>
      <c r="R19" t="s">
        <v>1992</v>
      </c>
      <c r="S19" t="s">
        <v>1992</v>
      </c>
      <c r="T19" t="s">
        <v>1992</v>
      </c>
      <c r="U19" t="s">
        <v>1992</v>
      </c>
      <c r="V19" t="s">
        <v>1991</v>
      </c>
      <c r="W19" t="s">
        <v>1991</v>
      </c>
      <c r="X19" t="s">
        <v>1992</v>
      </c>
      <c r="Y19" t="s">
        <v>1992</v>
      </c>
      <c r="Z19" t="s">
        <v>1992</v>
      </c>
      <c r="AF19" t="s">
        <v>2001</v>
      </c>
      <c r="AG19" t="s">
        <v>1991</v>
      </c>
      <c r="AH19">
        <v>30</v>
      </c>
      <c r="AI19">
        <v>30</v>
      </c>
      <c r="AJ19" t="s">
        <v>2382</v>
      </c>
      <c r="AK19">
        <v>4483</v>
      </c>
      <c r="AL19">
        <v>6035</v>
      </c>
      <c r="AN19" t="s">
        <v>2066</v>
      </c>
      <c r="AO19" t="s">
        <v>2063</v>
      </c>
      <c r="BF19" t="s">
        <v>1053</v>
      </c>
      <c r="BG19" t="s">
        <v>2019</v>
      </c>
      <c r="BH19" t="s">
        <v>2383</v>
      </c>
      <c r="BI19" t="s">
        <v>1053</v>
      </c>
      <c r="BJ19" t="s">
        <v>2069</v>
      </c>
      <c r="BK19" t="s">
        <v>1053</v>
      </c>
      <c r="BL19" t="s">
        <v>2069</v>
      </c>
      <c r="BM19" t="s">
        <v>2099</v>
      </c>
      <c r="BN19" t="s">
        <v>2100</v>
      </c>
      <c r="BO19" t="s">
        <v>1053</v>
      </c>
      <c r="BP19" t="s">
        <v>2101</v>
      </c>
      <c r="BQ19" t="s">
        <v>2055</v>
      </c>
      <c r="BR19" t="s">
        <v>1053</v>
      </c>
      <c r="BS19" t="s">
        <v>1053</v>
      </c>
      <c r="BT19" t="s">
        <v>1053</v>
      </c>
      <c r="BU19" t="s">
        <v>1053</v>
      </c>
      <c r="BV19" t="s">
        <v>2056</v>
      </c>
      <c r="BX19" t="str">
        <f>""</f>
        <v/>
      </c>
      <c r="BY19" t="str">
        <f>""</f>
        <v/>
      </c>
      <c r="BZ19" t="str">
        <f>""</f>
        <v/>
      </c>
      <c r="CA19" t="str">
        <f>""</f>
        <v/>
      </c>
      <c r="CB19" t="str">
        <f>""</f>
        <v/>
      </c>
      <c r="CC19" t="str">
        <f>""</f>
        <v/>
      </c>
      <c r="CD19" t="str">
        <f>""</f>
        <v/>
      </c>
      <c r="CE19" t="str">
        <f>""</f>
        <v/>
      </c>
      <c r="CF19" t="str">
        <f>""</f>
        <v/>
      </c>
      <c r="CG19" t="str">
        <f>""</f>
        <v/>
      </c>
      <c r="CH19" t="str">
        <f>""</f>
        <v/>
      </c>
    </row>
    <row r="20" spans="1:86" x14ac:dyDescent="0.25">
      <c r="A20" t="s">
        <v>2384</v>
      </c>
      <c r="B20" t="s">
        <v>2385</v>
      </c>
      <c r="C20" t="s">
        <v>1991</v>
      </c>
      <c r="D20" t="s">
        <v>2010</v>
      </c>
      <c r="E20" t="s">
        <v>2386</v>
      </c>
      <c r="H20" t="s">
        <v>2387</v>
      </c>
      <c r="I20" t="s">
        <v>2388</v>
      </c>
      <c r="J20" t="str">
        <f>"16601"</f>
        <v>16601</v>
      </c>
      <c r="K20" t="s">
        <v>1998</v>
      </c>
      <c r="L20" t="s">
        <v>2015</v>
      </c>
      <c r="M20" t="s">
        <v>2389</v>
      </c>
      <c r="N20" t="s">
        <v>1991</v>
      </c>
      <c r="O20" t="s">
        <v>1992</v>
      </c>
      <c r="P20" t="s">
        <v>1992</v>
      </c>
      <c r="Q20" t="s">
        <v>1992</v>
      </c>
      <c r="R20" t="s">
        <v>1992</v>
      </c>
      <c r="S20" t="s">
        <v>1992</v>
      </c>
      <c r="T20" t="s">
        <v>1992</v>
      </c>
      <c r="U20" t="s">
        <v>1991</v>
      </c>
      <c r="V20" t="s">
        <v>1991</v>
      </c>
      <c r="W20" t="s">
        <v>1991</v>
      </c>
      <c r="X20" t="s">
        <v>1992</v>
      </c>
      <c r="Y20" t="s">
        <v>1992</v>
      </c>
      <c r="Z20" t="s">
        <v>1992</v>
      </c>
      <c r="AA20" t="s">
        <v>1992</v>
      </c>
      <c r="AE20" t="s">
        <v>2047</v>
      </c>
      <c r="AF20" t="s">
        <v>2016</v>
      </c>
      <c r="AG20" t="s">
        <v>1991</v>
      </c>
      <c r="AH20">
        <v>30</v>
      </c>
      <c r="AI20">
        <v>30</v>
      </c>
      <c r="AJ20" t="s">
        <v>2390</v>
      </c>
      <c r="AK20">
        <v>1180</v>
      </c>
      <c r="AL20">
        <v>56500</v>
      </c>
      <c r="AM20" t="s">
        <v>2391</v>
      </c>
      <c r="AN20" t="s">
        <v>1053</v>
      </c>
      <c r="AO20" t="s">
        <v>1053</v>
      </c>
      <c r="AP20" t="s">
        <v>2069</v>
      </c>
      <c r="AQ20" t="s">
        <v>1053</v>
      </c>
      <c r="AR20" t="s">
        <v>2069</v>
      </c>
      <c r="AS20" t="s">
        <v>2384</v>
      </c>
      <c r="AT20" t="s">
        <v>2392</v>
      </c>
      <c r="AU20" t="s">
        <v>1053</v>
      </c>
      <c r="AV20" t="s">
        <v>1053</v>
      </c>
      <c r="AW20" t="s">
        <v>2069</v>
      </c>
      <c r="AX20" t="s">
        <v>1053</v>
      </c>
      <c r="AY20" t="s">
        <v>2069</v>
      </c>
      <c r="AZ20" t="s">
        <v>2384</v>
      </c>
      <c r="BA20" t="s">
        <v>2392</v>
      </c>
      <c r="BB20" t="s">
        <v>1053</v>
      </c>
      <c r="BC20" t="s">
        <v>2069</v>
      </c>
      <c r="BD20" t="s">
        <v>1053</v>
      </c>
      <c r="BE20" t="s">
        <v>2069</v>
      </c>
      <c r="BF20" t="s">
        <v>1053</v>
      </c>
      <c r="BG20" t="s">
        <v>2393</v>
      </c>
      <c r="BH20" t="s">
        <v>2394</v>
      </c>
      <c r="BI20" t="s">
        <v>1053</v>
      </c>
      <c r="BJ20" t="s">
        <v>1053</v>
      </c>
      <c r="BK20" t="s">
        <v>1053</v>
      </c>
      <c r="BL20" t="s">
        <v>1053</v>
      </c>
      <c r="BM20" t="s">
        <v>2395</v>
      </c>
      <c r="BN20" t="s">
        <v>2396</v>
      </c>
      <c r="BO20" t="s">
        <v>1053</v>
      </c>
      <c r="BP20" t="s">
        <v>2397</v>
      </c>
      <c r="BQ20" t="s">
        <v>2398</v>
      </c>
      <c r="BR20" t="s">
        <v>1053</v>
      </c>
      <c r="BS20" t="s">
        <v>1053</v>
      </c>
      <c r="BT20" t="s">
        <v>1053</v>
      </c>
      <c r="BU20" t="s">
        <v>1053</v>
      </c>
      <c r="BV20" t="s">
        <v>2399</v>
      </c>
      <c r="BW20" t="s">
        <v>2400</v>
      </c>
      <c r="BX20" t="str">
        <f>"SMTWTFS 0900-1730"</f>
        <v>SMTWTFS 0900-1730</v>
      </c>
      <c r="BY20" t="str">
        <f>""</f>
        <v/>
      </c>
      <c r="BZ20" t="str">
        <f>"SMTWTFS 0900-1730"</f>
        <v>SMTWTFS 0900-1730</v>
      </c>
      <c r="CA20" t="str">
        <f>"SMTWTFS 0900-1715"</f>
        <v>SMTWTFS 0900-1715</v>
      </c>
      <c r="CB20" t="str">
        <f>""</f>
        <v/>
      </c>
      <c r="CC20" t="str">
        <f>""</f>
        <v/>
      </c>
      <c r="CD20" t="str">
        <f>""</f>
        <v/>
      </c>
      <c r="CE20" t="str">
        <f>""</f>
        <v/>
      </c>
      <c r="CF20" t="str">
        <f>""</f>
        <v/>
      </c>
      <c r="CG20" t="str">
        <f>""</f>
        <v/>
      </c>
      <c r="CH20" t="str">
        <f>""</f>
        <v/>
      </c>
    </row>
    <row r="21" spans="1:86" x14ac:dyDescent="0.25">
      <c r="A21" t="s">
        <v>2401</v>
      </c>
      <c r="B21" t="s">
        <v>2402</v>
      </c>
      <c r="C21" t="s">
        <v>1991</v>
      </c>
      <c r="D21" t="s">
        <v>2010</v>
      </c>
      <c r="E21" t="s">
        <v>2403</v>
      </c>
      <c r="H21" t="s">
        <v>2404</v>
      </c>
      <c r="I21" t="s">
        <v>2405</v>
      </c>
      <c r="J21" t="str">
        <f>"22301-2752"</f>
        <v>22301-2752</v>
      </c>
      <c r="K21" t="s">
        <v>1998</v>
      </c>
      <c r="L21" t="s">
        <v>2015</v>
      </c>
      <c r="M21" t="s">
        <v>2406</v>
      </c>
      <c r="N21" t="s">
        <v>1991</v>
      </c>
      <c r="O21" t="s">
        <v>1991</v>
      </c>
      <c r="P21" t="s">
        <v>1992</v>
      </c>
      <c r="Q21" t="s">
        <v>1991</v>
      </c>
      <c r="R21" t="s">
        <v>1991</v>
      </c>
      <c r="S21" t="s">
        <v>1992</v>
      </c>
      <c r="T21" t="s">
        <v>1992</v>
      </c>
      <c r="U21" t="s">
        <v>1991</v>
      </c>
      <c r="V21" t="s">
        <v>1991</v>
      </c>
      <c r="W21" t="s">
        <v>1991</v>
      </c>
      <c r="X21" t="s">
        <v>1991</v>
      </c>
      <c r="Y21" t="s">
        <v>1992</v>
      </c>
      <c r="Z21" t="s">
        <v>1992</v>
      </c>
      <c r="AA21" t="s">
        <v>1991</v>
      </c>
      <c r="AE21" t="s">
        <v>2047</v>
      </c>
      <c r="AF21" t="s">
        <v>2016</v>
      </c>
      <c r="AG21" t="s">
        <v>1991</v>
      </c>
      <c r="AH21">
        <v>60</v>
      </c>
      <c r="AI21">
        <v>30</v>
      </c>
      <c r="AJ21" t="s">
        <v>220</v>
      </c>
      <c r="AK21">
        <v>30</v>
      </c>
      <c r="AL21">
        <v>136974</v>
      </c>
      <c r="AN21" t="s">
        <v>1053</v>
      </c>
      <c r="AO21" t="s">
        <v>1053</v>
      </c>
      <c r="AP21" t="s">
        <v>1053</v>
      </c>
      <c r="AQ21" t="s">
        <v>1053</v>
      </c>
      <c r="AR21" t="s">
        <v>1053</v>
      </c>
      <c r="AS21" t="s">
        <v>2401</v>
      </c>
      <c r="AT21" t="s">
        <v>221</v>
      </c>
      <c r="AU21" t="s">
        <v>1053</v>
      </c>
      <c r="AV21" t="s">
        <v>1053</v>
      </c>
      <c r="AW21" t="s">
        <v>1053</v>
      </c>
      <c r="AX21" t="s">
        <v>1053</v>
      </c>
      <c r="AY21" t="s">
        <v>1053</v>
      </c>
      <c r="AZ21" t="s">
        <v>2401</v>
      </c>
      <c r="BA21" t="s">
        <v>221</v>
      </c>
      <c r="BB21" t="s">
        <v>1053</v>
      </c>
      <c r="BC21" t="s">
        <v>2069</v>
      </c>
      <c r="BD21" t="s">
        <v>1053</v>
      </c>
      <c r="BE21" t="s">
        <v>2069</v>
      </c>
      <c r="BF21" t="s">
        <v>1053</v>
      </c>
      <c r="BG21" t="s">
        <v>222</v>
      </c>
      <c r="BH21" t="s">
        <v>223</v>
      </c>
      <c r="BI21" t="s">
        <v>1053</v>
      </c>
      <c r="BJ21" t="s">
        <v>1053</v>
      </c>
      <c r="BK21" t="s">
        <v>1053</v>
      </c>
      <c r="BL21" t="s">
        <v>1053</v>
      </c>
      <c r="BM21" t="s">
        <v>224</v>
      </c>
      <c r="BN21" t="s">
        <v>225</v>
      </c>
      <c r="BO21" t="s">
        <v>1053</v>
      </c>
      <c r="BP21" t="s">
        <v>2345</v>
      </c>
      <c r="BQ21" t="s">
        <v>2346</v>
      </c>
      <c r="BR21" t="s">
        <v>1053</v>
      </c>
      <c r="BS21" t="s">
        <v>1053</v>
      </c>
      <c r="BT21" t="s">
        <v>1053</v>
      </c>
      <c r="BU21" t="s">
        <v>1053</v>
      </c>
      <c r="BV21" t="s">
        <v>2347</v>
      </c>
      <c r="BW21" t="s">
        <v>226</v>
      </c>
      <c r="BX21" t="str">
        <f>"SMTWTFS 0600-2100"</f>
        <v>SMTWTFS 0600-2100</v>
      </c>
      <c r="BY21" t="str">
        <f>"SMTWTFS 0600-2100"</f>
        <v>SMTWTFS 0600-2100</v>
      </c>
      <c r="BZ21" t="str">
        <f>"SMTWTFS 0600-2100"</f>
        <v>SMTWTFS 0600-2100</v>
      </c>
      <c r="CA21" t="str">
        <f>"SMTWTFS 0600-2100"</f>
        <v>SMTWTFS 0600-2100</v>
      </c>
      <c r="CB21" t="str">
        <f>""</f>
        <v/>
      </c>
      <c r="CC21" t="str">
        <f>"SMTWTFS 0600-2100"</f>
        <v>SMTWTFS 0600-2100</v>
      </c>
      <c r="CD21" t="str">
        <f>""</f>
        <v/>
      </c>
      <c r="CE21" t="str">
        <f>""</f>
        <v/>
      </c>
      <c r="CF21" t="str">
        <f>"SMTWTFS 0600-2100"</f>
        <v>SMTWTFS 0600-2100</v>
      </c>
      <c r="CG21" t="str">
        <f>"SMTWTFS 0600-2100"</f>
        <v>SMTWTFS 0600-2100</v>
      </c>
      <c r="CH21" t="str">
        <f>"SMTWTFS 0000-2359"</f>
        <v>SMTWTFS 0000-2359</v>
      </c>
    </row>
    <row r="22" spans="1:86" x14ac:dyDescent="0.25">
      <c r="A22" t="s">
        <v>227</v>
      </c>
      <c r="B22" t="s">
        <v>228</v>
      </c>
      <c r="C22" t="s">
        <v>1991</v>
      </c>
      <c r="D22" t="s">
        <v>2010</v>
      </c>
      <c r="E22" t="s">
        <v>229</v>
      </c>
      <c r="H22" t="s">
        <v>230</v>
      </c>
      <c r="I22" t="s">
        <v>2295</v>
      </c>
      <c r="J22" t="str">
        <f>"97321-2457"</f>
        <v>97321-2457</v>
      </c>
      <c r="K22" t="s">
        <v>1998</v>
      </c>
      <c r="L22" t="s">
        <v>231</v>
      </c>
      <c r="M22" t="s">
        <v>232</v>
      </c>
      <c r="N22" t="s">
        <v>1991</v>
      </c>
      <c r="O22" t="s">
        <v>1991</v>
      </c>
      <c r="P22" t="s">
        <v>1992</v>
      </c>
      <c r="Q22" t="s">
        <v>1991</v>
      </c>
      <c r="R22" t="s">
        <v>1991</v>
      </c>
      <c r="S22" t="s">
        <v>1992</v>
      </c>
      <c r="T22" t="s">
        <v>1992</v>
      </c>
      <c r="U22" t="s">
        <v>1991</v>
      </c>
      <c r="V22" t="s">
        <v>1991</v>
      </c>
      <c r="W22" t="s">
        <v>1991</v>
      </c>
      <c r="X22" t="s">
        <v>1992</v>
      </c>
      <c r="Y22" t="s">
        <v>1991</v>
      </c>
      <c r="Z22" t="s">
        <v>1991</v>
      </c>
      <c r="AA22" t="s">
        <v>1991</v>
      </c>
      <c r="AE22" t="s">
        <v>2047</v>
      </c>
      <c r="AF22" t="s">
        <v>2064</v>
      </c>
      <c r="AG22" t="s">
        <v>1991</v>
      </c>
      <c r="AH22">
        <v>45</v>
      </c>
      <c r="AI22">
        <v>30</v>
      </c>
      <c r="AJ22" t="s">
        <v>233</v>
      </c>
      <c r="AK22">
        <v>223</v>
      </c>
      <c r="AL22">
        <v>40852</v>
      </c>
      <c r="AN22" t="s">
        <v>1053</v>
      </c>
      <c r="AO22" t="s">
        <v>1053</v>
      </c>
      <c r="AP22" t="s">
        <v>2069</v>
      </c>
      <c r="AQ22" t="s">
        <v>1053</v>
      </c>
      <c r="AR22" t="s">
        <v>2069</v>
      </c>
      <c r="AS22" t="s">
        <v>227</v>
      </c>
      <c r="AT22" t="s">
        <v>234</v>
      </c>
      <c r="AU22" t="s">
        <v>1053</v>
      </c>
      <c r="AV22" t="s">
        <v>1053</v>
      </c>
      <c r="AW22" t="s">
        <v>2069</v>
      </c>
      <c r="AX22" t="s">
        <v>1053</v>
      </c>
      <c r="AY22" t="s">
        <v>2069</v>
      </c>
      <c r="AZ22" t="s">
        <v>227</v>
      </c>
      <c r="BA22" t="s">
        <v>234</v>
      </c>
      <c r="BB22" t="s">
        <v>1053</v>
      </c>
      <c r="BC22" t="s">
        <v>2069</v>
      </c>
      <c r="BD22" t="s">
        <v>1053</v>
      </c>
      <c r="BE22" t="s">
        <v>2069</v>
      </c>
      <c r="BF22" t="s">
        <v>1053</v>
      </c>
      <c r="BG22" t="s">
        <v>235</v>
      </c>
      <c r="BH22" t="s">
        <v>236</v>
      </c>
      <c r="BI22" t="s">
        <v>1053</v>
      </c>
      <c r="BJ22" t="s">
        <v>1053</v>
      </c>
      <c r="BK22" t="s">
        <v>1053</v>
      </c>
      <c r="BL22" t="s">
        <v>1053</v>
      </c>
      <c r="BM22" t="s">
        <v>237</v>
      </c>
      <c r="BN22" t="s">
        <v>238</v>
      </c>
      <c r="BO22" t="s">
        <v>1053</v>
      </c>
      <c r="BP22" t="s">
        <v>239</v>
      </c>
      <c r="BQ22" t="s">
        <v>240</v>
      </c>
      <c r="BR22" t="s">
        <v>1053</v>
      </c>
      <c r="BS22" t="s">
        <v>1053</v>
      </c>
      <c r="BT22" t="s">
        <v>1053</v>
      </c>
      <c r="BU22" t="s">
        <v>1053</v>
      </c>
      <c r="BV22" t="s">
        <v>241</v>
      </c>
      <c r="BW22" t="s">
        <v>242</v>
      </c>
      <c r="BX22" t="str">
        <f>"SMTWTFS 0800-1745"</f>
        <v>SMTWTFS 0800-1745</v>
      </c>
      <c r="BY22" t="str">
        <f>"SMTWTFS 0800-1730"</f>
        <v>SMTWTFS 0800-1730</v>
      </c>
      <c r="BZ22" t="str">
        <f>"SMTWTFS 0915-1715"</f>
        <v>SMTWTFS 0915-1715</v>
      </c>
      <c r="CA22" t="str">
        <f>"SMTWTFS 0800-1745"</f>
        <v>SMTWTFS 0800-1745</v>
      </c>
      <c r="CB22" t="str">
        <f>""</f>
        <v/>
      </c>
      <c r="CC22" t="str">
        <f>"SMTWTFS 0800-1745"</f>
        <v>SMTWTFS 0800-1745</v>
      </c>
      <c r="CD22" t="str">
        <f>""</f>
        <v/>
      </c>
      <c r="CE22" t="str">
        <f>""</f>
        <v/>
      </c>
      <c r="CF22" t="str">
        <f>"SMTWTFS 0800-1730"</f>
        <v>SMTWTFS 0800-1730</v>
      </c>
      <c r="CG22" t="str">
        <f>""</f>
        <v/>
      </c>
      <c r="CH22" t="str">
        <f>""</f>
        <v/>
      </c>
    </row>
    <row r="23" spans="1:86" x14ac:dyDescent="0.25">
      <c r="A23" t="s">
        <v>243</v>
      </c>
      <c r="B23" t="s">
        <v>244</v>
      </c>
      <c r="C23" t="s">
        <v>1992</v>
      </c>
      <c r="D23" t="s">
        <v>2028</v>
      </c>
      <c r="E23" t="s">
        <v>245</v>
      </c>
      <c r="H23" t="s">
        <v>246</v>
      </c>
      <c r="I23" t="s">
        <v>247</v>
      </c>
      <c r="J23" t="str">
        <f>"01002-2318"</f>
        <v>01002-2318</v>
      </c>
      <c r="K23" t="s">
        <v>1998</v>
      </c>
      <c r="L23" t="s">
        <v>2033</v>
      </c>
      <c r="M23" t="s">
        <v>2063</v>
      </c>
      <c r="N23" t="s">
        <v>1992</v>
      </c>
      <c r="O23" t="s">
        <v>1992</v>
      </c>
      <c r="P23" t="s">
        <v>1992</v>
      </c>
      <c r="Q23" t="s">
        <v>1992</v>
      </c>
      <c r="R23" t="s">
        <v>1992</v>
      </c>
      <c r="S23" t="s">
        <v>1992</v>
      </c>
      <c r="T23" t="s">
        <v>1992</v>
      </c>
      <c r="U23" t="s">
        <v>1992</v>
      </c>
      <c r="V23" t="s">
        <v>1991</v>
      </c>
      <c r="W23" t="s">
        <v>1991</v>
      </c>
      <c r="X23" t="s">
        <v>1992</v>
      </c>
      <c r="Y23" t="s">
        <v>1992</v>
      </c>
      <c r="Z23" t="s">
        <v>1992</v>
      </c>
      <c r="AF23" t="s">
        <v>2016</v>
      </c>
      <c r="AG23" t="s">
        <v>1991</v>
      </c>
      <c r="AH23">
        <v>30</v>
      </c>
      <c r="AI23">
        <v>30</v>
      </c>
      <c r="AJ23" t="s">
        <v>248</v>
      </c>
      <c r="AK23">
        <v>258</v>
      </c>
      <c r="AL23">
        <v>34049</v>
      </c>
      <c r="AN23" t="s">
        <v>2066</v>
      </c>
      <c r="AO23" t="s">
        <v>2063</v>
      </c>
      <c r="BF23" t="s">
        <v>1053</v>
      </c>
      <c r="BG23" t="s">
        <v>249</v>
      </c>
      <c r="BH23" t="s">
        <v>250</v>
      </c>
      <c r="BI23" t="s">
        <v>1053</v>
      </c>
      <c r="BJ23" t="s">
        <v>1053</v>
      </c>
      <c r="BK23" t="s">
        <v>1053</v>
      </c>
      <c r="BL23" t="s">
        <v>1053</v>
      </c>
      <c r="BM23" t="s">
        <v>251</v>
      </c>
      <c r="BN23" t="s">
        <v>252</v>
      </c>
      <c r="BO23" t="s">
        <v>1053</v>
      </c>
      <c r="BP23" t="s">
        <v>253</v>
      </c>
      <c r="BQ23" t="s">
        <v>254</v>
      </c>
      <c r="BR23" t="s">
        <v>1053</v>
      </c>
      <c r="BS23" t="s">
        <v>1053</v>
      </c>
      <c r="BT23" t="s">
        <v>1053</v>
      </c>
      <c r="BU23" t="s">
        <v>1053</v>
      </c>
      <c r="BV23" t="s">
        <v>255</v>
      </c>
      <c r="BW23" t="s">
        <v>256</v>
      </c>
      <c r="BX23" t="str">
        <f>"SMTWTFS 1230-1430 1530-1730"</f>
        <v>SMTWTFS 1230-1430 1530-1730</v>
      </c>
      <c r="BY23" t="str">
        <f>""</f>
        <v/>
      </c>
      <c r="BZ23" t="str">
        <f>""</f>
        <v/>
      </c>
      <c r="CA23" t="str">
        <f>""</f>
        <v/>
      </c>
      <c r="CB23" t="str">
        <f>""</f>
        <v/>
      </c>
      <c r="CC23" t="str">
        <f>""</f>
        <v/>
      </c>
      <c r="CD23" t="str">
        <f>""</f>
        <v/>
      </c>
      <c r="CE23" t="str">
        <f>""</f>
        <v/>
      </c>
      <c r="CF23" t="str">
        <f>""</f>
        <v/>
      </c>
      <c r="CG23" t="str">
        <f>""</f>
        <v/>
      </c>
      <c r="CH23" t="str">
        <f>""</f>
        <v/>
      </c>
    </row>
    <row r="24" spans="1:86" x14ac:dyDescent="0.25">
      <c r="A24" t="s">
        <v>257</v>
      </c>
      <c r="B24" t="s">
        <v>258</v>
      </c>
      <c r="C24" t="s">
        <v>1992</v>
      </c>
      <c r="D24" t="s">
        <v>2331</v>
      </c>
      <c r="E24" t="s">
        <v>259</v>
      </c>
      <c r="F24" t="s">
        <v>260</v>
      </c>
      <c r="H24" t="s">
        <v>261</v>
      </c>
      <c r="I24" t="s">
        <v>2321</v>
      </c>
      <c r="J24" t="str">
        <f>"12010-1053"</f>
        <v>12010-1053</v>
      </c>
      <c r="K24" t="s">
        <v>1998</v>
      </c>
      <c r="L24" t="s">
        <v>2033</v>
      </c>
      <c r="M24" t="s">
        <v>2000</v>
      </c>
      <c r="N24" t="s">
        <v>1992</v>
      </c>
      <c r="O24" t="s">
        <v>1992</v>
      </c>
      <c r="P24" t="s">
        <v>1992</v>
      </c>
      <c r="Q24" t="s">
        <v>1992</v>
      </c>
      <c r="R24" t="s">
        <v>1992</v>
      </c>
      <c r="S24" t="s">
        <v>1992</v>
      </c>
      <c r="T24" t="s">
        <v>1992</v>
      </c>
      <c r="U24" t="s">
        <v>1992</v>
      </c>
      <c r="V24" t="s">
        <v>1991</v>
      </c>
      <c r="W24" t="s">
        <v>1991</v>
      </c>
      <c r="X24" t="s">
        <v>1992</v>
      </c>
      <c r="Y24" t="s">
        <v>1992</v>
      </c>
      <c r="Z24" t="s">
        <v>1992</v>
      </c>
      <c r="AF24" t="s">
        <v>2016</v>
      </c>
      <c r="AG24" t="s">
        <v>1991</v>
      </c>
      <c r="AH24">
        <v>30</v>
      </c>
      <c r="AI24">
        <v>30</v>
      </c>
      <c r="AJ24" t="s">
        <v>262</v>
      </c>
      <c r="AK24">
        <v>270</v>
      </c>
      <c r="AL24">
        <v>22000</v>
      </c>
      <c r="AM24" t="s">
        <v>263</v>
      </c>
      <c r="AN24" t="s">
        <v>1053</v>
      </c>
      <c r="AO24" t="s">
        <v>1053</v>
      </c>
      <c r="AU24" t="s">
        <v>1053</v>
      </c>
      <c r="AV24" t="s">
        <v>1053</v>
      </c>
      <c r="AW24" t="s">
        <v>1053</v>
      </c>
      <c r="AX24" t="s">
        <v>1053</v>
      </c>
      <c r="BF24" t="s">
        <v>1053</v>
      </c>
      <c r="BG24" t="s">
        <v>2019</v>
      </c>
      <c r="BH24" t="s">
        <v>264</v>
      </c>
      <c r="BI24" t="s">
        <v>1053</v>
      </c>
      <c r="BJ24" t="s">
        <v>1053</v>
      </c>
      <c r="BK24" t="s">
        <v>1053</v>
      </c>
      <c r="BL24" t="s">
        <v>1053</v>
      </c>
      <c r="BM24" t="s">
        <v>2324</v>
      </c>
      <c r="BN24" t="s">
        <v>2325</v>
      </c>
      <c r="BO24" t="s">
        <v>1053</v>
      </c>
      <c r="BP24" t="s">
        <v>2327</v>
      </c>
      <c r="BQ24" t="s">
        <v>2326</v>
      </c>
      <c r="BR24" t="s">
        <v>1053</v>
      </c>
      <c r="BS24" t="s">
        <v>1053</v>
      </c>
      <c r="BV24" t="s">
        <v>265</v>
      </c>
      <c r="BX24" t="str">
        <f>""</f>
        <v/>
      </c>
      <c r="BY24" t="str">
        <f>""</f>
        <v/>
      </c>
      <c r="BZ24" t="str">
        <f>""</f>
        <v/>
      </c>
      <c r="CA24" t="str">
        <f>""</f>
        <v/>
      </c>
      <c r="CB24" t="str">
        <f>""</f>
        <v/>
      </c>
      <c r="CC24" t="str">
        <f>""</f>
        <v/>
      </c>
      <c r="CD24" t="str">
        <f>""</f>
        <v/>
      </c>
      <c r="CE24" t="str">
        <f>""</f>
        <v/>
      </c>
      <c r="CF24" t="str">
        <f>""</f>
        <v/>
      </c>
      <c r="CG24" t="str">
        <f>""</f>
        <v/>
      </c>
      <c r="CH24" t="str">
        <f>""</f>
        <v/>
      </c>
    </row>
    <row r="25" spans="1:86" x14ac:dyDescent="0.25">
      <c r="A25" t="s">
        <v>266</v>
      </c>
      <c r="B25" t="s">
        <v>267</v>
      </c>
      <c r="C25" t="s">
        <v>1991</v>
      </c>
      <c r="D25" t="s">
        <v>2010</v>
      </c>
      <c r="E25" t="s">
        <v>268</v>
      </c>
      <c r="F25" t="s">
        <v>269</v>
      </c>
      <c r="H25" t="s">
        <v>270</v>
      </c>
      <c r="I25" t="s">
        <v>2061</v>
      </c>
      <c r="J25" t="str">
        <f>"92806"</f>
        <v>92806</v>
      </c>
      <c r="K25" t="s">
        <v>1998</v>
      </c>
      <c r="L25" t="s">
        <v>2045</v>
      </c>
      <c r="M25" t="s">
        <v>271</v>
      </c>
      <c r="N25" t="s">
        <v>1991</v>
      </c>
      <c r="O25" t="s">
        <v>1991</v>
      </c>
      <c r="P25" t="s">
        <v>1991</v>
      </c>
      <c r="Q25" t="s">
        <v>1991</v>
      </c>
      <c r="R25" t="s">
        <v>1992</v>
      </c>
      <c r="S25" t="s">
        <v>1992</v>
      </c>
      <c r="T25" t="s">
        <v>1992</v>
      </c>
      <c r="U25" t="s">
        <v>1991</v>
      </c>
      <c r="V25" t="s">
        <v>1991</v>
      </c>
      <c r="W25" t="s">
        <v>1991</v>
      </c>
      <c r="X25" t="s">
        <v>1991</v>
      </c>
      <c r="Y25" t="s">
        <v>1992</v>
      </c>
      <c r="Z25" t="s">
        <v>1992</v>
      </c>
      <c r="AA25" t="s">
        <v>1992</v>
      </c>
      <c r="AE25" t="s">
        <v>2047</v>
      </c>
      <c r="AF25" t="s">
        <v>2064</v>
      </c>
      <c r="AG25" t="s">
        <v>1991</v>
      </c>
      <c r="AH25">
        <v>45</v>
      </c>
      <c r="AI25">
        <v>30</v>
      </c>
      <c r="AJ25" t="s">
        <v>272</v>
      </c>
      <c r="AK25">
        <v>157</v>
      </c>
      <c r="AL25">
        <v>200100</v>
      </c>
      <c r="AM25" t="s">
        <v>273</v>
      </c>
      <c r="AN25" t="s">
        <v>1053</v>
      </c>
      <c r="AO25" t="s">
        <v>1053</v>
      </c>
      <c r="AP25" t="s">
        <v>2069</v>
      </c>
      <c r="AQ25" t="s">
        <v>1053</v>
      </c>
      <c r="AR25" t="s">
        <v>2069</v>
      </c>
      <c r="AS25" t="s">
        <v>266</v>
      </c>
      <c r="AT25" t="s">
        <v>274</v>
      </c>
      <c r="AU25" t="s">
        <v>1053</v>
      </c>
      <c r="AV25" t="s">
        <v>1053</v>
      </c>
      <c r="AW25" t="s">
        <v>2069</v>
      </c>
      <c r="AX25" t="s">
        <v>1053</v>
      </c>
      <c r="AY25" t="s">
        <v>2069</v>
      </c>
      <c r="AZ25" t="s">
        <v>266</v>
      </c>
      <c r="BA25" t="s">
        <v>274</v>
      </c>
      <c r="BB25" t="s">
        <v>1053</v>
      </c>
      <c r="BC25" t="s">
        <v>2069</v>
      </c>
      <c r="BD25" t="s">
        <v>1053</v>
      </c>
      <c r="BE25" t="s">
        <v>2069</v>
      </c>
      <c r="BF25" t="s">
        <v>1053</v>
      </c>
      <c r="BG25" t="s">
        <v>2067</v>
      </c>
      <c r="BH25" t="s">
        <v>275</v>
      </c>
      <c r="BI25" t="s">
        <v>1053</v>
      </c>
      <c r="BJ25" t="s">
        <v>2069</v>
      </c>
      <c r="BK25" t="s">
        <v>1053</v>
      </c>
      <c r="BL25" t="s">
        <v>2069</v>
      </c>
      <c r="BM25" t="s">
        <v>276</v>
      </c>
      <c r="BN25" t="s">
        <v>277</v>
      </c>
      <c r="BO25" t="s">
        <v>1053</v>
      </c>
      <c r="BP25" t="s">
        <v>2067</v>
      </c>
      <c r="BQ25" t="s">
        <v>275</v>
      </c>
      <c r="BR25" t="s">
        <v>1053</v>
      </c>
      <c r="BX25" t="str">
        <f>"SMTWTFS 0615-2230"</f>
        <v>SMTWTFS 0615-2230</v>
      </c>
      <c r="BY25" t="str">
        <f>"SMTWTFS 0615-2230"</f>
        <v>SMTWTFS 0615-2230</v>
      </c>
      <c r="BZ25" t="str">
        <f>"SMTWTFS 0630-1830 2000-2300"</f>
        <v>SMTWTFS 0630-1830 2000-2300</v>
      </c>
      <c r="CA25" t="str">
        <f>"SMTWTFS 0615-2230"</f>
        <v>SMTWTFS 0615-2230</v>
      </c>
      <c r="CB25" t="str">
        <f>""</f>
        <v/>
      </c>
      <c r="CC25" t="str">
        <f>"SMTWTFS 0615-2230"</f>
        <v>SMTWTFS 0615-2230</v>
      </c>
      <c r="CD25" t="str">
        <f>"SMTWTFS 0000-2359"</f>
        <v>SMTWTFS 0000-2359</v>
      </c>
      <c r="CE25" t="str">
        <f>""</f>
        <v/>
      </c>
      <c r="CF25" t="str">
        <f>""</f>
        <v/>
      </c>
      <c r="CG25" t="str">
        <f>""</f>
        <v/>
      </c>
      <c r="CH25" t="str">
        <f>""</f>
        <v/>
      </c>
    </row>
    <row r="26" spans="1:86" x14ac:dyDescent="0.25">
      <c r="A26" t="s">
        <v>278</v>
      </c>
      <c r="B26" t="s">
        <v>279</v>
      </c>
      <c r="C26" t="s">
        <v>1992</v>
      </c>
      <c r="D26" t="s">
        <v>1993</v>
      </c>
      <c r="E26" t="s">
        <v>280</v>
      </c>
      <c r="F26" t="s">
        <v>281</v>
      </c>
      <c r="H26" t="s">
        <v>282</v>
      </c>
      <c r="I26" t="s">
        <v>1997</v>
      </c>
      <c r="J26" t="str">
        <f>"54911-5448"</f>
        <v>54911-5448</v>
      </c>
      <c r="K26" t="s">
        <v>1998</v>
      </c>
      <c r="L26" t="s">
        <v>1999</v>
      </c>
      <c r="M26" t="s">
        <v>283</v>
      </c>
      <c r="N26" t="s">
        <v>1992</v>
      </c>
      <c r="O26" t="s">
        <v>1992</v>
      </c>
      <c r="P26" t="s">
        <v>1992</v>
      </c>
      <c r="Q26" t="s">
        <v>1992</v>
      </c>
      <c r="R26" t="s">
        <v>1992</v>
      </c>
      <c r="S26" t="s">
        <v>1992</v>
      </c>
      <c r="T26" t="s">
        <v>1992</v>
      </c>
      <c r="U26" t="s">
        <v>1992</v>
      </c>
      <c r="V26" t="s">
        <v>1991</v>
      </c>
      <c r="W26" t="s">
        <v>1992</v>
      </c>
      <c r="X26" t="s">
        <v>1992</v>
      </c>
      <c r="Y26" t="s">
        <v>1992</v>
      </c>
      <c r="Z26" t="s">
        <v>1991</v>
      </c>
      <c r="AF26" t="s">
        <v>2001</v>
      </c>
      <c r="AG26" t="s">
        <v>1991</v>
      </c>
      <c r="AH26">
        <v>30</v>
      </c>
      <c r="AI26">
        <v>30</v>
      </c>
      <c r="AJ26" t="s">
        <v>284</v>
      </c>
      <c r="AK26">
        <v>791</v>
      </c>
      <c r="AL26">
        <v>70191</v>
      </c>
      <c r="AN26" t="s">
        <v>285</v>
      </c>
      <c r="AO26" t="s">
        <v>1053</v>
      </c>
      <c r="BF26" t="s">
        <v>1053</v>
      </c>
      <c r="BG26" t="s">
        <v>2067</v>
      </c>
      <c r="BH26" t="s">
        <v>286</v>
      </c>
      <c r="BI26" t="s">
        <v>1053</v>
      </c>
      <c r="BJ26" t="s">
        <v>2069</v>
      </c>
      <c r="BK26" t="s">
        <v>1053</v>
      </c>
      <c r="BL26" t="s">
        <v>2069</v>
      </c>
      <c r="BM26" t="s">
        <v>287</v>
      </c>
      <c r="BN26" t="s">
        <v>288</v>
      </c>
      <c r="BO26" t="s">
        <v>1053</v>
      </c>
      <c r="BP26" t="s">
        <v>289</v>
      </c>
      <c r="BQ26" t="s">
        <v>290</v>
      </c>
      <c r="BR26" t="s">
        <v>1053</v>
      </c>
      <c r="BS26" t="s">
        <v>1053</v>
      </c>
      <c r="BT26" t="s">
        <v>1053</v>
      </c>
      <c r="BU26" t="s">
        <v>1053</v>
      </c>
      <c r="BX26" t="str">
        <f>"SMTWTFS 0900-1700"</f>
        <v>SMTWTFS 0900-1700</v>
      </c>
      <c r="BY26" t="str">
        <f>""</f>
        <v/>
      </c>
      <c r="BZ26" t="str">
        <f>""</f>
        <v/>
      </c>
      <c r="CA26" t="str">
        <f>""</f>
        <v/>
      </c>
      <c r="CB26" t="str">
        <f>""</f>
        <v/>
      </c>
      <c r="CC26" t="str">
        <f>""</f>
        <v/>
      </c>
      <c r="CD26" t="str">
        <f>""</f>
        <v/>
      </c>
      <c r="CE26" t="str">
        <f>""</f>
        <v/>
      </c>
      <c r="CF26" t="str">
        <f>""</f>
        <v/>
      </c>
      <c r="CG26" t="str">
        <f>""</f>
        <v/>
      </c>
      <c r="CH26" t="str">
        <f>""</f>
        <v/>
      </c>
    </row>
    <row r="27" spans="1:86" x14ac:dyDescent="0.25">
      <c r="A27" t="s">
        <v>291</v>
      </c>
      <c r="B27" t="s">
        <v>292</v>
      </c>
      <c r="C27" t="s">
        <v>1991</v>
      </c>
      <c r="D27" t="s">
        <v>2010</v>
      </c>
      <c r="E27" t="s">
        <v>293</v>
      </c>
      <c r="H27" t="s">
        <v>294</v>
      </c>
      <c r="I27" t="s">
        <v>2352</v>
      </c>
      <c r="J27" t="str">
        <f>"48104"</f>
        <v>48104</v>
      </c>
      <c r="K27" t="s">
        <v>1998</v>
      </c>
      <c r="L27" t="s">
        <v>1999</v>
      </c>
      <c r="M27" t="s">
        <v>295</v>
      </c>
      <c r="N27" t="s">
        <v>1991</v>
      </c>
      <c r="O27" t="s">
        <v>1991</v>
      </c>
      <c r="P27" t="s">
        <v>1992</v>
      </c>
      <c r="Q27" t="s">
        <v>1992</v>
      </c>
      <c r="R27" t="s">
        <v>1992</v>
      </c>
      <c r="S27" t="s">
        <v>1992</v>
      </c>
      <c r="T27" t="s">
        <v>1992</v>
      </c>
      <c r="U27" t="s">
        <v>1991</v>
      </c>
      <c r="V27" t="s">
        <v>1991</v>
      </c>
      <c r="W27" t="s">
        <v>1991</v>
      </c>
      <c r="X27" t="s">
        <v>1992</v>
      </c>
      <c r="Y27" t="s">
        <v>1991</v>
      </c>
      <c r="Z27" t="s">
        <v>1992</v>
      </c>
      <c r="AA27" t="s">
        <v>1992</v>
      </c>
      <c r="AE27" t="s">
        <v>296</v>
      </c>
      <c r="AF27" t="s">
        <v>2016</v>
      </c>
      <c r="AG27" t="s">
        <v>1991</v>
      </c>
      <c r="AH27">
        <v>30</v>
      </c>
      <c r="AI27">
        <v>30</v>
      </c>
      <c r="AJ27" t="s">
        <v>297</v>
      </c>
      <c r="AK27">
        <v>780</v>
      </c>
      <c r="AL27">
        <v>99797</v>
      </c>
      <c r="AM27" t="s">
        <v>298</v>
      </c>
      <c r="AN27" t="s">
        <v>1053</v>
      </c>
      <c r="AO27" t="s">
        <v>1053</v>
      </c>
      <c r="AP27" t="s">
        <v>2069</v>
      </c>
      <c r="AQ27" t="s">
        <v>1053</v>
      </c>
      <c r="AR27" t="s">
        <v>2069</v>
      </c>
      <c r="AS27" t="s">
        <v>291</v>
      </c>
      <c r="AT27" t="s">
        <v>299</v>
      </c>
      <c r="AU27" t="s">
        <v>1053</v>
      </c>
      <c r="AV27" t="s">
        <v>1053</v>
      </c>
      <c r="AW27" t="s">
        <v>2069</v>
      </c>
      <c r="AX27" t="s">
        <v>1053</v>
      </c>
      <c r="AY27" t="s">
        <v>2069</v>
      </c>
      <c r="AZ27" t="s">
        <v>291</v>
      </c>
      <c r="BA27" t="s">
        <v>299</v>
      </c>
      <c r="BB27" t="s">
        <v>1053</v>
      </c>
      <c r="BC27" t="s">
        <v>2069</v>
      </c>
      <c r="BD27" t="s">
        <v>1053</v>
      </c>
      <c r="BE27" t="s">
        <v>2069</v>
      </c>
      <c r="BF27" t="s">
        <v>1053</v>
      </c>
      <c r="BG27" t="s">
        <v>300</v>
      </c>
      <c r="BH27" t="s">
        <v>2312</v>
      </c>
      <c r="BI27" t="s">
        <v>1053</v>
      </c>
      <c r="BJ27" t="s">
        <v>2069</v>
      </c>
      <c r="BK27" t="s">
        <v>1053</v>
      </c>
      <c r="BL27" t="s">
        <v>2069</v>
      </c>
      <c r="BM27" t="s">
        <v>2313</v>
      </c>
      <c r="BN27" t="s">
        <v>2314</v>
      </c>
      <c r="BO27" t="s">
        <v>1053</v>
      </c>
      <c r="BP27" t="s">
        <v>301</v>
      </c>
      <c r="BQ27" t="s">
        <v>2316</v>
      </c>
      <c r="BR27" t="s">
        <v>1053</v>
      </c>
      <c r="BT27" t="s">
        <v>1053</v>
      </c>
      <c r="BX27" t="str">
        <f>"SMTWTFS 0630-2359"</f>
        <v>SMTWTFS 0630-2359</v>
      </c>
      <c r="BY27" t="str">
        <f>""</f>
        <v/>
      </c>
      <c r="BZ27" t="str">
        <f>"SMTWTFS 0630-2359"</f>
        <v>SMTWTFS 0630-2359</v>
      </c>
      <c r="CA27" t="str">
        <f>"SMTWTFS 0630-1500 1530-1930 2000-2330"</f>
        <v>SMTWTFS 0630-1500 1530-1930 2000-2330</v>
      </c>
      <c r="CB27" t="str">
        <f>""</f>
        <v/>
      </c>
      <c r="CC27" t="str">
        <f>"SMTWTFS 0630-2359"</f>
        <v>SMTWTFS 0630-2359</v>
      </c>
      <c r="CD27" t="str">
        <f>""</f>
        <v/>
      </c>
      <c r="CE27" t="str">
        <f>""</f>
        <v/>
      </c>
      <c r="CF27" t="str">
        <f>""</f>
        <v/>
      </c>
      <c r="CG27" t="str">
        <f>""</f>
        <v/>
      </c>
      <c r="CH27" t="str">
        <f>""</f>
        <v/>
      </c>
    </row>
    <row r="28" spans="1:86" x14ac:dyDescent="0.25">
      <c r="A28" t="s">
        <v>302</v>
      </c>
      <c r="B28" t="s">
        <v>303</v>
      </c>
      <c r="C28" t="s">
        <v>1992</v>
      </c>
      <c r="D28" t="s">
        <v>1993</v>
      </c>
      <c r="E28" t="s">
        <v>304</v>
      </c>
      <c r="F28" t="s">
        <v>305</v>
      </c>
      <c r="H28" t="s">
        <v>306</v>
      </c>
      <c r="I28" t="s">
        <v>2061</v>
      </c>
      <c r="J28" t="str">
        <f>"95521-6239"</f>
        <v>95521-6239</v>
      </c>
      <c r="K28" t="s">
        <v>1998</v>
      </c>
      <c r="L28" t="s">
        <v>2062</v>
      </c>
      <c r="M28" t="s">
        <v>2063</v>
      </c>
      <c r="N28" t="s">
        <v>1992</v>
      </c>
      <c r="O28" t="s">
        <v>1992</v>
      </c>
      <c r="P28" t="s">
        <v>1992</v>
      </c>
      <c r="Q28" t="s">
        <v>1992</v>
      </c>
      <c r="R28" t="s">
        <v>1992</v>
      </c>
      <c r="S28" t="s">
        <v>1992</v>
      </c>
      <c r="T28" t="s">
        <v>1992</v>
      </c>
      <c r="U28" t="s">
        <v>1992</v>
      </c>
      <c r="V28" t="s">
        <v>1991</v>
      </c>
      <c r="W28" t="s">
        <v>1992</v>
      </c>
      <c r="X28" t="s">
        <v>1992</v>
      </c>
      <c r="Y28" t="s">
        <v>1991</v>
      </c>
      <c r="Z28" t="s">
        <v>1992</v>
      </c>
      <c r="AF28" t="s">
        <v>2064</v>
      </c>
      <c r="AG28" t="s">
        <v>1991</v>
      </c>
      <c r="AH28">
        <v>30</v>
      </c>
      <c r="AI28">
        <v>30</v>
      </c>
      <c r="AJ28" t="s">
        <v>307</v>
      </c>
      <c r="AK28">
        <v>33</v>
      </c>
      <c r="AL28">
        <v>14140</v>
      </c>
      <c r="AM28" t="s">
        <v>2298</v>
      </c>
      <c r="AN28" t="s">
        <v>308</v>
      </c>
      <c r="AO28" t="s">
        <v>2063</v>
      </c>
      <c r="BF28" t="s">
        <v>1053</v>
      </c>
      <c r="BG28" t="s">
        <v>309</v>
      </c>
      <c r="BH28" t="s">
        <v>2301</v>
      </c>
      <c r="BI28" t="s">
        <v>1053</v>
      </c>
      <c r="BK28" t="s">
        <v>1053</v>
      </c>
      <c r="BO28" t="s">
        <v>1053</v>
      </c>
      <c r="BP28" t="s">
        <v>310</v>
      </c>
      <c r="BQ28" t="s">
        <v>311</v>
      </c>
      <c r="BR28" t="s">
        <v>1053</v>
      </c>
      <c r="BS28" t="s">
        <v>1053</v>
      </c>
      <c r="BT28" t="s">
        <v>1053</v>
      </c>
      <c r="BU28" t="s">
        <v>1053</v>
      </c>
      <c r="BX28" t="str">
        <f>""</f>
        <v/>
      </c>
      <c r="BY28" t="str">
        <f>""</f>
        <v/>
      </c>
      <c r="BZ28" t="str">
        <f>""</f>
        <v/>
      </c>
      <c r="CA28" t="str">
        <f>""</f>
        <v/>
      </c>
      <c r="CB28" t="str">
        <f>""</f>
        <v/>
      </c>
      <c r="CC28" t="str">
        <f>""</f>
        <v/>
      </c>
      <c r="CD28" t="str">
        <f>""</f>
        <v/>
      </c>
      <c r="CE28" t="str">
        <f>""</f>
        <v/>
      </c>
      <c r="CF28" t="str">
        <f>""</f>
        <v/>
      </c>
      <c r="CG28" t="str">
        <f>""</f>
        <v/>
      </c>
      <c r="CH28" t="str">
        <f>""</f>
        <v/>
      </c>
    </row>
    <row r="29" spans="1:86" x14ac:dyDescent="0.25">
      <c r="A29" t="s">
        <v>312</v>
      </c>
      <c r="B29" t="s">
        <v>313</v>
      </c>
      <c r="C29" t="s">
        <v>1992</v>
      </c>
      <c r="D29" t="s">
        <v>2010</v>
      </c>
      <c r="E29" t="s">
        <v>314</v>
      </c>
      <c r="H29" t="s">
        <v>2094</v>
      </c>
      <c r="I29" t="s">
        <v>2388</v>
      </c>
      <c r="J29" t="str">
        <f>"19003"</f>
        <v>19003</v>
      </c>
      <c r="K29" t="s">
        <v>1998</v>
      </c>
      <c r="L29" t="s">
        <v>2015</v>
      </c>
      <c r="M29" t="s">
        <v>2063</v>
      </c>
      <c r="N29" t="s">
        <v>1992</v>
      </c>
      <c r="O29" t="s">
        <v>1991</v>
      </c>
      <c r="P29" t="s">
        <v>1992</v>
      </c>
      <c r="Q29" t="s">
        <v>1992</v>
      </c>
      <c r="R29" t="s">
        <v>1992</v>
      </c>
      <c r="S29" t="s">
        <v>1992</v>
      </c>
      <c r="T29" t="s">
        <v>1992</v>
      </c>
      <c r="U29" t="s">
        <v>1992</v>
      </c>
      <c r="V29" t="s">
        <v>1991</v>
      </c>
      <c r="W29" t="s">
        <v>1991</v>
      </c>
      <c r="X29" t="s">
        <v>1991</v>
      </c>
      <c r="Y29" t="s">
        <v>1992</v>
      </c>
      <c r="Z29" t="s">
        <v>1992</v>
      </c>
      <c r="AE29" t="s">
        <v>315</v>
      </c>
      <c r="AF29" t="s">
        <v>2016</v>
      </c>
      <c r="AG29" t="s">
        <v>1991</v>
      </c>
      <c r="AH29">
        <v>30</v>
      </c>
      <c r="AI29">
        <v>30</v>
      </c>
      <c r="AJ29" t="s">
        <v>316</v>
      </c>
      <c r="AK29">
        <v>358</v>
      </c>
      <c r="AL29">
        <v>12616</v>
      </c>
      <c r="AN29" t="s">
        <v>2066</v>
      </c>
      <c r="AO29" t="s">
        <v>2063</v>
      </c>
      <c r="BF29" t="s">
        <v>1053</v>
      </c>
      <c r="BG29" t="s">
        <v>317</v>
      </c>
      <c r="BH29" t="s">
        <v>318</v>
      </c>
      <c r="BI29" t="s">
        <v>1053</v>
      </c>
      <c r="BJ29" t="s">
        <v>1053</v>
      </c>
      <c r="BK29" t="s">
        <v>1053</v>
      </c>
      <c r="BL29" t="s">
        <v>1053</v>
      </c>
      <c r="BM29" t="s">
        <v>319</v>
      </c>
      <c r="BN29" t="s">
        <v>226</v>
      </c>
      <c r="BO29" t="s">
        <v>1053</v>
      </c>
      <c r="BP29" t="s">
        <v>320</v>
      </c>
      <c r="BQ29" t="s">
        <v>318</v>
      </c>
      <c r="BR29" t="s">
        <v>1053</v>
      </c>
      <c r="BS29" t="s">
        <v>1053</v>
      </c>
      <c r="BT29" t="s">
        <v>1053</v>
      </c>
      <c r="BU29" t="s">
        <v>1053</v>
      </c>
      <c r="BV29" t="s">
        <v>319</v>
      </c>
      <c r="BW29" t="s">
        <v>226</v>
      </c>
      <c r="BX29" t="str">
        <f>"-MTWTF- 0600-1300"</f>
        <v>-MTWTF- 0600-1300</v>
      </c>
      <c r="BY29" t="str">
        <f>""</f>
        <v/>
      </c>
      <c r="BZ29" t="str">
        <f>""</f>
        <v/>
      </c>
      <c r="CA29" t="str">
        <f>""</f>
        <v/>
      </c>
      <c r="CB29" t="str">
        <f>""</f>
        <v/>
      </c>
      <c r="CC29" t="str">
        <f>"-MTWTF- 0600-1300"</f>
        <v>-MTWTF- 0600-1300</v>
      </c>
      <c r="CD29" t="str">
        <f>""</f>
        <v/>
      </c>
      <c r="CE29" t="str">
        <f>""</f>
        <v/>
      </c>
      <c r="CF29" t="str">
        <f>""</f>
        <v/>
      </c>
      <c r="CG29" t="str">
        <f>""</f>
        <v/>
      </c>
      <c r="CH29" t="str">
        <f>""</f>
        <v/>
      </c>
    </row>
    <row r="30" spans="1:86" x14ac:dyDescent="0.25">
      <c r="A30" t="s">
        <v>321</v>
      </c>
      <c r="B30" t="s">
        <v>322</v>
      </c>
      <c r="C30" t="s">
        <v>1992</v>
      </c>
      <c r="D30" t="s">
        <v>1993</v>
      </c>
      <c r="E30" t="s">
        <v>323</v>
      </c>
      <c r="F30" t="s">
        <v>324</v>
      </c>
      <c r="H30" t="s">
        <v>325</v>
      </c>
      <c r="I30" t="s">
        <v>2295</v>
      </c>
      <c r="J30" t="str">
        <f>"97103"</f>
        <v>97103</v>
      </c>
      <c r="K30" t="s">
        <v>1998</v>
      </c>
      <c r="L30" t="s">
        <v>2062</v>
      </c>
      <c r="M30" t="s">
        <v>326</v>
      </c>
      <c r="N30" t="s">
        <v>1992</v>
      </c>
      <c r="O30" t="s">
        <v>1992</v>
      </c>
      <c r="P30" t="s">
        <v>1992</v>
      </c>
      <c r="Q30" t="s">
        <v>1992</v>
      </c>
      <c r="R30" t="s">
        <v>1992</v>
      </c>
      <c r="S30" t="s">
        <v>1992</v>
      </c>
      <c r="T30" t="s">
        <v>1992</v>
      </c>
      <c r="U30" t="s">
        <v>1992</v>
      </c>
      <c r="V30" t="s">
        <v>1991</v>
      </c>
      <c r="W30" t="s">
        <v>1992</v>
      </c>
      <c r="X30" t="s">
        <v>1992</v>
      </c>
      <c r="Y30" t="s">
        <v>1991</v>
      </c>
      <c r="Z30" t="s">
        <v>1992</v>
      </c>
      <c r="AA30" t="s">
        <v>1992</v>
      </c>
      <c r="AB30" t="s">
        <v>327</v>
      </c>
      <c r="AE30" t="s">
        <v>328</v>
      </c>
      <c r="AF30" t="s">
        <v>2064</v>
      </c>
      <c r="AG30" t="s">
        <v>1991</v>
      </c>
      <c r="AH30">
        <v>30</v>
      </c>
      <c r="AI30">
        <v>30</v>
      </c>
      <c r="AJ30" t="s">
        <v>329</v>
      </c>
      <c r="AK30">
        <v>21</v>
      </c>
      <c r="AL30">
        <v>9813</v>
      </c>
      <c r="AN30" t="s">
        <v>1053</v>
      </c>
      <c r="AO30" t="s">
        <v>1053</v>
      </c>
      <c r="BF30" t="s">
        <v>1053</v>
      </c>
      <c r="BG30" t="s">
        <v>330</v>
      </c>
      <c r="BH30" t="s">
        <v>331</v>
      </c>
      <c r="BI30" t="s">
        <v>1053</v>
      </c>
      <c r="BK30" t="s">
        <v>1053</v>
      </c>
      <c r="BX30" t="str">
        <f>"SMTWTFS 0700-1100"</f>
        <v>SMTWTFS 0700-1100</v>
      </c>
      <c r="BY30" t="str">
        <f>""</f>
        <v/>
      </c>
      <c r="BZ30" t="str">
        <f>""</f>
        <v/>
      </c>
      <c r="CA30" t="str">
        <f>""</f>
        <v/>
      </c>
      <c r="CB30" t="str">
        <f>""</f>
        <v/>
      </c>
      <c r="CC30" t="str">
        <f>""</f>
        <v/>
      </c>
      <c r="CD30" t="str">
        <f>""</f>
        <v/>
      </c>
      <c r="CE30" t="str">
        <f>""</f>
        <v/>
      </c>
      <c r="CF30" t="str">
        <f>""</f>
        <v/>
      </c>
      <c r="CG30" t="str">
        <f>""</f>
        <v/>
      </c>
      <c r="CH30" t="str">
        <f>""</f>
        <v/>
      </c>
    </row>
    <row r="31" spans="1:86" x14ac:dyDescent="0.25">
      <c r="A31" t="s">
        <v>332</v>
      </c>
      <c r="B31" t="s">
        <v>333</v>
      </c>
      <c r="C31" t="s">
        <v>1992</v>
      </c>
      <c r="D31" t="s">
        <v>2028</v>
      </c>
      <c r="E31" t="s">
        <v>334</v>
      </c>
      <c r="H31" t="s">
        <v>335</v>
      </c>
      <c r="I31" t="s">
        <v>336</v>
      </c>
      <c r="J31" t="str">
        <f>"71923-6237"</f>
        <v>71923-6237</v>
      </c>
      <c r="K31" t="s">
        <v>1998</v>
      </c>
      <c r="L31" t="s">
        <v>1999</v>
      </c>
      <c r="M31" t="s">
        <v>2063</v>
      </c>
      <c r="N31" t="s">
        <v>1992</v>
      </c>
      <c r="O31" t="s">
        <v>1992</v>
      </c>
      <c r="P31" t="s">
        <v>1992</v>
      </c>
      <c r="Q31" t="s">
        <v>1992</v>
      </c>
      <c r="R31" t="s">
        <v>1992</v>
      </c>
      <c r="S31" t="s">
        <v>1992</v>
      </c>
      <c r="T31" t="s">
        <v>1992</v>
      </c>
      <c r="U31" t="s">
        <v>1992</v>
      </c>
      <c r="V31" t="s">
        <v>1991</v>
      </c>
      <c r="W31" t="s">
        <v>1991</v>
      </c>
      <c r="X31" t="s">
        <v>1992</v>
      </c>
      <c r="Y31" t="s">
        <v>1992</v>
      </c>
      <c r="Z31" t="s">
        <v>1992</v>
      </c>
      <c r="AF31" t="s">
        <v>2001</v>
      </c>
      <c r="AG31" t="s">
        <v>1991</v>
      </c>
      <c r="AH31">
        <v>30</v>
      </c>
      <c r="AI31">
        <v>30</v>
      </c>
      <c r="AJ31" t="s">
        <v>337</v>
      </c>
      <c r="AK31">
        <v>192</v>
      </c>
      <c r="AL31">
        <v>10475</v>
      </c>
      <c r="AN31" t="s">
        <v>338</v>
      </c>
      <c r="AO31" t="s">
        <v>2063</v>
      </c>
      <c r="BF31" t="s">
        <v>1053</v>
      </c>
      <c r="BG31" t="s">
        <v>2371</v>
      </c>
      <c r="BH31" t="s">
        <v>339</v>
      </c>
      <c r="BI31" t="s">
        <v>1053</v>
      </c>
      <c r="BJ31" t="s">
        <v>1053</v>
      </c>
      <c r="BK31" t="s">
        <v>1053</v>
      </c>
      <c r="BL31" t="s">
        <v>1053</v>
      </c>
      <c r="BM31" t="s">
        <v>2373</v>
      </c>
      <c r="BN31" t="s">
        <v>2374</v>
      </c>
      <c r="BO31" t="s">
        <v>1053</v>
      </c>
      <c r="BP31" t="s">
        <v>340</v>
      </c>
      <c r="BQ31" t="s">
        <v>2376</v>
      </c>
      <c r="BR31" t="s">
        <v>1053</v>
      </c>
      <c r="BX31" t="str">
        <f>"SMTWTFS 0518-2125"</f>
        <v>SMTWTFS 0518-2125</v>
      </c>
      <c r="BY31" t="str">
        <f>""</f>
        <v/>
      </c>
      <c r="BZ31" t="str">
        <f>""</f>
        <v/>
      </c>
      <c r="CA31" t="str">
        <f>""</f>
        <v/>
      </c>
      <c r="CB31" t="str">
        <f>""</f>
        <v/>
      </c>
      <c r="CC31" t="str">
        <f>""</f>
        <v/>
      </c>
      <c r="CD31" t="str">
        <f>""</f>
        <v/>
      </c>
      <c r="CE31" t="str">
        <f>""</f>
        <v/>
      </c>
      <c r="CF31" t="str">
        <f>""</f>
        <v/>
      </c>
      <c r="CG31" t="str">
        <f>""</f>
        <v/>
      </c>
      <c r="CH31" t="str">
        <f>""</f>
        <v/>
      </c>
    </row>
    <row r="32" spans="1:86" x14ac:dyDescent="0.25">
      <c r="A32" t="s">
        <v>341</v>
      </c>
      <c r="B32" t="s">
        <v>342</v>
      </c>
      <c r="C32" t="s">
        <v>1992</v>
      </c>
      <c r="D32" t="s">
        <v>2028</v>
      </c>
      <c r="E32" t="s">
        <v>343</v>
      </c>
      <c r="F32" t="s">
        <v>344</v>
      </c>
      <c r="H32" t="s">
        <v>345</v>
      </c>
      <c r="I32" t="s">
        <v>2061</v>
      </c>
      <c r="J32" t="str">
        <f>"95603"</f>
        <v>95603</v>
      </c>
      <c r="K32" t="s">
        <v>1998</v>
      </c>
      <c r="L32" t="s">
        <v>2062</v>
      </c>
      <c r="M32" t="s">
        <v>2063</v>
      </c>
      <c r="N32" t="s">
        <v>1992</v>
      </c>
      <c r="O32" t="s">
        <v>1991</v>
      </c>
      <c r="P32" t="s">
        <v>1992</v>
      </c>
      <c r="Q32" t="s">
        <v>1992</v>
      </c>
      <c r="R32" t="s">
        <v>1992</v>
      </c>
      <c r="S32" t="s">
        <v>1992</v>
      </c>
      <c r="T32" t="s">
        <v>1992</v>
      </c>
      <c r="U32" t="s">
        <v>1992</v>
      </c>
      <c r="V32" t="s">
        <v>1991</v>
      </c>
      <c r="W32" t="s">
        <v>1991</v>
      </c>
      <c r="X32" t="s">
        <v>1992</v>
      </c>
      <c r="Y32" t="s">
        <v>1991</v>
      </c>
      <c r="Z32" t="s">
        <v>1992</v>
      </c>
      <c r="AA32" t="s">
        <v>1992</v>
      </c>
      <c r="AF32" t="s">
        <v>2064</v>
      </c>
      <c r="AG32" t="s">
        <v>1991</v>
      </c>
      <c r="AH32">
        <v>30</v>
      </c>
      <c r="AI32">
        <v>30</v>
      </c>
      <c r="AJ32" t="s">
        <v>346</v>
      </c>
      <c r="AK32">
        <v>1271</v>
      </c>
      <c r="AL32">
        <v>13000</v>
      </c>
      <c r="AM32" t="s">
        <v>2298</v>
      </c>
      <c r="AN32" t="s">
        <v>2066</v>
      </c>
      <c r="AO32" t="s">
        <v>2063</v>
      </c>
      <c r="BF32" t="s">
        <v>1053</v>
      </c>
      <c r="BG32" t="s">
        <v>347</v>
      </c>
      <c r="BH32" t="s">
        <v>348</v>
      </c>
      <c r="BI32" t="s">
        <v>1053</v>
      </c>
      <c r="BK32" t="s">
        <v>1053</v>
      </c>
      <c r="BO32" t="s">
        <v>1053</v>
      </c>
      <c r="BP32" t="s">
        <v>349</v>
      </c>
      <c r="BQ32" t="s">
        <v>348</v>
      </c>
      <c r="BR32" t="s">
        <v>1053</v>
      </c>
      <c r="BT32" t="s">
        <v>1053</v>
      </c>
      <c r="BX32" t="str">
        <f>""</f>
        <v/>
      </c>
      <c r="BY32" t="str">
        <f>""</f>
        <v/>
      </c>
      <c r="BZ32" t="str">
        <f>""</f>
        <v/>
      </c>
      <c r="CA32" t="str">
        <f>""</f>
        <v/>
      </c>
      <c r="CB32" t="str">
        <f>""</f>
        <v/>
      </c>
      <c r="CC32" t="str">
        <f>"SMTWTFS 0000-2359"</f>
        <v>SMTWTFS 0000-2359</v>
      </c>
      <c r="CD32" t="str">
        <f>""</f>
        <v/>
      </c>
      <c r="CE32" t="str">
        <f>""</f>
        <v/>
      </c>
      <c r="CF32" t="str">
        <f>""</f>
        <v/>
      </c>
      <c r="CG32" t="str">
        <f>""</f>
        <v/>
      </c>
      <c r="CH32" t="str">
        <f>""</f>
        <v/>
      </c>
    </row>
    <row r="33" spans="1:86" x14ac:dyDescent="0.25">
      <c r="A33" t="s">
        <v>350</v>
      </c>
      <c r="B33" t="s">
        <v>351</v>
      </c>
      <c r="C33" t="s">
        <v>1992</v>
      </c>
      <c r="D33" t="s">
        <v>1993</v>
      </c>
      <c r="E33" t="s">
        <v>352</v>
      </c>
      <c r="F33" t="s">
        <v>353</v>
      </c>
      <c r="H33" t="s">
        <v>325</v>
      </c>
      <c r="I33" t="s">
        <v>2295</v>
      </c>
      <c r="J33" t="str">
        <f>"97103"</f>
        <v>97103</v>
      </c>
      <c r="K33" t="s">
        <v>1998</v>
      </c>
      <c r="L33" t="s">
        <v>231</v>
      </c>
      <c r="M33" t="s">
        <v>354</v>
      </c>
      <c r="N33" t="s">
        <v>1992</v>
      </c>
      <c r="O33" t="s">
        <v>1992</v>
      </c>
      <c r="P33" t="s">
        <v>1992</v>
      </c>
      <c r="Q33" t="s">
        <v>1992</v>
      </c>
      <c r="R33" t="s">
        <v>1992</v>
      </c>
      <c r="S33" t="s">
        <v>1992</v>
      </c>
      <c r="T33" t="s">
        <v>1992</v>
      </c>
      <c r="U33" t="s">
        <v>1992</v>
      </c>
      <c r="V33" t="s">
        <v>1991</v>
      </c>
      <c r="W33" t="s">
        <v>1992</v>
      </c>
      <c r="X33" t="s">
        <v>1992</v>
      </c>
      <c r="Y33" t="s">
        <v>1991</v>
      </c>
      <c r="Z33" t="s">
        <v>1992</v>
      </c>
      <c r="AA33" t="s">
        <v>1991</v>
      </c>
      <c r="AE33" t="s">
        <v>355</v>
      </c>
      <c r="AF33" t="s">
        <v>2064</v>
      </c>
      <c r="AG33" t="s">
        <v>1991</v>
      </c>
      <c r="AH33">
        <v>30</v>
      </c>
      <c r="AI33">
        <v>30</v>
      </c>
      <c r="AJ33" t="s">
        <v>356</v>
      </c>
      <c r="AK33">
        <v>10</v>
      </c>
      <c r="AN33" t="s">
        <v>357</v>
      </c>
      <c r="AO33" t="s">
        <v>2063</v>
      </c>
      <c r="BF33" t="s">
        <v>1053</v>
      </c>
      <c r="BG33" t="s">
        <v>330</v>
      </c>
      <c r="BH33" t="s">
        <v>331</v>
      </c>
      <c r="BI33" t="s">
        <v>1053</v>
      </c>
      <c r="BK33" t="s">
        <v>1053</v>
      </c>
      <c r="BO33" t="s">
        <v>1053</v>
      </c>
      <c r="BP33" t="s">
        <v>358</v>
      </c>
      <c r="BQ33" t="s">
        <v>359</v>
      </c>
      <c r="BR33" t="s">
        <v>1053</v>
      </c>
      <c r="BS33" t="s">
        <v>1053</v>
      </c>
      <c r="BX33" t="str">
        <f>"-MTWTFS 0730-1800"</f>
        <v>-MTWTFS 0730-1800</v>
      </c>
      <c r="BY33" t="str">
        <f>""</f>
        <v/>
      </c>
      <c r="BZ33" t="str">
        <f>""</f>
        <v/>
      </c>
      <c r="CA33" t="str">
        <f>""</f>
        <v/>
      </c>
      <c r="CB33" t="str">
        <f>""</f>
        <v/>
      </c>
      <c r="CC33" t="str">
        <f>""</f>
        <v/>
      </c>
      <c r="CD33" t="str">
        <f>""</f>
        <v/>
      </c>
      <c r="CE33" t="str">
        <f>""</f>
        <v/>
      </c>
      <c r="CF33" t="str">
        <f>""</f>
        <v/>
      </c>
      <c r="CG33" t="str">
        <f>""</f>
        <v/>
      </c>
      <c r="CH33" t="str">
        <f>""</f>
        <v/>
      </c>
    </row>
    <row r="34" spans="1:86" x14ac:dyDescent="0.25">
      <c r="A34" t="s">
        <v>360</v>
      </c>
      <c r="B34" t="s">
        <v>361</v>
      </c>
      <c r="C34" t="s">
        <v>1992</v>
      </c>
      <c r="D34" t="s">
        <v>2028</v>
      </c>
      <c r="E34" t="s">
        <v>362</v>
      </c>
      <c r="H34" t="s">
        <v>2294</v>
      </c>
      <c r="I34" t="s">
        <v>2405</v>
      </c>
      <c r="J34" t="str">
        <f>"23005"</f>
        <v>23005</v>
      </c>
      <c r="K34" t="s">
        <v>1998</v>
      </c>
      <c r="L34" t="s">
        <v>2015</v>
      </c>
      <c r="M34" t="s">
        <v>2063</v>
      </c>
      <c r="N34" t="s">
        <v>1992</v>
      </c>
      <c r="O34" t="s">
        <v>1992</v>
      </c>
      <c r="P34" t="s">
        <v>1992</v>
      </c>
      <c r="Q34" t="s">
        <v>1992</v>
      </c>
      <c r="R34" t="s">
        <v>1992</v>
      </c>
      <c r="S34" t="s">
        <v>1992</v>
      </c>
      <c r="T34" t="s">
        <v>1992</v>
      </c>
      <c r="U34" t="s">
        <v>1992</v>
      </c>
      <c r="V34" t="s">
        <v>1991</v>
      </c>
      <c r="W34" t="s">
        <v>1991</v>
      </c>
      <c r="X34" t="s">
        <v>1992</v>
      </c>
      <c r="Y34" t="s">
        <v>1992</v>
      </c>
      <c r="Z34" t="s">
        <v>1992</v>
      </c>
      <c r="AF34" t="s">
        <v>2016</v>
      </c>
      <c r="AG34" t="s">
        <v>1991</v>
      </c>
      <c r="AH34">
        <v>30</v>
      </c>
      <c r="AI34">
        <v>30</v>
      </c>
      <c r="AJ34" t="s">
        <v>363</v>
      </c>
      <c r="AK34">
        <v>212</v>
      </c>
      <c r="AL34">
        <v>5800</v>
      </c>
      <c r="AN34" t="s">
        <v>2066</v>
      </c>
      <c r="AO34" t="s">
        <v>2063</v>
      </c>
      <c r="BF34" t="s">
        <v>1053</v>
      </c>
      <c r="BG34" t="s">
        <v>364</v>
      </c>
      <c r="BH34" t="s">
        <v>365</v>
      </c>
      <c r="BI34" t="s">
        <v>1053</v>
      </c>
      <c r="BJ34" t="s">
        <v>1053</v>
      </c>
      <c r="BK34" t="s">
        <v>1053</v>
      </c>
      <c r="BL34" t="s">
        <v>1053</v>
      </c>
      <c r="BM34" t="s">
        <v>2343</v>
      </c>
      <c r="BN34" t="s">
        <v>2344</v>
      </c>
      <c r="BO34" t="s">
        <v>1053</v>
      </c>
      <c r="BP34" t="s">
        <v>366</v>
      </c>
      <c r="BQ34" t="s">
        <v>367</v>
      </c>
      <c r="BR34" t="s">
        <v>1053</v>
      </c>
      <c r="BS34" t="s">
        <v>1053</v>
      </c>
      <c r="BT34" t="s">
        <v>1053</v>
      </c>
      <c r="BU34" t="s">
        <v>1053</v>
      </c>
      <c r="BV34" t="s">
        <v>2347</v>
      </c>
      <c r="BW34" t="s">
        <v>226</v>
      </c>
      <c r="BX34" t="str">
        <f>""</f>
        <v/>
      </c>
      <c r="BY34" t="str">
        <f>""</f>
        <v/>
      </c>
      <c r="BZ34" t="str">
        <f>""</f>
        <v/>
      </c>
      <c r="CA34" t="str">
        <f>""</f>
        <v/>
      </c>
      <c r="CB34" t="str">
        <f>""</f>
        <v/>
      </c>
      <c r="CC34" t="str">
        <f>""</f>
        <v/>
      </c>
      <c r="CD34" t="str">
        <f>""</f>
        <v/>
      </c>
      <c r="CE34" t="str">
        <f>""</f>
        <v/>
      </c>
      <c r="CF34" t="str">
        <f>""</f>
        <v/>
      </c>
      <c r="CG34" t="str">
        <f>""</f>
        <v/>
      </c>
      <c r="CH34" t="str">
        <f>""</f>
        <v/>
      </c>
    </row>
    <row r="35" spans="1:86" x14ac:dyDescent="0.25">
      <c r="A35" t="s">
        <v>368</v>
      </c>
      <c r="B35" t="s">
        <v>369</v>
      </c>
      <c r="C35" t="s">
        <v>1991</v>
      </c>
      <c r="D35" t="s">
        <v>2010</v>
      </c>
      <c r="E35" t="s">
        <v>370</v>
      </c>
      <c r="H35" t="s">
        <v>371</v>
      </c>
      <c r="I35" t="s">
        <v>372</v>
      </c>
      <c r="J35" t="str">
        <f>"L7T 4A8"</f>
        <v>L7T 4A8</v>
      </c>
      <c r="K35" t="s">
        <v>373</v>
      </c>
      <c r="L35" t="s">
        <v>374</v>
      </c>
      <c r="M35" t="s">
        <v>375</v>
      </c>
      <c r="N35" t="s">
        <v>1991</v>
      </c>
      <c r="O35" t="s">
        <v>1992</v>
      </c>
      <c r="P35" t="s">
        <v>1992</v>
      </c>
      <c r="Q35" t="s">
        <v>1992</v>
      </c>
      <c r="R35" t="s">
        <v>1992</v>
      </c>
      <c r="S35" t="s">
        <v>1992</v>
      </c>
      <c r="T35" t="s">
        <v>1992</v>
      </c>
      <c r="U35" t="s">
        <v>1992</v>
      </c>
      <c r="V35" t="s">
        <v>1991</v>
      </c>
      <c r="W35" t="s">
        <v>1991</v>
      </c>
      <c r="X35" t="s">
        <v>1991</v>
      </c>
      <c r="Y35" t="s">
        <v>1992</v>
      </c>
      <c r="Z35" t="s">
        <v>1992</v>
      </c>
      <c r="AC35" t="s">
        <v>376</v>
      </c>
      <c r="AD35" t="s">
        <v>377</v>
      </c>
      <c r="AE35" t="s">
        <v>296</v>
      </c>
      <c r="AF35" t="s">
        <v>2016</v>
      </c>
      <c r="AG35" t="s">
        <v>1991</v>
      </c>
      <c r="AH35">
        <v>30</v>
      </c>
      <c r="AI35">
        <v>30</v>
      </c>
      <c r="AJ35" t="s">
        <v>378</v>
      </c>
      <c r="AK35">
        <v>351</v>
      </c>
      <c r="AL35">
        <v>3868</v>
      </c>
      <c r="AM35" t="s">
        <v>379</v>
      </c>
      <c r="AN35" t="s">
        <v>380</v>
      </c>
      <c r="AO35" t="s">
        <v>1053</v>
      </c>
      <c r="AP35" t="s">
        <v>2069</v>
      </c>
      <c r="AQ35" t="s">
        <v>2063</v>
      </c>
      <c r="AR35" t="s">
        <v>2069</v>
      </c>
      <c r="AS35">
        <v>0</v>
      </c>
      <c r="AT35" t="s">
        <v>357</v>
      </c>
      <c r="AU35" t="s">
        <v>380</v>
      </c>
      <c r="AV35" t="s">
        <v>1053</v>
      </c>
      <c r="AW35" t="s">
        <v>2069</v>
      </c>
      <c r="AX35" t="s">
        <v>2063</v>
      </c>
      <c r="AY35" t="s">
        <v>2069</v>
      </c>
      <c r="AZ35">
        <v>0</v>
      </c>
      <c r="BA35" t="s">
        <v>357</v>
      </c>
      <c r="BB35" t="s">
        <v>1053</v>
      </c>
      <c r="BC35" t="s">
        <v>2069</v>
      </c>
      <c r="BD35" t="s">
        <v>1053</v>
      </c>
      <c r="BE35" t="s">
        <v>2069</v>
      </c>
      <c r="BF35" t="s">
        <v>1053</v>
      </c>
      <c r="BG35" t="s">
        <v>381</v>
      </c>
      <c r="BH35" t="s">
        <v>382</v>
      </c>
      <c r="BI35" t="s">
        <v>1053</v>
      </c>
      <c r="BJ35" t="s">
        <v>2069</v>
      </c>
      <c r="BK35" t="s">
        <v>1053</v>
      </c>
      <c r="BL35" t="s">
        <v>2069</v>
      </c>
      <c r="BM35" t="s">
        <v>383</v>
      </c>
      <c r="BN35" t="s">
        <v>226</v>
      </c>
      <c r="BO35" t="s">
        <v>1053</v>
      </c>
      <c r="BP35" t="s">
        <v>384</v>
      </c>
      <c r="BQ35" t="s">
        <v>382</v>
      </c>
      <c r="BR35" t="s">
        <v>1053</v>
      </c>
      <c r="BS35" t="s">
        <v>2069</v>
      </c>
      <c r="BT35" t="s">
        <v>1053</v>
      </c>
      <c r="BU35" t="s">
        <v>2069</v>
      </c>
      <c r="BV35" t="s">
        <v>383</v>
      </c>
      <c r="BW35" t="s">
        <v>226</v>
      </c>
      <c r="BX35" t="str">
        <f>"S------ 0730-2200; -MTWT-- 0530-1300 1430-2200; -----F- 0530-2200; ------S 0630-2100"</f>
        <v>S------ 0730-2200; -MTWT-- 0530-1300 1430-2200; -----F- 0530-2200; ------S 0630-2100</v>
      </c>
      <c r="BY35" t="str">
        <f>""</f>
        <v/>
      </c>
      <c r="BZ35" t="str">
        <f>"S------ 0730-2255; -MTWTF- 0530-2230; ------S 0600-2145"</f>
        <v>S------ 0730-2255; -MTWTF- 0530-2230; ------S 0600-2145</v>
      </c>
      <c r="CA35" t="str">
        <f>""</f>
        <v/>
      </c>
      <c r="CB35" t="str">
        <f>"S------ 0730-2200; -MTWT-- 0530-1300 1430-2200; -----F- 0530-2200; ------S 0630-2100"</f>
        <v>S------ 0730-2200; -MTWT-- 0530-1300 1430-2200; -----F- 0530-2200; ------S 0630-2100</v>
      </c>
      <c r="CC35" t="str">
        <f>""</f>
        <v/>
      </c>
      <c r="CD35" t="str">
        <f>""</f>
        <v/>
      </c>
      <c r="CE35" t="str">
        <f>""</f>
        <v/>
      </c>
      <c r="CF35" t="str">
        <f>""</f>
        <v/>
      </c>
      <c r="CG35" t="str">
        <f>""</f>
        <v/>
      </c>
      <c r="CH35" t="str">
        <f>""</f>
        <v/>
      </c>
    </row>
    <row r="36" spans="1:86" x14ac:dyDescent="0.25">
      <c r="A36" t="s">
        <v>385</v>
      </c>
      <c r="B36" t="s">
        <v>386</v>
      </c>
      <c r="C36" t="s">
        <v>1992</v>
      </c>
      <c r="D36" t="s">
        <v>1993</v>
      </c>
      <c r="E36" t="s">
        <v>387</v>
      </c>
      <c r="F36" t="s">
        <v>388</v>
      </c>
      <c r="G36" t="s">
        <v>389</v>
      </c>
      <c r="H36" t="s">
        <v>390</v>
      </c>
      <c r="I36" t="s">
        <v>2061</v>
      </c>
      <c r="J36" t="str">
        <f>"93422"</f>
        <v>93422</v>
      </c>
      <c r="K36" t="s">
        <v>1998</v>
      </c>
      <c r="L36" t="s">
        <v>2062</v>
      </c>
      <c r="M36" t="s">
        <v>2000</v>
      </c>
      <c r="N36" t="s">
        <v>1992</v>
      </c>
      <c r="O36" t="s">
        <v>1992</v>
      </c>
      <c r="P36" t="s">
        <v>1992</v>
      </c>
      <c r="Q36" t="s">
        <v>1992</v>
      </c>
      <c r="R36" t="s">
        <v>1992</v>
      </c>
      <c r="S36" t="s">
        <v>1992</v>
      </c>
      <c r="T36" t="s">
        <v>1992</v>
      </c>
      <c r="U36" t="s">
        <v>1992</v>
      </c>
      <c r="V36" t="s">
        <v>1991</v>
      </c>
      <c r="W36" t="s">
        <v>1992</v>
      </c>
      <c r="X36" t="s">
        <v>1992</v>
      </c>
      <c r="Y36" t="s">
        <v>1991</v>
      </c>
      <c r="Z36" t="s">
        <v>1991</v>
      </c>
      <c r="AF36" t="s">
        <v>2064</v>
      </c>
      <c r="AG36" t="s">
        <v>1991</v>
      </c>
      <c r="AH36">
        <v>30</v>
      </c>
      <c r="AI36">
        <v>30</v>
      </c>
      <c r="AJ36" t="s">
        <v>391</v>
      </c>
      <c r="AK36">
        <v>855</v>
      </c>
      <c r="AL36">
        <v>20000</v>
      </c>
      <c r="AM36" t="s">
        <v>392</v>
      </c>
      <c r="AN36" t="s">
        <v>1053</v>
      </c>
      <c r="AO36" t="s">
        <v>1053</v>
      </c>
      <c r="BF36" t="s">
        <v>1053</v>
      </c>
      <c r="BG36" t="s">
        <v>309</v>
      </c>
      <c r="BH36" t="s">
        <v>2301</v>
      </c>
      <c r="BI36" t="s">
        <v>1053</v>
      </c>
      <c r="BK36" t="s">
        <v>1053</v>
      </c>
      <c r="BM36" t="s">
        <v>393</v>
      </c>
      <c r="BO36" t="s">
        <v>1053</v>
      </c>
      <c r="BP36" t="s">
        <v>394</v>
      </c>
      <c r="BQ36" t="s">
        <v>311</v>
      </c>
      <c r="BR36" t="s">
        <v>1053</v>
      </c>
      <c r="BS36" t="s">
        <v>1053</v>
      </c>
      <c r="BT36" t="s">
        <v>1053</v>
      </c>
      <c r="BU36" t="s">
        <v>1053</v>
      </c>
      <c r="BV36" t="s">
        <v>393</v>
      </c>
      <c r="BW36" t="s">
        <v>395</v>
      </c>
      <c r="BX36" t="str">
        <f>""</f>
        <v/>
      </c>
      <c r="BY36" t="str">
        <f>""</f>
        <v/>
      </c>
      <c r="BZ36" t="str">
        <f>""</f>
        <v/>
      </c>
      <c r="CA36" t="str">
        <f>""</f>
        <v/>
      </c>
      <c r="CB36" t="str">
        <f>""</f>
        <v/>
      </c>
      <c r="CC36" t="str">
        <f>""</f>
        <v/>
      </c>
      <c r="CD36" t="str">
        <f>""</f>
        <v/>
      </c>
      <c r="CE36" t="str">
        <f>""</f>
        <v/>
      </c>
      <c r="CF36" t="str">
        <f>""</f>
        <v/>
      </c>
      <c r="CG36" t="str">
        <f>""</f>
        <v/>
      </c>
      <c r="CH36" t="str">
        <f>""</f>
        <v/>
      </c>
    </row>
    <row r="37" spans="1:86" x14ac:dyDescent="0.25">
      <c r="A37" t="s">
        <v>396</v>
      </c>
      <c r="B37" t="s">
        <v>397</v>
      </c>
      <c r="C37" t="s">
        <v>1992</v>
      </c>
      <c r="D37" t="s">
        <v>1993</v>
      </c>
      <c r="E37" t="s">
        <v>398</v>
      </c>
      <c r="F37" t="s">
        <v>399</v>
      </c>
      <c r="H37" t="s">
        <v>400</v>
      </c>
      <c r="I37" t="s">
        <v>401</v>
      </c>
      <c r="J37" t="str">
        <f>"83801"</f>
        <v>83801</v>
      </c>
      <c r="K37" t="s">
        <v>1998</v>
      </c>
      <c r="L37" t="s">
        <v>231</v>
      </c>
      <c r="M37" t="s">
        <v>2000</v>
      </c>
      <c r="N37" t="s">
        <v>1992</v>
      </c>
      <c r="O37" t="s">
        <v>1992</v>
      </c>
      <c r="P37" t="s">
        <v>1992</v>
      </c>
      <c r="Q37" t="s">
        <v>1992</v>
      </c>
      <c r="R37" t="s">
        <v>1992</v>
      </c>
      <c r="S37" t="s">
        <v>1992</v>
      </c>
      <c r="T37" t="s">
        <v>1992</v>
      </c>
      <c r="U37" t="s">
        <v>1992</v>
      </c>
      <c r="V37" t="s">
        <v>1991</v>
      </c>
      <c r="Z37" t="s">
        <v>1991</v>
      </c>
      <c r="AF37" t="s">
        <v>2064</v>
      </c>
      <c r="AG37" t="s">
        <v>1991</v>
      </c>
      <c r="AH37">
        <v>15</v>
      </c>
      <c r="AI37">
        <v>15</v>
      </c>
      <c r="AJ37" t="s">
        <v>402</v>
      </c>
      <c r="AK37">
        <v>2405</v>
      </c>
      <c r="BX37" t="str">
        <f>""</f>
        <v/>
      </c>
      <c r="BY37" t="str">
        <f>""</f>
        <v/>
      </c>
      <c r="BZ37" t="str">
        <f>""</f>
        <v/>
      </c>
      <c r="CA37" t="str">
        <f>""</f>
        <v/>
      </c>
      <c r="CB37" t="str">
        <f>""</f>
        <v/>
      </c>
      <c r="CC37" t="str">
        <f>""</f>
        <v/>
      </c>
      <c r="CD37" t="str">
        <f>""</f>
        <v/>
      </c>
      <c r="CE37" t="str">
        <f>""</f>
        <v/>
      </c>
      <c r="CF37" t="str">
        <f>""</f>
        <v/>
      </c>
      <c r="CG37" t="str">
        <f>""</f>
        <v/>
      </c>
      <c r="CH37" t="str">
        <f>""</f>
        <v/>
      </c>
    </row>
    <row r="38" spans="1:86" x14ac:dyDescent="0.25">
      <c r="A38" t="s">
        <v>403</v>
      </c>
      <c r="B38" t="s">
        <v>404</v>
      </c>
      <c r="C38" t="s">
        <v>1991</v>
      </c>
      <c r="D38" t="s">
        <v>2010</v>
      </c>
      <c r="E38" t="s">
        <v>405</v>
      </c>
      <c r="H38" t="s">
        <v>406</v>
      </c>
      <c r="I38" t="s">
        <v>407</v>
      </c>
      <c r="J38" t="str">
        <f>"30309"</f>
        <v>30309</v>
      </c>
      <c r="K38" t="s">
        <v>1998</v>
      </c>
      <c r="L38" t="s">
        <v>408</v>
      </c>
      <c r="M38" t="s">
        <v>409</v>
      </c>
      <c r="N38" t="s">
        <v>1991</v>
      </c>
      <c r="O38" t="s">
        <v>1991</v>
      </c>
      <c r="P38" t="s">
        <v>1992</v>
      </c>
      <c r="Q38" t="s">
        <v>1991</v>
      </c>
      <c r="R38" t="s">
        <v>1991</v>
      </c>
      <c r="S38" t="s">
        <v>1992</v>
      </c>
      <c r="T38" t="s">
        <v>1992</v>
      </c>
      <c r="U38" t="s">
        <v>1991</v>
      </c>
      <c r="V38" t="s">
        <v>1991</v>
      </c>
      <c r="W38" t="s">
        <v>1991</v>
      </c>
      <c r="X38" t="s">
        <v>1992</v>
      </c>
      <c r="Y38" t="s">
        <v>1992</v>
      </c>
      <c r="Z38" t="s">
        <v>1992</v>
      </c>
      <c r="AA38" t="s">
        <v>1992</v>
      </c>
      <c r="AE38" t="s">
        <v>2047</v>
      </c>
      <c r="AF38" t="s">
        <v>2016</v>
      </c>
      <c r="AG38" t="s">
        <v>1991</v>
      </c>
      <c r="AH38">
        <v>90</v>
      </c>
      <c r="AI38">
        <v>90</v>
      </c>
      <c r="AJ38" t="s">
        <v>410</v>
      </c>
      <c r="AK38">
        <v>889</v>
      </c>
      <c r="AL38">
        <v>4000000</v>
      </c>
      <c r="AM38" t="s">
        <v>411</v>
      </c>
      <c r="AN38" t="s">
        <v>1053</v>
      </c>
      <c r="AO38" t="s">
        <v>1053</v>
      </c>
      <c r="AP38" t="s">
        <v>1053</v>
      </c>
      <c r="AQ38" t="s">
        <v>1053</v>
      </c>
      <c r="AR38" t="s">
        <v>1053</v>
      </c>
      <c r="AS38" t="s">
        <v>403</v>
      </c>
      <c r="AT38" t="s">
        <v>412</v>
      </c>
      <c r="AU38" t="s">
        <v>1053</v>
      </c>
      <c r="AV38" t="s">
        <v>1053</v>
      </c>
      <c r="AW38" t="s">
        <v>1053</v>
      </c>
      <c r="AX38" t="s">
        <v>1053</v>
      </c>
      <c r="AY38" t="s">
        <v>1053</v>
      </c>
      <c r="AZ38" t="s">
        <v>403</v>
      </c>
      <c r="BA38" t="s">
        <v>412</v>
      </c>
      <c r="BB38" t="s">
        <v>1053</v>
      </c>
      <c r="BC38" t="s">
        <v>1053</v>
      </c>
      <c r="BD38" t="s">
        <v>1053</v>
      </c>
      <c r="BE38" t="s">
        <v>1053</v>
      </c>
      <c r="BF38" t="s">
        <v>1053</v>
      </c>
      <c r="BG38" t="s">
        <v>2067</v>
      </c>
      <c r="BH38" t="s">
        <v>413</v>
      </c>
      <c r="BI38" t="s">
        <v>1053</v>
      </c>
      <c r="BJ38" t="s">
        <v>1053</v>
      </c>
      <c r="BK38" t="s">
        <v>1053</v>
      </c>
      <c r="BL38" t="s">
        <v>1053</v>
      </c>
      <c r="BM38" t="s">
        <v>414</v>
      </c>
      <c r="BN38" t="s">
        <v>412</v>
      </c>
      <c r="BO38" t="s">
        <v>1053</v>
      </c>
      <c r="BP38" t="s">
        <v>2375</v>
      </c>
      <c r="BQ38" t="s">
        <v>415</v>
      </c>
      <c r="BR38" t="s">
        <v>1053</v>
      </c>
      <c r="BS38" t="s">
        <v>1053</v>
      </c>
      <c r="BT38" t="s">
        <v>1053</v>
      </c>
      <c r="BU38" t="s">
        <v>1053</v>
      </c>
      <c r="BV38" t="s">
        <v>416</v>
      </c>
      <c r="BW38" t="s">
        <v>417</v>
      </c>
      <c r="BX38" t="str">
        <f t="shared" ref="BX38:CC38" si="0">"SMTWTFS 0700-2130"</f>
        <v>SMTWTFS 0700-2130</v>
      </c>
      <c r="BY38" t="str">
        <f t="shared" si="0"/>
        <v>SMTWTFS 0700-2130</v>
      </c>
      <c r="BZ38" t="str">
        <f t="shared" si="0"/>
        <v>SMTWTFS 0700-2130</v>
      </c>
      <c r="CA38" t="str">
        <f t="shared" si="0"/>
        <v>SMTWTFS 0700-2130</v>
      </c>
      <c r="CB38" t="str">
        <f t="shared" si="0"/>
        <v>SMTWTFS 0700-2130</v>
      </c>
      <c r="CC38" t="str">
        <f t="shared" si="0"/>
        <v>SMTWTFS 0700-2130</v>
      </c>
      <c r="CD38" t="str">
        <f>""</f>
        <v/>
      </c>
      <c r="CE38" t="str">
        <f>""</f>
        <v/>
      </c>
      <c r="CF38" t="str">
        <f>"SMTWTFS 0700-2130"</f>
        <v>SMTWTFS 0700-2130</v>
      </c>
      <c r="CG38" t="str">
        <f>""</f>
        <v/>
      </c>
      <c r="CH38" t="str">
        <f>"SMTWTFS 0700-2130"</f>
        <v>SMTWTFS 0700-2130</v>
      </c>
    </row>
    <row r="39" spans="1:86" x14ac:dyDescent="0.25">
      <c r="A39" t="s">
        <v>418</v>
      </c>
      <c r="B39" t="s">
        <v>419</v>
      </c>
      <c r="C39" t="s">
        <v>1992</v>
      </c>
      <c r="D39" t="s">
        <v>2010</v>
      </c>
      <c r="E39" t="s">
        <v>420</v>
      </c>
      <c r="H39" t="s">
        <v>421</v>
      </c>
      <c r="I39" t="s">
        <v>422</v>
      </c>
      <c r="J39" t="str">
        <f>"36201"</f>
        <v>36201</v>
      </c>
      <c r="K39" t="s">
        <v>1998</v>
      </c>
      <c r="L39" t="s">
        <v>408</v>
      </c>
      <c r="M39" t="s">
        <v>2063</v>
      </c>
      <c r="N39" t="s">
        <v>1992</v>
      </c>
      <c r="O39" t="s">
        <v>1992</v>
      </c>
      <c r="P39" t="s">
        <v>1992</v>
      </c>
      <c r="Q39" t="s">
        <v>1992</v>
      </c>
      <c r="R39" t="s">
        <v>1992</v>
      </c>
      <c r="S39" t="s">
        <v>1992</v>
      </c>
      <c r="T39" t="s">
        <v>1992</v>
      </c>
      <c r="U39" t="s">
        <v>1992</v>
      </c>
      <c r="V39" t="s">
        <v>1991</v>
      </c>
      <c r="W39" t="s">
        <v>1991</v>
      </c>
      <c r="X39" t="s">
        <v>1992</v>
      </c>
      <c r="Y39" t="s">
        <v>1992</v>
      </c>
      <c r="Z39" t="s">
        <v>1992</v>
      </c>
      <c r="AF39" t="s">
        <v>2001</v>
      </c>
      <c r="AG39" t="s">
        <v>1991</v>
      </c>
      <c r="AH39">
        <v>30</v>
      </c>
      <c r="AI39">
        <v>30</v>
      </c>
      <c r="AJ39" t="s">
        <v>423</v>
      </c>
      <c r="AK39">
        <v>677</v>
      </c>
      <c r="AL39">
        <v>24052</v>
      </c>
      <c r="AM39" t="s">
        <v>424</v>
      </c>
      <c r="AN39" t="s">
        <v>425</v>
      </c>
      <c r="AU39" t="s">
        <v>2066</v>
      </c>
      <c r="BF39" t="s">
        <v>1053</v>
      </c>
      <c r="BG39" t="s">
        <v>2067</v>
      </c>
      <c r="BH39" t="s">
        <v>426</v>
      </c>
      <c r="BI39" t="s">
        <v>1053</v>
      </c>
      <c r="BJ39" t="s">
        <v>1053</v>
      </c>
      <c r="BK39" t="s">
        <v>1053</v>
      </c>
      <c r="BL39" t="s">
        <v>1053</v>
      </c>
      <c r="BM39" t="s">
        <v>414</v>
      </c>
      <c r="BN39" t="s">
        <v>412</v>
      </c>
      <c r="BO39" t="s">
        <v>1053</v>
      </c>
      <c r="BP39" t="s">
        <v>2375</v>
      </c>
      <c r="BQ39" t="s">
        <v>427</v>
      </c>
      <c r="BR39" t="s">
        <v>1053</v>
      </c>
      <c r="BS39" t="s">
        <v>1053</v>
      </c>
      <c r="BT39" t="s">
        <v>1053</v>
      </c>
      <c r="BU39" t="s">
        <v>1053</v>
      </c>
      <c r="BV39" t="s">
        <v>416</v>
      </c>
      <c r="BW39" t="s">
        <v>417</v>
      </c>
      <c r="BX39" t="str">
        <f>"SMTWTFS 0940-1140 1500-1700"</f>
        <v>SMTWTFS 0940-1140 1500-1700</v>
      </c>
      <c r="BY39" t="str">
        <f>""</f>
        <v/>
      </c>
      <c r="BZ39" t="str">
        <f>""</f>
        <v/>
      </c>
      <c r="CA39" t="str">
        <f>""</f>
        <v/>
      </c>
      <c r="CB39" t="str">
        <f>""</f>
        <v/>
      </c>
      <c r="CC39" t="str">
        <f>""</f>
        <v/>
      </c>
      <c r="CD39" t="str">
        <f>""</f>
        <v/>
      </c>
      <c r="CE39" t="str">
        <f>""</f>
        <v/>
      </c>
      <c r="CF39" t="str">
        <f>""</f>
        <v/>
      </c>
      <c r="CG39" t="str">
        <f>""</f>
        <v/>
      </c>
      <c r="CH39" t="str">
        <f>""</f>
        <v/>
      </c>
    </row>
    <row r="40" spans="1:86" x14ac:dyDescent="0.25">
      <c r="A40" t="s">
        <v>428</v>
      </c>
      <c r="B40" t="s">
        <v>429</v>
      </c>
      <c r="C40" t="s">
        <v>1992</v>
      </c>
      <c r="D40" t="s">
        <v>2028</v>
      </c>
      <c r="E40" t="s">
        <v>430</v>
      </c>
      <c r="F40" t="s">
        <v>2030</v>
      </c>
      <c r="H40" t="s">
        <v>431</v>
      </c>
      <c r="I40" t="s">
        <v>2032</v>
      </c>
      <c r="J40" t="str">
        <f>"08004"</f>
        <v>08004</v>
      </c>
      <c r="K40" t="s">
        <v>1998</v>
      </c>
      <c r="L40" t="s">
        <v>2033</v>
      </c>
      <c r="M40" t="s">
        <v>2034</v>
      </c>
      <c r="N40" t="s">
        <v>1992</v>
      </c>
      <c r="O40" t="s">
        <v>1992</v>
      </c>
      <c r="P40" t="s">
        <v>1992</v>
      </c>
      <c r="Q40" t="s">
        <v>1992</v>
      </c>
      <c r="R40" t="s">
        <v>1992</v>
      </c>
      <c r="S40" t="s">
        <v>1992</v>
      </c>
      <c r="T40" t="s">
        <v>1992</v>
      </c>
      <c r="U40" t="s">
        <v>1992</v>
      </c>
      <c r="V40" t="s">
        <v>1991</v>
      </c>
      <c r="W40" t="s">
        <v>1992</v>
      </c>
      <c r="X40" t="s">
        <v>1991</v>
      </c>
      <c r="Y40" t="s">
        <v>1992</v>
      </c>
      <c r="Z40" t="s">
        <v>1992</v>
      </c>
      <c r="AF40" t="s">
        <v>2016</v>
      </c>
      <c r="AG40" t="s">
        <v>1991</v>
      </c>
      <c r="AH40">
        <v>30</v>
      </c>
      <c r="AI40">
        <v>30</v>
      </c>
      <c r="AJ40" t="s">
        <v>432</v>
      </c>
      <c r="AK40">
        <v>159</v>
      </c>
      <c r="AL40">
        <v>14300</v>
      </c>
      <c r="AM40" t="s">
        <v>2036</v>
      </c>
      <c r="BX40" t="str">
        <f>""</f>
        <v/>
      </c>
      <c r="BY40" t="str">
        <f>""</f>
        <v/>
      </c>
      <c r="BZ40" t="str">
        <f>""</f>
        <v/>
      </c>
      <c r="CA40" t="str">
        <f>""</f>
        <v/>
      </c>
      <c r="CB40" t="str">
        <f>""</f>
        <v/>
      </c>
      <c r="CC40" t="str">
        <f>""</f>
        <v/>
      </c>
      <c r="CD40" t="str">
        <f>""</f>
        <v/>
      </c>
      <c r="CE40" t="str">
        <f>""</f>
        <v/>
      </c>
      <c r="CF40" t="str">
        <f>""</f>
        <v/>
      </c>
      <c r="CG40" t="str">
        <f>""</f>
        <v/>
      </c>
      <c r="CH40" t="str">
        <f>""</f>
        <v/>
      </c>
    </row>
    <row r="41" spans="1:86" x14ac:dyDescent="0.25">
      <c r="A41" t="s">
        <v>2099</v>
      </c>
      <c r="B41" t="s">
        <v>433</v>
      </c>
      <c r="C41" t="s">
        <v>1991</v>
      </c>
      <c r="D41" t="s">
        <v>2010</v>
      </c>
      <c r="E41" t="s">
        <v>434</v>
      </c>
      <c r="H41" t="s">
        <v>435</v>
      </c>
      <c r="I41" t="s">
        <v>2381</v>
      </c>
      <c r="J41" t="str">
        <f>"78703"</f>
        <v>78703</v>
      </c>
      <c r="K41" t="s">
        <v>1998</v>
      </c>
      <c r="L41" t="s">
        <v>2045</v>
      </c>
      <c r="M41" t="s">
        <v>436</v>
      </c>
      <c r="N41" t="s">
        <v>1991</v>
      </c>
      <c r="O41" t="s">
        <v>1991</v>
      </c>
      <c r="P41" t="s">
        <v>1992</v>
      </c>
      <c r="Q41" t="s">
        <v>1991</v>
      </c>
      <c r="R41" t="s">
        <v>1992</v>
      </c>
      <c r="S41" t="s">
        <v>1992</v>
      </c>
      <c r="T41" t="s">
        <v>1992</v>
      </c>
      <c r="U41" t="s">
        <v>1991</v>
      </c>
      <c r="V41" t="s">
        <v>1991</v>
      </c>
      <c r="W41" t="s">
        <v>1991</v>
      </c>
      <c r="X41" t="s">
        <v>1992</v>
      </c>
      <c r="Y41" t="s">
        <v>1992</v>
      </c>
      <c r="Z41" t="s">
        <v>1992</v>
      </c>
      <c r="AA41" t="s">
        <v>1992</v>
      </c>
      <c r="AE41" t="s">
        <v>296</v>
      </c>
      <c r="AF41" t="s">
        <v>2001</v>
      </c>
      <c r="AG41" t="s">
        <v>1991</v>
      </c>
      <c r="AH41">
        <v>60</v>
      </c>
      <c r="AI41">
        <v>30</v>
      </c>
      <c r="AJ41" t="s">
        <v>437</v>
      </c>
      <c r="AK41">
        <v>463</v>
      </c>
      <c r="AL41">
        <v>644000</v>
      </c>
      <c r="AN41" t="s">
        <v>1053</v>
      </c>
      <c r="AO41" t="s">
        <v>1053</v>
      </c>
      <c r="AP41" t="s">
        <v>2069</v>
      </c>
      <c r="AQ41" t="s">
        <v>1053</v>
      </c>
      <c r="AR41" t="s">
        <v>2069</v>
      </c>
      <c r="AS41" t="s">
        <v>2099</v>
      </c>
      <c r="AT41" t="s">
        <v>2100</v>
      </c>
      <c r="AU41" t="s">
        <v>1053</v>
      </c>
      <c r="AV41" t="s">
        <v>1053</v>
      </c>
      <c r="AW41" t="s">
        <v>2069</v>
      </c>
      <c r="AX41" t="s">
        <v>1053</v>
      </c>
      <c r="AY41" t="s">
        <v>2069</v>
      </c>
      <c r="AZ41" t="s">
        <v>438</v>
      </c>
      <c r="BA41" t="s">
        <v>2100</v>
      </c>
      <c r="BB41" t="s">
        <v>1053</v>
      </c>
      <c r="BC41" t="s">
        <v>2069</v>
      </c>
      <c r="BD41" t="s">
        <v>1053</v>
      </c>
      <c r="BE41" t="s">
        <v>2069</v>
      </c>
      <c r="BF41" t="s">
        <v>1053</v>
      </c>
      <c r="BG41" t="s">
        <v>235</v>
      </c>
      <c r="BH41" t="s">
        <v>2098</v>
      </c>
      <c r="BI41" t="s">
        <v>1053</v>
      </c>
      <c r="BJ41" t="s">
        <v>2069</v>
      </c>
      <c r="BK41" t="s">
        <v>1053</v>
      </c>
      <c r="BL41" t="s">
        <v>2069</v>
      </c>
      <c r="BM41" t="s">
        <v>2099</v>
      </c>
      <c r="BN41" t="s">
        <v>2100</v>
      </c>
      <c r="BO41" t="s">
        <v>1053</v>
      </c>
      <c r="BP41" t="s">
        <v>2101</v>
      </c>
      <c r="BQ41" t="s">
        <v>2055</v>
      </c>
      <c r="BR41" t="s">
        <v>1053</v>
      </c>
      <c r="BS41" t="s">
        <v>1053</v>
      </c>
      <c r="BT41" t="s">
        <v>1053</v>
      </c>
      <c r="BU41" t="s">
        <v>1053</v>
      </c>
      <c r="BV41" t="s">
        <v>2056</v>
      </c>
      <c r="BX41" t="str">
        <f>"SMTWTFS 0700-2000"</f>
        <v>SMTWTFS 0700-2000</v>
      </c>
      <c r="BY41" t="str">
        <f>"SMTWTFS 0700-2000"</f>
        <v>SMTWTFS 0700-2000</v>
      </c>
      <c r="BZ41" t="str">
        <f>"SMTWTFS 0700-2000"</f>
        <v>SMTWTFS 0700-2000</v>
      </c>
      <c r="CA41" t="str">
        <f>"SMTWTFS 0700-2000"</f>
        <v>SMTWTFS 0700-2000</v>
      </c>
      <c r="CB41" t="str">
        <f>""</f>
        <v/>
      </c>
      <c r="CC41" t="str">
        <f>"SMTWTFS 0700-2000"</f>
        <v>SMTWTFS 0700-2000</v>
      </c>
      <c r="CD41" t="str">
        <f>""</f>
        <v/>
      </c>
      <c r="CE41" t="str">
        <f>""</f>
        <v/>
      </c>
      <c r="CF41" t="str">
        <f>""</f>
        <v/>
      </c>
      <c r="CG41" t="str">
        <f>""</f>
        <v/>
      </c>
      <c r="CH41" t="str">
        <f>"SMTWTFS 0000-2359"</f>
        <v>SMTWTFS 0000-2359</v>
      </c>
    </row>
    <row r="42" spans="1:86" x14ac:dyDescent="0.25">
      <c r="A42" t="s">
        <v>439</v>
      </c>
      <c r="B42" t="s">
        <v>440</v>
      </c>
      <c r="D42" t="s">
        <v>2089</v>
      </c>
      <c r="AJ42" t="s">
        <v>2090</v>
      </c>
      <c r="BX42" t="str">
        <f>""</f>
        <v/>
      </c>
      <c r="BY42" t="str">
        <f>""</f>
        <v/>
      </c>
      <c r="BZ42" t="str">
        <f>""</f>
        <v/>
      </c>
      <c r="CA42" t="str">
        <f>""</f>
        <v/>
      </c>
      <c r="CB42" t="str">
        <f>""</f>
        <v/>
      </c>
      <c r="CC42" t="str">
        <f>""</f>
        <v/>
      </c>
      <c r="CD42" t="str">
        <f>""</f>
        <v/>
      </c>
      <c r="CE42" t="str">
        <f>""</f>
        <v/>
      </c>
      <c r="CF42" t="str">
        <f>""</f>
        <v/>
      </c>
      <c r="CG42" t="str">
        <f>""</f>
        <v/>
      </c>
      <c r="CH42" t="str">
        <f>""</f>
        <v/>
      </c>
    </row>
    <row r="43" spans="1:86" x14ac:dyDescent="0.25">
      <c r="A43" t="s">
        <v>441</v>
      </c>
      <c r="B43" t="s">
        <v>442</v>
      </c>
      <c r="C43" t="s">
        <v>1992</v>
      </c>
      <c r="D43" t="s">
        <v>2010</v>
      </c>
      <c r="E43" t="s">
        <v>443</v>
      </c>
      <c r="F43" t="s">
        <v>444</v>
      </c>
      <c r="G43" t="s">
        <v>445</v>
      </c>
      <c r="H43" t="s">
        <v>446</v>
      </c>
      <c r="I43" t="s">
        <v>2295</v>
      </c>
      <c r="J43" t="str">
        <f>"97814"</f>
        <v>97814</v>
      </c>
      <c r="K43" t="s">
        <v>1998</v>
      </c>
      <c r="L43" t="s">
        <v>231</v>
      </c>
      <c r="M43" t="s">
        <v>447</v>
      </c>
      <c r="N43" t="s">
        <v>1992</v>
      </c>
      <c r="O43" t="s">
        <v>1992</v>
      </c>
      <c r="P43" t="s">
        <v>1992</v>
      </c>
      <c r="Q43" t="s">
        <v>1992</v>
      </c>
      <c r="R43" t="s">
        <v>1992</v>
      </c>
      <c r="S43" t="s">
        <v>1992</v>
      </c>
      <c r="T43" t="s">
        <v>1992</v>
      </c>
      <c r="U43" t="s">
        <v>1992</v>
      </c>
      <c r="V43" t="s">
        <v>1991</v>
      </c>
      <c r="W43" t="s">
        <v>1992</v>
      </c>
      <c r="X43" t="s">
        <v>1992</v>
      </c>
      <c r="Y43" t="s">
        <v>1992</v>
      </c>
      <c r="Z43" t="s">
        <v>1991</v>
      </c>
      <c r="AE43" t="s">
        <v>448</v>
      </c>
      <c r="AF43" t="s">
        <v>2064</v>
      </c>
      <c r="AG43" t="s">
        <v>1991</v>
      </c>
      <c r="AH43">
        <v>30</v>
      </c>
      <c r="AI43">
        <v>30</v>
      </c>
      <c r="AJ43" t="s">
        <v>449</v>
      </c>
      <c r="AK43">
        <v>3432</v>
      </c>
      <c r="AL43">
        <v>9000</v>
      </c>
      <c r="AM43" t="s">
        <v>2298</v>
      </c>
      <c r="AN43" t="s">
        <v>450</v>
      </c>
      <c r="AO43" t="s">
        <v>2063</v>
      </c>
      <c r="BF43" t="s">
        <v>1053</v>
      </c>
      <c r="BG43" t="s">
        <v>394</v>
      </c>
      <c r="BH43" t="s">
        <v>311</v>
      </c>
      <c r="BI43" t="s">
        <v>1053</v>
      </c>
      <c r="BJ43" t="s">
        <v>1053</v>
      </c>
      <c r="BK43" t="s">
        <v>1053</v>
      </c>
      <c r="BL43" t="s">
        <v>1053</v>
      </c>
      <c r="BX43" t="str">
        <f>"SMTWTFS 0700-0930 1700-2010"</f>
        <v>SMTWTFS 0700-0930 1700-2010</v>
      </c>
      <c r="BY43" t="str">
        <f>""</f>
        <v/>
      </c>
      <c r="BZ43" t="str">
        <f>""</f>
        <v/>
      </c>
      <c r="CA43" t="str">
        <f>""</f>
        <v/>
      </c>
      <c r="CB43" t="str">
        <f>""</f>
        <v/>
      </c>
      <c r="CC43" t="str">
        <f>""</f>
        <v/>
      </c>
      <c r="CD43" t="str">
        <f>""</f>
        <v/>
      </c>
      <c r="CE43" t="str">
        <f>""</f>
        <v/>
      </c>
      <c r="CF43" t="str">
        <f>""</f>
        <v/>
      </c>
      <c r="CG43" t="str">
        <f>""</f>
        <v/>
      </c>
      <c r="CH43" t="str">
        <f>""</f>
        <v/>
      </c>
    </row>
    <row r="44" spans="1:86" x14ac:dyDescent="0.25">
      <c r="A44" t="s">
        <v>2021</v>
      </c>
      <c r="B44" t="s">
        <v>451</v>
      </c>
      <c r="C44" t="s">
        <v>1991</v>
      </c>
      <c r="D44" t="s">
        <v>2010</v>
      </c>
      <c r="E44" t="s">
        <v>452</v>
      </c>
      <c r="F44" t="s">
        <v>453</v>
      </c>
      <c r="H44" t="s">
        <v>454</v>
      </c>
      <c r="I44" t="s">
        <v>2014</v>
      </c>
      <c r="J44" t="str">
        <f>"21201-5815"</f>
        <v>21201-5815</v>
      </c>
      <c r="K44" t="s">
        <v>1998</v>
      </c>
      <c r="L44" t="s">
        <v>2015</v>
      </c>
      <c r="M44" t="s">
        <v>455</v>
      </c>
      <c r="N44" t="s">
        <v>1991</v>
      </c>
      <c r="O44" t="s">
        <v>1991</v>
      </c>
      <c r="P44" t="s">
        <v>1992</v>
      </c>
      <c r="Q44" t="s">
        <v>1991</v>
      </c>
      <c r="R44" t="s">
        <v>1991</v>
      </c>
      <c r="S44" t="s">
        <v>1992</v>
      </c>
      <c r="T44" t="s">
        <v>1992</v>
      </c>
      <c r="U44" t="s">
        <v>1991</v>
      </c>
      <c r="V44" t="s">
        <v>1991</v>
      </c>
      <c r="W44" t="s">
        <v>1991</v>
      </c>
      <c r="X44" t="s">
        <v>1991</v>
      </c>
      <c r="Y44" t="s">
        <v>1992</v>
      </c>
      <c r="Z44" t="s">
        <v>1992</v>
      </c>
      <c r="AA44" t="s">
        <v>1992</v>
      </c>
      <c r="AE44" t="s">
        <v>456</v>
      </c>
      <c r="AF44" t="s">
        <v>2016</v>
      </c>
      <c r="AG44" t="s">
        <v>1991</v>
      </c>
      <c r="AH44">
        <v>60</v>
      </c>
      <c r="AI44">
        <v>30</v>
      </c>
      <c r="AJ44" t="s">
        <v>457</v>
      </c>
      <c r="AK44">
        <v>70</v>
      </c>
      <c r="AL44">
        <v>651000</v>
      </c>
      <c r="AM44" t="s">
        <v>458</v>
      </c>
      <c r="AN44" t="s">
        <v>1053</v>
      </c>
      <c r="AO44" t="s">
        <v>1053</v>
      </c>
      <c r="AP44" t="s">
        <v>1053</v>
      </c>
      <c r="AQ44" t="s">
        <v>1053</v>
      </c>
      <c r="AR44" t="s">
        <v>1053</v>
      </c>
      <c r="AS44" t="s">
        <v>2021</v>
      </c>
      <c r="AT44" t="s">
        <v>459</v>
      </c>
      <c r="AU44" t="s">
        <v>1053</v>
      </c>
      <c r="AV44" t="s">
        <v>1053</v>
      </c>
      <c r="AW44" t="s">
        <v>1053</v>
      </c>
      <c r="AX44" t="s">
        <v>1053</v>
      </c>
      <c r="AY44" t="s">
        <v>1053</v>
      </c>
      <c r="AZ44" t="s">
        <v>2021</v>
      </c>
      <c r="BA44" t="s">
        <v>2022</v>
      </c>
      <c r="BB44" t="s">
        <v>1053</v>
      </c>
      <c r="BC44" t="s">
        <v>1053</v>
      </c>
      <c r="BD44" t="s">
        <v>1053</v>
      </c>
      <c r="BE44" t="s">
        <v>1053</v>
      </c>
      <c r="BF44" t="s">
        <v>1053</v>
      </c>
      <c r="BG44" t="s">
        <v>2019</v>
      </c>
      <c r="BH44" t="s">
        <v>454</v>
      </c>
      <c r="BI44" t="s">
        <v>1053</v>
      </c>
      <c r="BJ44" t="s">
        <v>1053</v>
      </c>
      <c r="BK44" t="s">
        <v>1053</v>
      </c>
      <c r="BL44" t="s">
        <v>1053</v>
      </c>
      <c r="BM44" t="s">
        <v>2021</v>
      </c>
      <c r="BN44" t="s">
        <v>2022</v>
      </c>
      <c r="BO44" t="s">
        <v>1053</v>
      </c>
      <c r="BP44" t="s">
        <v>2023</v>
      </c>
      <c r="BQ44" t="s">
        <v>460</v>
      </c>
      <c r="BR44" t="s">
        <v>1053</v>
      </c>
      <c r="BS44" t="s">
        <v>1053</v>
      </c>
      <c r="BT44" t="s">
        <v>1053</v>
      </c>
      <c r="BU44" t="s">
        <v>1053</v>
      </c>
      <c r="BV44" t="s">
        <v>461</v>
      </c>
      <c r="BX44" t="str">
        <f>"SM----- 0000-0200 0300-2359; --TWTFS 0000-0130 0300-2359"</f>
        <v>SM----- 0000-0200 0300-2359; --TWTFS 0000-0130 0300-2359</v>
      </c>
      <c r="BY44" t="str">
        <f>"SMTWTFS 0600-2200"</f>
        <v>SMTWTFS 0600-2200</v>
      </c>
      <c r="BZ44" t="str">
        <f>"SM----- 0000-0200 0300-2359; --TWTFS 0000-0130 0300-2359"</f>
        <v>SM----- 0000-0200 0300-2359; --TWTFS 0000-0130 0300-2359</v>
      </c>
      <c r="CA44" t="str">
        <f>"SMTWTFS 0510-2130"</f>
        <v>SMTWTFS 0510-2130</v>
      </c>
      <c r="CB44" t="str">
        <f>"SMTWTFS 0510-2130"</f>
        <v>SMTWTFS 0510-2130</v>
      </c>
      <c r="CC44" t="str">
        <f>"SM----- 0000-0200 0300-2359; --TWTFS 0000-0130 0300-2359"</f>
        <v>SM----- 0000-0200 0300-2359; --TWTFS 0000-0130 0300-2359</v>
      </c>
      <c r="CD44" t="str">
        <f>""</f>
        <v/>
      </c>
      <c r="CE44" t="str">
        <f>""</f>
        <v/>
      </c>
      <c r="CF44" t="str">
        <f>"SMTWTFS 0600-2100"</f>
        <v>SMTWTFS 0600-2100</v>
      </c>
      <c r="CG44" t="str">
        <f>""</f>
        <v/>
      </c>
      <c r="CH44" t="str">
        <f>"SMTWTFS 0000-2359"</f>
        <v>SMTWTFS 0000-2359</v>
      </c>
    </row>
    <row r="45" spans="1:86" x14ac:dyDescent="0.25">
      <c r="A45" t="s">
        <v>462</v>
      </c>
      <c r="B45" t="s">
        <v>463</v>
      </c>
      <c r="C45" t="s">
        <v>1992</v>
      </c>
      <c r="D45" t="s">
        <v>2010</v>
      </c>
      <c r="E45" t="s">
        <v>464</v>
      </c>
      <c r="H45" t="s">
        <v>465</v>
      </c>
      <c r="I45" t="s">
        <v>2352</v>
      </c>
      <c r="J45" t="str">
        <f>"49013-1464"</f>
        <v>49013-1464</v>
      </c>
      <c r="K45" t="s">
        <v>1998</v>
      </c>
      <c r="L45" t="s">
        <v>1999</v>
      </c>
      <c r="M45" t="s">
        <v>2063</v>
      </c>
      <c r="N45" t="s">
        <v>1992</v>
      </c>
      <c r="O45" t="s">
        <v>1992</v>
      </c>
      <c r="P45" t="s">
        <v>1992</v>
      </c>
      <c r="Q45" t="s">
        <v>1992</v>
      </c>
      <c r="R45" t="s">
        <v>1992</v>
      </c>
      <c r="S45" t="s">
        <v>1992</v>
      </c>
      <c r="T45" t="s">
        <v>1992</v>
      </c>
      <c r="U45" t="s">
        <v>1992</v>
      </c>
      <c r="V45" t="s">
        <v>1991</v>
      </c>
      <c r="W45" t="s">
        <v>1991</v>
      </c>
      <c r="X45" t="s">
        <v>1992</v>
      </c>
      <c r="Y45" t="s">
        <v>1992</v>
      </c>
      <c r="Z45" t="s">
        <v>1992</v>
      </c>
      <c r="AF45" t="s">
        <v>2016</v>
      </c>
      <c r="AG45" t="s">
        <v>1991</v>
      </c>
      <c r="AH45">
        <v>30</v>
      </c>
      <c r="AI45">
        <v>30</v>
      </c>
      <c r="AJ45" t="s">
        <v>466</v>
      </c>
      <c r="AK45">
        <v>655</v>
      </c>
      <c r="AL45">
        <v>1889</v>
      </c>
      <c r="AN45" t="s">
        <v>2066</v>
      </c>
      <c r="AO45" t="s">
        <v>2063</v>
      </c>
      <c r="BF45" t="s">
        <v>1053</v>
      </c>
      <c r="BG45" t="s">
        <v>467</v>
      </c>
      <c r="BH45" t="s">
        <v>2312</v>
      </c>
      <c r="BI45" t="s">
        <v>1053</v>
      </c>
      <c r="BJ45" t="s">
        <v>2069</v>
      </c>
      <c r="BK45" t="s">
        <v>1053</v>
      </c>
      <c r="BL45" t="s">
        <v>2069</v>
      </c>
      <c r="BM45" t="s">
        <v>2313</v>
      </c>
      <c r="BN45" t="s">
        <v>2314</v>
      </c>
      <c r="BO45" t="s">
        <v>1053</v>
      </c>
      <c r="BP45" t="s">
        <v>301</v>
      </c>
      <c r="BQ45" t="s">
        <v>2316</v>
      </c>
      <c r="BR45" t="s">
        <v>1053</v>
      </c>
      <c r="BT45" t="s">
        <v>1053</v>
      </c>
      <c r="BX45" t="str">
        <f>"S------ 0630-1030 2000-2100; -MTWTFS 0600-1600 2000-2100"</f>
        <v>S------ 0630-1030 2000-2100; -MTWTFS 0600-1600 2000-2100</v>
      </c>
      <c r="BY45" t="str">
        <f>""</f>
        <v/>
      </c>
      <c r="BZ45" t="str">
        <f>""</f>
        <v/>
      </c>
      <c r="CA45" t="str">
        <f>""</f>
        <v/>
      </c>
      <c r="CB45" t="str">
        <f>""</f>
        <v/>
      </c>
      <c r="CC45" t="str">
        <f>""</f>
        <v/>
      </c>
      <c r="CD45" t="str">
        <f>""</f>
        <v/>
      </c>
      <c r="CE45" t="str">
        <f>""</f>
        <v/>
      </c>
      <c r="CF45" t="str">
        <f>""</f>
        <v/>
      </c>
      <c r="CG45" t="str">
        <f>""</f>
        <v/>
      </c>
      <c r="CH45" t="str">
        <f>""</f>
        <v/>
      </c>
    </row>
    <row r="46" spans="1:86" x14ac:dyDescent="0.25">
      <c r="A46" t="s">
        <v>468</v>
      </c>
      <c r="B46" t="s">
        <v>469</v>
      </c>
      <c r="C46" t="s">
        <v>1992</v>
      </c>
      <c r="D46" t="s">
        <v>2010</v>
      </c>
      <c r="E46" t="s">
        <v>470</v>
      </c>
      <c r="F46" t="s">
        <v>471</v>
      </c>
      <c r="H46" t="s">
        <v>465</v>
      </c>
      <c r="I46" t="s">
        <v>2287</v>
      </c>
      <c r="J46" t="str">
        <f>"04401-3011"</f>
        <v>04401-3011</v>
      </c>
      <c r="K46" t="s">
        <v>1998</v>
      </c>
      <c r="L46" t="s">
        <v>2033</v>
      </c>
      <c r="M46" t="s">
        <v>472</v>
      </c>
      <c r="N46" t="s">
        <v>1992</v>
      </c>
      <c r="O46" t="s">
        <v>1992</v>
      </c>
      <c r="P46" t="s">
        <v>1992</v>
      </c>
      <c r="Q46" t="s">
        <v>1992</v>
      </c>
      <c r="R46" t="s">
        <v>1992</v>
      </c>
      <c r="S46" t="s">
        <v>1992</v>
      </c>
      <c r="T46" t="s">
        <v>1992</v>
      </c>
      <c r="U46" t="s">
        <v>1992</v>
      </c>
      <c r="V46" t="s">
        <v>1991</v>
      </c>
      <c r="W46" t="s">
        <v>1992</v>
      </c>
      <c r="X46" t="s">
        <v>1992</v>
      </c>
      <c r="Y46" t="s">
        <v>1992</v>
      </c>
      <c r="Z46" t="s">
        <v>1991</v>
      </c>
      <c r="AE46" t="s">
        <v>473</v>
      </c>
      <c r="AF46" t="s">
        <v>2016</v>
      </c>
      <c r="AG46" t="s">
        <v>1991</v>
      </c>
      <c r="AH46">
        <v>30</v>
      </c>
      <c r="AI46">
        <v>30</v>
      </c>
      <c r="AJ46" t="s">
        <v>474</v>
      </c>
      <c r="AK46">
        <v>151</v>
      </c>
      <c r="AL46">
        <v>31008</v>
      </c>
      <c r="AM46" t="s">
        <v>2298</v>
      </c>
      <c r="AN46" t="s">
        <v>475</v>
      </c>
      <c r="AO46" t="s">
        <v>1053</v>
      </c>
      <c r="BF46" t="s">
        <v>1053</v>
      </c>
      <c r="BG46" t="s">
        <v>476</v>
      </c>
      <c r="BH46" t="s">
        <v>477</v>
      </c>
      <c r="BI46" t="s">
        <v>1053</v>
      </c>
      <c r="BK46" t="s">
        <v>1053</v>
      </c>
      <c r="BX46" t="str">
        <f>"SMTWTFS 0545-1845"</f>
        <v>SMTWTFS 0545-1845</v>
      </c>
      <c r="BY46" t="str">
        <f>""</f>
        <v/>
      </c>
      <c r="BZ46" t="str">
        <f>""</f>
        <v/>
      </c>
      <c r="CA46" t="str">
        <f>""</f>
        <v/>
      </c>
      <c r="CB46" t="str">
        <f>""</f>
        <v/>
      </c>
      <c r="CC46" t="str">
        <f>""</f>
        <v/>
      </c>
      <c r="CD46" t="str">
        <f>""</f>
        <v/>
      </c>
      <c r="CE46" t="str">
        <f>""</f>
        <v/>
      </c>
      <c r="CF46" t="str">
        <f>""</f>
        <v/>
      </c>
      <c r="CG46" t="str">
        <f>""</f>
        <v/>
      </c>
      <c r="CH46" t="str">
        <f>""</f>
        <v/>
      </c>
    </row>
    <row r="47" spans="1:86" x14ac:dyDescent="0.25">
      <c r="A47" t="s">
        <v>478</v>
      </c>
      <c r="B47" t="s">
        <v>479</v>
      </c>
      <c r="C47" t="s">
        <v>1992</v>
      </c>
      <c r="D47" t="s">
        <v>2028</v>
      </c>
      <c r="E47" t="s">
        <v>480</v>
      </c>
      <c r="H47" t="s">
        <v>481</v>
      </c>
      <c r="I47" t="s">
        <v>2061</v>
      </c>
      <c r="J47" t="str">
        <f>"92311"</f>
        <v>92311</v>
      </c>
      <c r="K47" t="s">
        <v>1998</v>
      </c>
      <c r="L47" t="s">
        <v>2045</v>
      </c>
      <c r="M47" t="s">
        <v>2063</v>
      </c>
      <c r="N47" t="s">
        <v>1992</v>
      </c>
      <c r="O47" t="s">
        <v>1992</v>
      </c>
      <c r="P47" t="s">
        <v>1992</v>
      </c>
      <c r="Q47" t="s">
        <v>1992</v>
      </c>
      <c r="R47" t="s">
        <v>1992</v>
      </c>
      <c r="S47" t="s">
        <v>1992</v>
      </c>
      <c r="T47" t="s">
        <v>1992</v>
      </c>
      <c r="U47" t="s">
        <v>1992</v>
      </c>
      <c r="V47" t="s">
        <v>1991</v>
      </c>
      <c r="W47" t="s">
        <v>1991</v>
      </c>
      <c r="X47" t="s">
        <v>1992</v>
      </c>
      <c r="Y47" t="s">
        <v>1991</v>
      </c>
      <c r="Z47" t="s">
        <v>1992</v>
      </c>
      <c r="AA47" t="s">
        <v>1992</v>
      </c>
      <c r="AB47" t="s">
        <v>482</v>
      </c>
      <c r="AF47" t="s">
        <v>2064</v>
      </c>
      <c r="AG47" t="s">
        <v>1991</v>
      </c>
      <c r="AH47">
        <v>30</v>
      </c>
      <c r="AI47">
        <v>30</v>
      </c>
      <c r="AJ47" t="s">
        <v>483</v>
      </c>
      <c r="AK47">
        <v>2105</v>
      </c>
      <c r="AL47">
        <v>23628</v>
      </c>
      <c r="AM47" t="s">
        <v>484</v>
      </c>
      <c r="AN47" t="s">
        <v>2066</v>
      </c>
      <c r="BF47" t="s">
        <v>1053</v>
      </c>
      <c r="BG47" t="s">
        <v>2019</v>
      </c>
      <c r="BH47" t="s">
        <v>2053</v>
      </c>
      <c r="BI47" t="s">
        <v>1053</v>
      </c>
      <c r="BK47" t="s">
        <v>1053</v>
      </c>
      <c r="BM47" t="s">
        <v>2039</v>
      </c>
      <c r="BO47" t="s">
        <v>1053</v>
      </c>
      <c r="BP47" t="s">
        <v>2054</v>
      </c>
      <c r="BQ47" t="s">
        <v>2055</v>
      </c>
      <c r="BR47" t="s">
        <v>1053</v>
      </c>
      <c r="BS47" t="s">
        <v>1053</v>
      </c>
      <c r="BV47" t="s">
        <v>485</v>
      </c>
      <c r="BX47" t="str">
        <f>""</f>
        <v/>
      </c>
      <c r="BY47" t="str">
        <f>""</f>
        <v/>
      </c>
      <c r="BZ47" t="str">
        <f>""</f>
        <v/>
      </c>
      <c r="CA47" t="str">
        <f>""</f>
        <v/>
      </c>
      <c r="CB47" t="str">
        <f>""</f>
        <v/>
      </c>
      <c r="CC47" t="str">
        <f>""</f>
        <v/>
      </c>
      <c r="CD47" t="str">
        <f>""</f>
        <v/>
      </c>
      <c r="CE47" t="str">
        <f>""</f>
        <v/>
      </c>
      <c r="CF47" t="str">
        <f>""</f>
        <v/>
      </c>
      <c r="CG47" t="str">
        <f>""</f>
        <v/>
      </c>
      <c r="CH47" t="str">
        <f>""</f>
        <v/>
      </c>
    </row>
    <row r="48" spans="1:86" x14ac:dyDescent="0.25">
      <c r="A48" t="s">
        <v>486</v>
      </c>
      <c r="B48" t="s">
        <v>487</v>
      </c>
      <c r="C48" t="s">
        <v>1992</v>
      </c>
      <c r="D48" t="s">
        <v>1993</v>
      </c>
      <c r="E48" t="s">
        <v>488</v>
      </c>
      <c r="F48" t="s">
        <v>489</v>
      </c>
      <c r="H48" t="s">
        <v>490</v>
      </c>
      <c r="I48" t="s">
        <v>2287</v>
      </c>
      <c r="J48" t="str">
        <f>"04530-6018"</f>
        <v>04530-6018</v>
      </c>
      <c r="K48" t="s">
        <v>1998</v>
      </c>
      <c r="L48" t="s">
        <v>2033</v>
      </c>
      <c r="M48" t="s">
        <v>491</v>
      </c>
      <c r="N48" t="s">
        <v>1992</v>
      </c>
      <c r="O48" t="s">
        <v>1992</v>
      </c>
      <c r="P48" t="s">
        <v>1992</v>
      </c>
      <c r="Q48" t="s">
        <v>1992</v>
      </c>
      <c r="R48" t="s">
        <v>1992</v>
      </c>
      <c r="S48" t="s">
        <v>1992</v>
      </c>
      <c r="T48" t="s">
        <v>1992</v>
      </c>
      <c r="U48" t="s">
        <v>1992</v>
      </c>
      <c r="V48" t="s">
        <v>1991</v>
      </c>
      <c r="W48" t="s">
        <v>1992</v>
      </c>
      <c r="X48" t="s">
        <v>1992</v>
      </c>
      <c r="Y48" t="s">
        <v>1992</v>
      </c>
      <c r="Z48" t="s">
        <v>1991</v>
      </c>
      <c r="AE48" t="s">
        <v>473</v>
      </c>
      <c r="AF48" t="s">
        <v>2016</v>
      </c>
      <c r="AG48" t="s">
        <v>1991</v>
      </c>
      <c r="AH48">
        <v>30</v>
      </c>
      <c r="AI48">
        <v>30</v>
      </c>
      <c r="AJ48" t="s">
        <v>492</v>
      </c>
      <c r="AK48">
        <v>32</v>
      </c>
      <c r="AL48">
        <v>9184</v>
      </c>
      <c r="AM48" t="s">
        <v>2298</v>
      </c>
      <c r="AN48" t="s">
        <v>493</v>
      </c>
      <c r="AO48" t="s">
        <v>1053</v>
      </c>
      <c r="BF48" t="s">
        <v>1053</v>
      </c>
      <c r="BG48" t="s">
        <v>476</v>
      </c>
      <c r="BH48" t="s">
        <v>477</v>
      </c>
      <c r="BI48" t="s">
        <v>1053</v>
      </c>
      <c r="BK48" t="s">
        <v>1053</v>
      </c>
      <c r="BX48" t="str">
        <f>"-MTWTF- 0830-1730; ------S 0830-1200"</f>
        <v>-MTWTF- 0830-1730; ------S 0830-1200</v>
      </c>
      <c r="BY48" t="str">
        <f>""</f>
        <v/>
      </c>
      <c r="BZ48" t="str">
        <f>""</f>
        <v/>
      </c>
      <c r="CA48" t="str">
        <f>""</f>
        <v/>
      </c>
      <c r="CB48" t="str">
        <f>""</f>
        <v/>
      </c>
      <c r="CC48" t="str">
        <f>""</f>
        <v/>
      </c>
      <c r="CD48" t="str">
        <f>""</f>
        <v/>
      </c>
      <c r="CE48" t="str">
        <f>""</f>
        <v/>
      </c>
      <c r="CF48" t="str">
        <f>""</f>
        <v/>
      </c>
      <c r="CG48" t="str">
        <f>""</f>
        <v/>
      </c>
      <c r="CH48" t="str">
        <f>""</f>
        <v/>
      </c>
    </row>
    <row r="49" spans="1:86" x14ac:dyDescent="0.25">
      <c r="A49" t="s">
        <v>494</v>
      </c>
      <c r="B49" t="s">
        <v>495</v>
      </c>
      <c r="D49" t="s">
        <v>2089</v>
      </c>
      <c r="E49" t="s">
        <v>496</v>
      </c>
      <c r="F49" t="s">
        <v>497</v>
      </c>
      <c r="H49" t="s">
        <v>498</v>
      </c>
      <c r="I49" t="s">
        <v>2014</v>
      </c>
      <c r="J49" t="str">
        <f>"20841"</f>
        <v>20841</v>
      </c>
      <c r="K49" t="s">
        <v>1998</v>
      </c>
      <c r="L49" t="s">
        <v>499</v>
      </c>
      <c r="M49" t="s">
        <v>500</v>
      </c>
      <c r="O49" t="s">
        <v>1992</v>
      </c>
      <c r="AF49" t="s">
        <v>2016</v>
      </c>
      <c r="AG49" t="s">
        <v>1991</v>
      </c>
      <c r="AJ49" t="s">
        <v>2090</v>
      </c>
      <c r="AM49" t="s">
        <v>501</v>
      </c>
      <c r="BX49" t="str">
        <f>""</f>
        <v/>
      </c>
      <c r="BY49" t="str">
        <f>""</f>
        <v/>
      </c>
      <c r="BZ49" t="str">
        <f>""</f>
        <v/>
      </c>
      <c r="CA49" t="str">
        <f>""</f>
        <v/>
      </c>
      <c r="CB49" t="str">
        <f>""</f>
        <v/>
      </c>
      <c r="CC49" t="str">
        <f>""</f>
        <v/>
      </c>
      <c r="CD49" t="str">
        <f>""</f>
        <v/>
      </c>
      <c r="CE49" t="str">
        <f>""</f>
        <v/>
      </c>
      <c r="CF49" t="str">
        <f>""</f>
        <v/>
      </c>
      <c r="CG49" t="str">
        <f>""</f>
        <v/>
      </c>
      <c r="CH49" t="str">
        <f>""</f>
        <v/>
      </c>
    </row>
    <row r="50" spans="1:86" x14ac:dyDescent="0.25">
      <c r="A50" t="s">
        <v>502</v>
      </c>
      <c r="B50" t="s">
        <v>503</v>
      </c>
      <c r="C50" t="s">
        <v>1992</v>
      </c>
      <c r="D50" t="s">
        <v>1993</v>
      </c>
      <c r="E50" t="s">
        <v>504</v>
      </c>
      <c r="H50" t="s">
        <v>481</v>
      </c>
      <c r="I50" t="s">
        <v>2061</v>
      </c>
      <c r="J50" t="str">
        <f>"92311-3239"</f>
        <v>92311-3239</v>
      </c>
      <c r="K50" t="s">
        <v>1998</v>
      </c>
      <c r="L50" t="s">
        <v>2045</v>
      </c>
      <c r="M50" t="s">
        <v>2063</v>
      </c>
      <c r="N50" t="s">
        <v>1992</v>
      </c>
      <c r="O50" t="s">
        <v>1992</v>
      </c>
      <c r="P50" t="s">
        <v>1992</v>
      </c>
      <c r="Q50" t="s">
        <v>1992</v>
      </c>
      <c r="R50" t="s">
        <v>1992</v>
      </c>
      <c r="S50" t="s">
        <v>1992</v>
      </c>
      <c r="T50" t="s">
        <v>1992</v>
      </c>
      <c r="U50" t="s">
        <v>1992</v>
      </c>
      <c r="V50" t="s">
        <v>1991</v>
      </c>
      <c r="W50" t="s">
        <v>1992</v>
      </c>
      <c r="X50" t="s">
        <v>1992</v>
      </c>
      <c r="Y50" t="s">
        <v>1991</v>
      </c>
      <c r="Z50" t="s">
        <v>1991</v>
      </c>
      <c r="AA50" t="s">
        <v>1991</v>
      </c>
      <c r="AB50" t="s">
        <v>482</v>
      </c>
      <c r="AF50" t="s">
        <v>2064</v>
      </c>
      <c r="AG50" t="s">
        <v>1991</v>
      </c>
      <c r="AH50">
        <v>30</v>
      </c>
      <c r="AI50">
        <v>30</v>
      </c>
      <c r="AJ50" t="s">
        <v>505</v>
      </c>
      <c r="AK50">
        <v>2106</v>
      </c>
      <c r="AL50">
        <v>23628</v>
      </c>
      <c r="AM50" t="s">
        <v>506</v>
      </c>
      <c r="AN50" t="s">
        <v>308</v>
      </c>
      <c r="AO50" t="s">
        <v>2063</v>
      </c>
      <c r="BF50" t="s">
        <v>1053</v>
      </c>
      <c r="BG50" t="s">
        <v>507</v>
      </c>
      <c r="BH50" t="s">
        <v>2301</v>
      </c>
      <c r="BI50" t="s">
        <v>1053</v>
      </c>
      <c r="BK50" t="s">
        <v>1053</v>
      </c>
      <c r="BO50" t="s">
        <v>1053</v>
      </c>
      <c r="BP50" t="s">
        <v>310</v>
      </c>
      <c r="BQ50" t="s">
        <v>311</v>
      </c>
      <c r="BR50" t="s">
        <v>1053</v>
      </c>
      <c r="BS50" t="s">
        <v>1053</v>
      </c>
      <c r="BT50" t="s">
        <v>1053</v>
      </c>
      <c r="BU50" t="s">
        <v>1053</v>
      </c>
      <c r="BX50" t="str">
        <f>""</f>
        <v/>
      </c>
      <c r="BY50" t="str">
        <f>""</f>
        <v/>
      </c>
      <c r="BZ50" t="str">
        <f>""</f>
        <v/>
      </c>
      <c r="CA50" t="str">
        <f>""</f>
        <v/>
      </c>
      <c r="CB50" t="str">
        <f>""</f>
        <v/>
      </c>
      <c r="CC50" t="str">
        <f>""</f>
        <v/>
      </c>
      <c r="CD50" t="str">
        <f>""</f>
        <v/>
      </c>
      <c r="CE50" t="str">
        <f>""</f>
        <v/>
      </c>
      <c r="CF50" t="str">
        <f>""</f>
        <v/>
      </c>
      <c r="CG50" t="str">
        <f>""</f>
        <v/>
      </c>
      <c r="CH50" t="str">
        <f>""</f>
        <v/>
      </c>
    </row>
    <row r="51" spans="1:86" x14ac:dyDescent="0.25">
      <c r="A51" t="s">
        <v>508</v>
      </c>
      <c r="B51" t="s">
        <v>509</v>
      </c>
      <c r="C51" t="s">
        <v>1991</v>
      </c>
      <c r="D51" t="s">
        <v>2010</v>
      </c>
      <c r="E51" t="s">
        <v>510</v>
      </c>
      <c r="H51" t="s">
        <v>511</v>
      </c>
      <c r="I51" t="s">
        <v>247</v>
      </c>
      <c r="J51" t="str">
        <f>"02116-5162"</f>
        <v>02116-5162</v>
      </c>
      <c r="K51" t="s">
        <v>1998</v>
      </c>
      <c r="L51" t="s">
        <v>2033</v>
      </c>
      <c r="M51" t="s">
        <v>512</v>
      </c>
      <c r="N51" t="s">
        <v>1991</v>
      </c>
      <c r="O51" t="s">
        <v>1991</v>
      </c>
      <c r="P51" t="s">
        <v>1992</v>
      </c>
      <c r="Q51" t="s">
        <v>1992</v>
      </c>
      <c r="R51" t="s">
        <v>1992</v>
      </c>
      <c r="S51" t="s">
        <v>1992</v>
      </c>
      <c r="T51" t="s">
        <v>1992</v>
      </c>
      <c r="U51" t="s">
        <v>1991</v>
      </c>
      <c r="V51" t="s">
        <v>1991</v>
      </c>
      <c r="W51" t="s">
        <v>1991</v>
      </c>
      <c r="X51" t="s">
        <v>1991</v>
      </c>
      <c r="Y51" t="s">
        <v>1992</v>
      </c>
      <c r="Z51" t="s">
        <v>1992</v>
      </c>
      <c r="AA51" t="s">
        <v>1992</v>
      </c>
      <c r="AF51" t="s">
        <v>2016</v>
      </c>
      <c r="AG51" t="s">
        <v>1991</v>
      </c>
      <c r="AH51">
        <v>30</v>
      </c>
      <c r="AI51">
        <v>30</v>
      </c>
      <c r="AJ51" t="s">
        <v>513</v>
      </c>
      <c r="AK51">
        <v>20</v>
      </c>
      <c r="AL51">
        <v>641000</v>
      </c>
      <c r="AM51" t="s">
        <v>514</v>
      </c>
      <c r="AN51" t="s">
        <v>1053</v>
      </c>
      <c r="AO51" t="s">
        <v>1053</v>
      </c>
      <c r="AP51" t="s">
        <v>1053</v>
      </c>
      <c r="AQ51" t="s">
        <v>1053</v>
      </c>
      <c r="AR51" t="s">
        <v>1053</v>
      </c>
      <c r="AS51" t="s">
        <v>508</v>
      </c>
      <c r="AT51" t="s">
        <v>515</v>
      </c>
      <c r="AU51" t="s">
        <v>1053</v>
      </c>
      <c r="AV51" t="s">
        <v>1053</v>
      </c>
      <c r="AW51" t="s">
        <v>1053</v>
      </c>
      <c r="AX51" t="s">
        <v>1053</v>
      </c>
      <c r="AY51" t="s">
        <v>1053</v>
      </c>
      <c r="AZ51" t="s">
        <v>516</v>
      </c>
      <c r="BA51" t="s">
        <v>517</v>
      </c>
      <c r="BB51" t="s">
        <v>1053</v>
      </c>
      <c r="BC51" t="s">
        <v>1053</v>
      </c>
      <c r="BD51" t="s">
        <v>1053</v>
      </c>
      <c r="BE51" t="s">
        <v>1053</v>
      </c>
      <c r="BF51" t="s">
        <v>1053</v>
      </c>
      <c r="BG51" t="s">
        <v>518</v>
      </c>
      <c r="BH51" t="s">
        <v>519</v>
      </c>
      <c r="BI51" t="s">
        <v>1053</v>
      </c>
      <c r="BJ51" t="s">
        <v>1053</v>
      </c>
      <c r="BK51" t="s">
        <v>1053</v>
      </c>
      <c r="BL51" t="s">
        <v>1053</v>
      </c>
      <c r="BM51" t="s">
        <v>520</v>
      </c>
      <c r="BN51" t="s">
        <v>517</v>
      </c>
      <c r="BO51" t="s">
        <v>1053</v>
      </c>
      <c r="BP51" t="s">
        <v>521</v>
      </c>
      <c r="BQ51" t="s">
        <v>522</v>
      </c>
      <c r="BR51" t="s">
        <v>1053</v>
      </c>
      <c r="BS51" t="s">
        <v>1053</v>
      </c>
      <c r="BT51" t="s">
        <v>1053</v>
      </c>
      <c r="BU51" t="s">
        <v>1053</v>
      </c>
      <c r="BV51" t="s">
        <v>520</v>
      </c>
      <c r="BW51" t="s">
        <v>523</v>
      </c>
      <c r="BX51" t="str">
        <f>"SMTWTFS 0500-2359"</f>
        <v>SMTWTFS 0500-2359</v>
      </c>
      <c r="BY51" t="str">
        <f>""</f>
        <v/>
      </c>
      <c r="BZ51" t="str">
        <f>"SMTWTFS 0600-2100"</f>
        <v>SMTWTFS 0600-2100</v>
      </c>
      <c r="CA51" t="str">
        <f>"S-----S 0600-2200; -MTWTF- 0500-2200"</f>
        <v>S-----S 0600-2200; -MTWTF- 0500-2200</v>
      </c>
      <c r="CB51" t="str">
        <f>""</f>
        <v/>
      </c>
      <c r="CC51" t="str">
        <f>"SMTWTFS 0500-2359"</f>
        <v>SMTWTFS 0500-2359</v>
      </c>
      <c r="CD51" t="str">
        <f>""</f>
        <v/>
      </c>
      <c r="CE51" t="str">
        <f>""</f>
        <v/>
      </c>
      <c r="CF51" t="str">
        <f>""</f>
        <v/>
      </c>
      <c r="CG51" t="str">
        <f>""</f>
        <v/>
      </c>
      <c r="CH51" t="str">
        <f>""</f>
        <v/>
      </c>
    </row>
    <row r="52" spans="1:86" x14ac:dyDescent="0.25">
      <c r="A52" t="s">
        <v>524</v>
      </c>
      <c r="B52" t="s">
        <v>525</v>
      </c>
      <c r="D52" t="s">
        <v>2089</v>
      </c>
      <c r="E52" t="s">
        <v>526</v>
      </c>
      <c r="F52" t="s">
        <v>497</v>
      </c>
      <c r="H52" t="s">
        <v>454</v>
      </c>
      <c r="I52" t="s">
        <v>2014</v>
      </c>
      <c r="J52" t="str">
        <f>"21230"</f>
        <v>21230</v>
      </c>
      <c r="K52" t="s">
        <v>1998</v>
      </c>
      <c r="L52" t="s">
        <v>499</v>
      </c>
      <c r="M52" t="s">
        <v>500</v>
      </c>
      <c r="O52" t="s">
        <v>1991</v>
      </c>
      <c r="AF52" t="s">
        <v>2016</v>
      </c>
      <c r="AG52" t="s">
        <v>1991</v>
      </c>
      <c r="AJ52" t="s">
        <v>2090</v>
      </c>
      <c r="AM52" t="s">
        <v>501</v>
      </c>
      <c r="BX52" t="str">
        <f>""</f>
        <v/>
      </c>
      <c r="BY52" t="str">
        <f>""</f>
        <v/>
      </c>
      <c r="BZ52" t="str">
        <f>""</f>
        <v/>
      </c>
      <c r="CA52" t="str">
        <f>""</f>
        <v/>
      </c>
      <c r="CB52" t="str">
        <f>""</f>
        <v/>
      </c>
      <c r="CC52" t="str">
        <f>""</f>
        <v/>
      </c>
      <c r="CD52" t="str">
        <f>""</f>
        <v/>
      </c>
      <c r="CE52" t="str">
        <f>""</f>
        <v/>
      </c>
      <c r="CF52" t="str">
        <f>""</f>
        <v/>
      </c>
      <c r="CG52" t="str">
        <f>""</f>
        <v/>
      </c>
      <c r="CH52" t="str">
        <f>""</f>
        <v/>
      </c>
    </row>
    <row r="53" spans="1:86" x14ac:dyDescent="0.25">
      <c r="A53" t="s">
        <v>527</v>
      </c>
      <c r="B53" t="s">
        <v>528</v>
      </c>
      <c r="C53" t="s">
        <v>1992</v>
      </c>
      <c r="D53" t="s">
        <v>2028</v>
      </c>
      <c r="E53" t="s">
        <v>529</v>
      </c>
      <c r="F53" t="s">
        <v>530</v>
      </c>
      <c r="H53" t="s">
        <v>531</v>
      </c>
      <c r="I53" t="s">
        <v>2405</v>
      </c>
      <c r="J53" t="str">
        <f>"22015"</f>
        <v>22015</v>
      </c>
      <c r="K53" t="s">
        <v>1998</v>
      </c>
      <c r="L53" t="s">
        <v>2015</v>
      </c>
      <c r="M53" t="s">
        <v>2000</v>
      </c>
      <c r="N53" t="s">
        <v>1992</v>
      </c>
      <c r="O53" t="s">
        <v>1992</v>
      </c>
      <c r="P53" t="s">
        <v>1992</v>
      </c>
      <c r="Q53" t="s">
        <v>1992</v>
      </c>
      <c r="R53" t="s">
        <v>1992</v>
      </c>
      <c r="S53" t="s">
        <v>1992</v>
      </c>
      <c r="T53" t="s">
        <v>1992</v>
      </c>
      <c r="U53" t="s">
        <v>1992</v>
      </c>
      <c r="V53" t="s">
        <v>1991</v>
      </c>
      <c r="W53" t="s">
        <v>1991</v>
      </c>
      <c r="X53" t="s">
        <v>1991</v>
      </c>
      <c r="AF53" t="s">
        <v>2016</v>
      </c>
      <c r="AG53" t="s">
        <v>1991</v>
      </c>
      <c r="AH53">
        <v>30</v>
      </c>
      <c r="AI53">
        <v>30</v>
      </c>
      <c r="AJ53" t="s">
        <v>532</v>
      </c>
      <c r="AK53">
        <v>297</v>
      </c>
      <c r="BX53" t="str">
        <f>""</f>
        <v/>
      </c>
      <c r="BY53" t="str">
        <f>""</f>
        <v/>
      </c>
      <c r="BZ53" t="str">
        <f>""</f>
        <v/>
      </c>
      <c r="CA53" t="str">
        <f>""</f>
        <v/>
      </c>
      <c r="CB53" t="str">
        <f>""</f>
        <v/>
      </c>
      <c r="CC53" t="str">
        <f>""</f>
        <v/>
      </c>
      <c r="CD53" t="str">
        <f>""</f>
        <v/>
      </c>
      <c r="CE53" t="str">
        <f>""</f>
        <v/>
      </c>
      <c r="CF53" t="str">
        <f>""</f>
        <v/>
      </c>
      <c r="CG53" t="str">
        <f>""</f>
        <v/>
      </c>
      <c r="CH53" t="str">
        <f>""</f>
        <v/>
      </c>
    </row>
    <row r="54" spans="1:86" x14ac:dyDescent="0.25">
      <c r="A54" t="s">
        <v>533</v>
      </c>
      <c r="B54" t="s">
        <v>534</v>
      </c>
      <c r="C54" t="s">
        <v>1992</v>
      </c>
      <c r="D54" t="s">
        <v>2010</v>
      </c>
      <c r="E54" t="s">
        <v>535</v>
      </c>
      <c r="F54" t="s">
        <v>536</v>
      </c>
      <c r="H54" t="s">
        <v>537</v>
      </c>
      <c r="I54" t="s">
        <v>2352</v>
      </c>
      <c r="J54" t="str">
        <f>"48708"</f>
        <v>48708</v>
      </c>
      <c r="K54" t="s">
        <v>1998</v>
      </c>
      <c r="L54" t="s">
        <v>1999</v>
      </c>
      <c r="M54" t="s">
        <v>538</v>
      </c>
      <c r="N54" t="s">
        <v>1992</v>
      </c>
      <c r="O54" t="s">
        <v>1992</v>
      </c>
      <c r="P54" t="s">
        <v>1992</v>
      </c>
      <c r="Q54" t="s">
        <v>1992</v>
      </c>
      <c r="R54" t="s">
        <v>1992</v>
      </c>
      <c r="S54" t="s">
        <v>1992</v>
      </c>
      <c r="T54" t="s">
        <v>1992</v>
      </c>
      <c r="U54" t="s">
        <v>1992</v>
      </c>
      <c r="V54" t="s">
        <v>1991</v>
      </c>
      <c r="Z54" t="s">
        <v>1991</v>
      </c>
      <c r="AE54" t="s">
        <v>539</v>
      </c>
      <c r="AF54" t="s">
        <v>2016</v>
      </c>
      <c r="AG54" t="s">
        <v>1991</v>
      </c>
      <c r="AH54">
        <v>30</v>
      </c>
      <c r="AI54">
        <v>30</v>
      </c>
      <c r="AJ54" t="s">
        <v>540</v>
      </c>
      <c r="AK54">
        <v>591</v>
      </c>
      <c r="BF54" t="s">
        <v>1053</v>
      </c>
      <c r="BG54" t="s">
        <v>541</v>
      </c>
      <c r="BH54" t="s">
        <v>2312</v>
      </c>
      <c r="BI54" t="s">
        <v>1053</v>
      </c>
      <c r="BK54" t="s">
        <v>1053</v>
      </c>
      <c r="BO54" t="s">
        <v>1053</v>
      </c>
      <c r="BP54" t="s">
        <v>542</v>
      </c>
      <c r="BQ54" t="s">
        <v>2316</v>
      </c>
      <c r="BR54" t="s">
        <v>1053</v>
      </c>
      <c r="BT54" t="s">
        <v>1053</v>
      </c>
      <c r="BX54" t="str">
        <f>""</f>
        <v/>
      </c>
      <c r="BY54" t="str">
        <f>""</f>
        <v/>
      </c>
      <c r="BZ54" t="str">
        <f>""</f>
        <v/>
      </c>
      <c r="CA54" t="str">
        <f>""</f>
        <v/>
      </c>
      <c r="CB54" t="str">
        <f>""</f>
        <v/>
      </c>
      <c r="CC54" t="str">
        <f>""</f>
        <v/>
      </c>
      <c r="CD54" t="str">
        <f>""</f>
        <v/>
      </c>
      <c r="CE54" t="str">
        <f>""</f>
        <v/>
      </c>
      <c r="CF54" t="str">
        <f>""</f>
        <v/>
      </c>
      <c r="CG54" t="str">
        <f>""</f>
        <v/>
      </c>
      <c r="CH54" t="str">
        <f>""</f>
        <v/>
      </c>
    </row>
    <row r="55" spans="1:86" x14ac:dyDescent="0.25">
      <c r="A55" t="s">
        <v>543</v>
      </c>
      <c r="B55" t="s">
        <v>544</v>
      </c>
      <c r="C55" t="s">
        <v>1992</v>
      </c>
      <c r="D55" t="s">
        <v>2028</v>
      </c>
      <c r="E55" t="s">
        <v>545</v>
      </c>
      <c r="F55" t="s">
        <v>546</v>
      </c>
      <c r="G55" t="s">
        <v>547</v>
      </c>
      <c r="H55" t="s">
        <v>548</v>
      </c>
      <c r="I55" t="s">
        <v>2295</v>
      </c>
      <c r="J55" t="str">
        <f>"97701"</f>
        <v>97701</v>
      </c>
      <c r="K55" t="s">
        <v>1998</v>
      </c>
      <c r="L55" t="s">
        <v>231</v>
      </c>
      <c r="M55" t="s">
        <v>2063</v>
      </c>
      <c r="N55" t="s">
        <v>1992</v>
      </c>
      <c r="O55" t="s">
        <v>1992</v>
      </c>
      <c r="P55" t="s">
        <v>1992</v>
      </c>
      <c r="Q55" t="s">
        <v>1992</v>
      </c>
      <c r="R55" t="s">
        <v>1992</v>
      </c>
      <c r="S55" t="s">
        <v>1992</v>
      </c>
      <c r="T55" t="s">
        <v>1992</v>
      </c>
      <c r="U55" t="s">
        <v>1992</v>
      </c>
      <c r="V55" t="s">
        <v>1991</v>
      </c>
      <c r="W55" t="s">
        <v>1992</v>
      </c>
      <c r="X55" t="s">
        <v>1992</v>
      </c>
      <c r="Y55" t="s">
        <v>1992</v>
      </c>
      <c r="Z55" t="s">
        <v>1991</v>
      </c>
      <c r="AB55" t="s">
        <v>549</v>
      </c>
      <c r="AF55" t="s">
        <v>2064</v>
      </c>
      <c r="AG55" t="s">
        <v>1991</v>
      </c>
      <c r="AH55">
        <v>30</v>
      </c>
      <c r="AI55">
        <v>30</v>
      </c>
      <c r="AJ55" t="s">
        <v>550</v>
      </c>
      <c r="AK55">
        <v>3534</v>
      </c>
      <c r="AL55">
        <v>71892</v>
      </c>
      <c r="AM55" t="s">
        <v>551</v>
      </c>
      <c r="AN55" t="s">
        <v>552</v>
      </c>
      <c r="AO55" t="s">
        <v>2063</v>
      </c>
      <c r="BF55" t="s">
        <v>1053</v>
      </c>
      <c r="BG55" t="s">
        <v>394</v>
      </c>
      <c r="BH55" t="s">
        <v>311</v>
      </c>
      <c r="BI55" t="s">
        <v>1053</v>
      </c>
      <c r="BJ55" t="s">
        <v>1053</v>
      </c>
      <c r="BK55" t="s">
        <v>1053</v>
      </c>
      <c r="BL55" t="s">
        <v>1053</v>
      </c>
      <c r="BO55" t="s">
        <v>2038</v>
      </c>
      <c r="BP55" t="s">
        <v>2038</v>
      </c>
      <c r="BQ55" t="s">
        <v>2038</v>
      </c>
      <c r="BR55" t="s">
        <v>2063</v>
      </c>
      <c r="BX55" t="str">
        <f>""</f>
        <v/>
      </c>
      <c r="BY55" t="str">
        <f>""</f>
        <v/>
      </c>
      <c r="BZ55" t="str">
        <f>""</f>
        <v/>
      </c>
      <c r="CA55" t="str">
        <f>""</f>
        <v/>
      </c>
      <c r="CB55" t="str">
        <f>""</f>
        <v/>
      </c>
      <c r="CC55" t="str">
        <f>""</f>
        <v/>
      </c>
      <c r="CD55" t="str">
        <f>""</f>
        <v/>
      </c>
      <c r="CE55" t="str">
        <f>""</f>
        <v/>
      </c>
      <c r="CF55" t="str">
        <f>""</f>
        <v/>
      </c>
      <c r="CG55" t="str">
        <f>""</f>
        <v/>
      </c>
      <c r="CH55" t="str">
        <f>""</f>
        <v/>
      </c>
    </row>
    <row r="56" spans="1:86" x14ac:dyDescent="0.25">
      <c r="A56" t="s">
        <v>553</v>
      </c>
      <c r="B56" t="s">
        <v>554</v>
      </c>
      <c r="C56" t="s">
        <v>1992</v>
      </c>
      <c r="D56" t="s">
        <v>1993</v>
      </c>
      <c r="E56" t="s">
        <v>555</v>
      </c>
      <c r="F56" t="s">
        <v>556</v>
      </c>
      <c r="H56" t="s">
        <v>557</v>
      </c>
      <c r="I56" t="s">
        <v>558</v>
      </c>
      <c r="J56" t="str">
        <f>"34205-7803"</f>
        <v>34205-7803</v>
      </c>
      <c r="K56" t="s">
        <v>1998</v>
      </c>
      <c r="L56" t="s">
        <v>408</v>
      </c>
      <c r="M56" t="s">
        <v>2063</v>
      </c>
      <c r="N56" t="s">
        <v>1992</v>
      </c>
      <c r="O56" t="s">
        <v>1992</v>
      </c>
      <c r="P56" t="s">
        <v>1992</v>
      </c>
      <c r="Q56" t="s">
        <v>1991</v>
      </c>
      <c r="R56" t="s">
        <v>1992</v>
      </c>
      <c r="S56" t="s">
        <v>1992</v>
      </c>
      <c r="T56" t="s">
        <v>1992</v>
      </c>
      <c r="U56" t="s">
        <v>1992</v>
      </c>
      <c r="V56" t="s">
        <v>1991</v>
      </c>
      <c r="W56" t="s">
        <v>1992</v>
      </c>
      <c r="X56" t="s">
        <v>1992</v>
      </c>
      <c r="Y56" t="s">
        <v>1991</v>
      </c>
      <c r="Z56" t="s">
        <v>1992</v>
      </c>
      <c r="AA56" t="s">
        <v>1992</v>
      </c>
      <c r="AF56" t="s">
        <v>2016</v>
      </c>
      <c r="AG56" t="s">
        <v>1991</v>
      </c>
      <c r="AH56">
        <v>30</v>
      </c>
      <c r="AI56">
        <v>30</v>
      </c>
      <c r="AJ56" t="s">
        <v>559</v>
      </c>
      <c r="AK56">
        <v>14</v>
      </c>
      <c r="AL56">
        <v>53662</v>
      </c>
      <c r="BF56" t="s">
        <v>1053</v>
      </c>
      <c r="BG56" t="s">
        <v>2019</v>
      </c>
      <c r="BH56" t="s">
        <v>560</v>
      </c>
      <c r="BI56" t="s">
        <v>1053</v>
      </c>
      <c r="BK56" t="s">
        <v>1053</v>
      </c>
      <c r="BM56" t="s">
        <v>561</v>
      </c>
      <c r="BN56" t="s">
        <v>562</v>
      </c>
      <c r="BO56" t="s">
        <v>1053</v>
      </c>
      <c r="BP56" t="s">
        <v>563</v>
      </c>
      <c r="BQ56" t="s">
        <v>564</v>
      </c>
      <c r="BR56" t="s">
        <v>1053</v>
      </c>
      <c r="BT56" t="s">
        <v>1053</v>
      </c>
      <c r="BX56" t="str">
        <f>""</f>
        <v/>
      </c>
      <c r="BY56" t="str">
        <f>""</f>
        <v/>
      </c>
      <c r="BZ56" t="str">
        <f>""</f>
        <v/>
      </c>
      <c r="CA56" t="str">
        <f>""</f>
        <v/>
      </c>
      <c r="CB56" t="str">
        <f>""</f>
        <v/>
      </c>
      <c r="CC56" t="str">
        <f>""</f>
        <v/>
      </c>
      <c r="CD56" t="str">
        <f>""</f>
        <v/>
      </c>
      <c r="CE56" t="str">
        <f>""</f>
        <v/>
      </c>
      <c r="CF56" t="str">
        <f>""</f>
        <v/>
      </c>
      <c r="CG56" t="str">
        <f>""</f>
        <v/>
      </c>
      <c r="CH56" t="str">
        <f>""</f>
        <v/>
      </c>
    </row>
    <row r="57" spans="1:86" x14ac:dyDescent="0.25">
      <c r="A57" t="s">
        <v>565</v>
      </c>
      <c r="B57" t="s">
        <v>566</v>
      </c>
      <c r="C57" t="s">
        <v>1992</v>
      </c>
      <c r="D57" t="s">
        <v>2010</v>
      </c>
      <c r="E57" t="s">
        <v>567</v>
      </c>
      <c r="F57" t="s">
        <v>568</v>
      </c>
      <c r="H57" t="s">
        <v>548</v>
      </c>
      <c r="I57" t="s">
        <v>2295</v>
      </c>
      <c r="J57" t="str">
        <f>"97701"</f>
        <v>97701</v>
      </c>
      <c r="K57" t="s">
        <v>1998</v>
      </c>
      <c r="L57" t="s">
        <v>231</v>
      </c>
      <c r="M57" t="s">
        <v>569</v>
      </c>
      <c r="N57" t="s">
        <v>1992</v>
      </c>
      <c r="O57" t="s">
        <v>1992</v>
      </c>
      <c r="P57" t="s">
        <v>1992</v>
      </c>
      <c r="Q57" t="s">
        <v>1992</v>
      </c>
      <c r="R57" t="s">
        <v>1992</v>
      </c>
      <c r="S57" t="s">
        <v>1992</v>
      </c>
      <c r="T57" t="s">
        <v>1992</v>
      </c>
      <c r="U57" t="s">
        <v>1992</v>
      </c>
      <c r="V57" t="s">
        <v>1991</v>
      </c>
      <c r="W57" t="s">
        <v>1992</v>
      </c>
      <c r="X57" t="s">
        <v>1992</v>
      </c>
      <c r="Y57" t="s">
        <v>1992</v>
      </c>
      <c r="Z57" t="s">
        <v>1991</v>
      </c>
      <c r="AB57" t="s">
        <v>549</v>
      </c>
      <c r="AE57" t="s">
        <v>570</v>
      </c>
      <c r="AF57" t="s">
        <v>2064</v>
      </c>
      <c r="AG57" t="s">
        <v>1991</v>
      </c>
      <c r="AH57">
        <v>30</v>
      </c>
      <c r="AI57">
        <v>30</v>
      </c>
      <c r="AJ57" t="s">
        <v>571</v>
      </c>
      <c r="AK57">
        <v>3664</v>
      </c>
      <c r="AL57">
        <v>71892</v>
      </c>
      <c r="AM57" t="s">
        <v>2298</v>
      </c>
      <c r="AN57" t="s">
        <v>450</v>
      </c>
      <c r="AO57" t="s">
        <v>2063</v>
      </c>
      <c r="BF57" t="s">
        <v>1053</v>
      </c>
      <c r="BG57" t="s">
        <v>394</v>
      </c>
      <c r="BH57" t="s">
        <v>311</v>
      </c>
      <c r="BI57" t="s">
        <v>1053</v>
      </c>
      <c r="BJ57" t="s">
        <v>1053</v>
      </c>
      <c r="BK57" t="s">
        <v>1053</v>
      </c>
      <c r="BL57" t="s">
        <v>1053</v>
      </c>
      <c r="BX57" t="str">
        <f>"SMTWTFS 1000-1500"</f>
        <v>SMTWTFS 1000-1500</v>
      </c>
      <c r="BY57" t="str">
        <f>""</f>
        <v/>
      </c>
      <c r="BZ57" t="str">
        <f>""</f>
        <v/>
      </c>
      <c r="CA57" t="str">
        <f>""</f>
        <v/>
      </c>
      <c r="CB57" t="str">
        <f>""</f>
        <v/>
      </c>
      <c r="CC57" t="str">
        <f>""</f>
        <v/>
      </c>
      <c r="CD57" t="str">
        <f>""</f>
        <v/>
      </c>
      <c r="CE57" t="str">
        <f>""</f>
        <v/>
      </c>
      <c r="CF57" t="str">
        <f>""</f>
        <v/>
      </c>
      <c r="CG57" t="str">
        <f>""</f>
        <v/>
      </c>
      <c r="CH57" t="str">
        <f>""</f>
        <v/>
      </c>
    </row>
    <row r="58" spans="1:86" x14ac:dyDescent="0.25">
      <c r="A58" t="s">
        <v>572</v>
      </c>
      <c r="B58" t="s">
        <v>573</v>
      </c>
      <c r="C58" t="s">
        <v>1991</v>
      </c>
      <c r="D58" t="s">
        <v>2010</v>
      </c>
      <c r="E58" t="s">
        <v>574</v>
      </c>
      <c r="H58" t="s">
        <v>575</v>
      </c>
      <c r="I58" t="s">
        <v>576</v>
      </c>
      <c r="J58" t="str">
        <f>"98225"</f>
        <v>98225</v>
      </c>
      <c r="K58" t="s">
        <v>1998</v>
      </c>
      <c r="L58" t="s">
        <v>231</v>
      </c>
      <c r="M58" t="s">
        <v>577</v>
      </c>
      <c r="N58" t="s">
        <v>1991</v>
      </c>
      <c r="O58" t="s">
        <v>1991</v>
      </c>
      <c r="P58" t="s">
        <v>1992</v>
      </c>
      <c r="Q58" t="s">
        <v>1991</v>
      </c>
      <c r="R58" t="s">
        <v>1992</v>
      </c>
      <c r="S58" t="s">
        <v>1992</v>
      </c>
      <c r="T58" t="s">
        <v>1992</v>
      </c>
      <c r="U58" t="s">
        <v>1991</v>
      </c>
      <c r="V58" t="s">
        <v>1991</v>
      </c>
      <c r="W58" t="s">
        <v>1991</v>
      </c>
      <c r="X58" t="s">
        <v>1992</v>
      </c>
      <c r="Y58" t="s">
        <v>1992</v>
      </c>
      <c r="Z58" t="s">
        <v>1992</v>
      </c>
      <c r="AA58" t="s">
        <v>1991</v>
      </c>
      <c r="AE58" t="s">
        <v>2047</v>
      </c>
      <c r="AF58" t="s">
        <v>2064</v>
      </c>
      <c r="AG58" t="s">
        <v>1991</v>
      </c>
      <c r="AH58">
        <v>45</v>
      </c>
      <c r="AI58">
        <v>30</v>
      </c>
      <c r="AJ58" t="s">
        <v>578</v>
      </c>
      <c r="AK58">
        <v>13</v>
      </c>
      <c r="AL58">
        <v>80000</v>
      </c>
      <c r="AM58" t="s">
        <v>579</v>
      </c>
      <c r="AN58" t="s">
        <v>1053</v>
      </c>
      <c r="AO58" t="s">
        <v>1053</v>
      </c>
      <c r="AP58" t="s">
        <v>2069</v>
      </c>
      <c r="AQ58" t="s">
        <v>1053</v>
      </c>
      <c r="AR58" t="s">
        <v>2069</v>
      </c>
      <c r="AS58" t="s">
        <v>572</v>
      </c>
      <c r="AT58" t="s">
        <v>580</v>
      </c>
      <c r="AU58" t="s">
        <v>1053</v>
      </c>
      <c r="AV58" t="s">
        <v>1053</v>
      </c>
      <c r="AW58" t="s">
        <v>2069</v>
      </c>
      <c r="AX58" t="s">
        <v>1053</v>
      </c>
      <c r="AY58" t="s">
        <v>2069</v>
      </c>
      <c r="AZ58" t="s">
        <v>572</v>
      </c>
      <c r="BA58" t="s">
        <v>580</v>
      </c>
      <c r="BB58" t="s">
        <v>1053</v>
      </c>
      <c r="BC58" t="s">
        <v>2069</v>
      </c>
      <c r="BD58" t="s">
        <v>1053</v>
      </c>
      <c r="BE58" t="s">
        <v>2069</v>
      </c>
      <c r="BF58" t="s">
        <v>1053</v>
      </c>
      <c r="BG58" t="s">
        <v>2019</v>
      </c>
      <c r="BH58" t="s">
        <v>581</v>
      </c>
      <c r="BI58" t="s">
        <v>1053</v>
      </c>
      <c r="BJ58" t="s">
        <v>1053</v>
      </c>
      <c r="BK58" t="s">
        <v>1053</v>
      </c>
      <c r="BM58" t="s">
        <v>241</v>
      </c>
      <c r="BN58" t="s">
        <v>242</v>
      </c>
      <c r="BO58" t="s">
        <v>1053</v>
      </c>
      <c r="BP58" t="s">
        <v>239</v>
      </c>
      <c r="BQ58" t="s">
        <v>581</v>
      </c>
      <c r="BR58" t="s">
        <v>1053</v>
      </c>
      <c r="BS58" t="s">
        <v>1053</v>
      </c>
      <c r="BT58" t="s">
        <v>1053</v>
      </c>
      <c r="BU58" t="s">
        <v>1053</v>
      </c>
      <c r="BV58" t="s">
        <v>241</v>
      </c>
      <c r="BW58" t="s">
        <v>242</v>
      </c>
      <c r="BX58" t="str">
        <f>"SMTWTFS 0800-2105"</f>
        <v>SMTWTFS 0800-2105</v>
      </c>
      <c r="BY58" t="str">
        <f>"SMTWTFS 0730-1215 1300-1700 1730-2100"</f>
        <v>SMTWTFS 0730-1215 1300-1700 1730-2100</v>
      </c>
      <c r="BZ58" t="str">
        <f>"SMTWTFS 0730-1215 1300-1700 1730-2105"</f>
        <v>SMTWTFS 0730-1215 1300-1700 1730-2105</v>
      </c>
      <c r="CA58" t="str">
        <f>"SMTWTFS 0730-1215 1300-1700 1730-2105"</f>
        <v>SMTWTFS 0730-1215 1300-1700 1730-2105</v>
      </c>
      <c r="CB58" t="str">
        <f>""</f>
        <v/>
      </c>
      <c r="CC58" t="str">
        <f>"SMTWTFS 0800-2100"</f>
        <v>SMTWTFS 0800-2100</v>
      </c>
      <c r="CD58" t="str">
        <f>""</f>
        <v/>
      </c>
      <c r="CE58" t="str">
        <f>""</f>
        <v/>
      </c>
      <c r="CF58" t="str">
        <f>""</f>
        <v/>
      </c>
      <c r="CG58" t="str">
        <f>""</f>
        <v/>
      </c>
      <c r="CH58" t="str">
        <f>"SMTWTFS 0000-2359"</f>
        <v>SMTWTFS 0000-2359</v>
      </c>
    </row>
    <row r="59" spans="1:86" x14ac:dyDescent="0.25">
      <c r="A59" t="s">
        <v>582</v>
      </c>
      <c r="B59" t="s">
        <v>583</v>
      </c>
      <c r="C59" t="s">
        <v>1992</v>
      </c>
      <c r="D59" t="s">
        <v>2028</v>
      </c>
      <c r="E59" t="s">
        <v>584</v>
      </c>
      <c r="H59" t="s">
        <v>585</v>
      </c>
      <c r="I59" t="s">
        <v>586</v>
      </c>
      <c r="J59" t="str">
        <f>"85602-6611"</f>
        <v>85602-6611</v>
      </c>
      <c r="K59" t="s">
        <v>1998</v>
      </c>
      <c r="L59" t="s">
        <v>2045</v>
      </c>
      <c r="M59" t="s">
        <v>2063</v>
      </c>
      <c r="N59" t="s">
        <v>1992</v>
      </c>
      <c r="O59" t="s">
        <v>1992</v>
      </c>
      <c r="P59" t="s">
        <v>1992</v>
      </c>
      <c r="Q59" t="s">
        <v>1992</v>
      </c>
      <c r="R59" t="s">
        <v>1992</v>
      </c>
      <c r="S59" t="s">
        <v>1992</v>
      </c>
      <c r="T59" t="s">
        <v>1992</v>
      </c>
      <c r="U59" t="s">
        <v>1992</v>
      </c>
      <c r="V59" t="s">
        <v>1991</v>
      </c>
      <c r="W59" t="s">
        <v>1991</v>
      </c>
      <c r="X59" t="s">
        <v>1992</v>
      </c>
      <c r="Y59" t="s">
        <v>1992</v>
      </c>
      <c r="Z59" t="s">
        <v>1992</v>
      </c>
      <c r="AF59" t="s">
        <v>2048</v>
      </c>
      <c r="AG59" t="s">
        <v>1992</v>
      </c>
      <c r="AH59">
        <v>30</v>
      </c>
      <c r="AI59">
        <v>30</v>
      </c>
      <c r="AJ59" t="s">
        <v>587</v>
      </c>
      <c r="AK59">
        <v>3589</v>
      </c>
      <c r="AL59">
        <v>4890</v>
      </c>
      <c r="AN59" t="s">
        <v>2066</v>
      </c>
      <c r="BF59" t="s">
        <v>1053</v>
      </c>
      <c r="BG59" t="s">
        <v>2019</v>
      </c>
      <c r="BH59" t="s">
        <v>2053</v>
      </c>
      <c r="BI59" t="s">
        <v>1053</v>
      </c>
      <c r="BO59" t="s">
        <v>1053</v>
      </c>
      <c r="BP59" t="s">
        <v>2101</v>
      </c>
      <c r="BQ59" t="s">
        <v>2055</v>
      </c>
      <c r="BR59" t="s">
        <v>1053</v>
      </c>
      <c r="BS59" t="s">
        <v>1053</v>
      </c>
      <c r="BV59" t="s">
        <v>2056</v>
      </c>
      <c r="BX59" t="str">
        <f>""</f>
        <v/>
      </c>
      <c r="BY59" t="str">
        <f>""</f>
        <v/>
      </c>
      <c r="BZ59" t="str">
        <f>""</f>
        <v/>
      </c>
      <c r="CA59" t="str">
        <f>""</f>
        <v/>
      </c>
      <c r="CB59" t="str">
        <f>""</f>
        <v/>
      </c>
      <c r="CC59" t="str">
        <f>""</f>
        <v/>
      </c>
      <c r="CD59" t="str">
        <f>""</f>
        <v/>
      </c>
      <c r="CE59" t="str">
        <f>""</f>
        <v/>
      </c>
      <c r="CF59" t="str">
        <f>""</f>
        <v/>
      </c>
      <c r="CG59" t="str">
        <f>""</f>
        <v/>
      </c>
      <c r="CH59" t="str">
        <f>""</f>
        <v/>
      </c>
    </row>
    <row r="60" spans="1:86" x14ac:dyDescent="0.25">
      <c r="A60" t="s">
        <v>588</v>
      </c>
      <c r="B60" t="s">
        <v>589</v>
      </c>
      <c r="C60" t="s">
        <v>1991</v>
      </c>
      <c r="D60" t="s">
        <v>2010</v>
      </c>
      <c r="E60" t="s">
        <v>590</v>
      </c>
      <c r="H60" t="s">
        <v>591</v>
      </c>
      <c r="I60" t="s">
        <v>592</v>
      </c>
      <c r="J60" t="str">
        <f>"06037"</f>
        <v>06037</v>
      </c>
      <c r="K60" t="s">
        <v>1998</v>
      </c>
      <c r="L60" t="s">
        <v>2033</v>
      </c>
      <c r="M60" t="s">
        <v>593</v>
      </c>
      <c r="N60" t="s">
        <v>1991</v>
      </c>
      <c r="O60" t="s">
        <v>1992</v>
      </c>
      <c r="P60" t="s">
        <v>1992</v>
      </c>
      <c r="Q60" t="s">
        <v>1992</v>
      </c>
      <c r="R60" t="s">
        <v>1992</v>
      </c>
      <c r="S60" t="s">
        <v>1992</v>
      </c>
      <c r="T60" t="s">
        <v>1992</v>
      </c>
      <c r="U60" t="s">
        <v>1991</v>
      </c>
      <c r="V60" t="s">
        <v>1991</v>
      </c>
      <c r="W60" t="s">
        <v>1991</v>
      </c>
      <c r="X60" t="s">
        <v>1992</v>
      </c>
      <c r="Y60" t="s">
        <v>1992</v>
      </c>
      <c r="Z60" t="s">
        <v>1992</v>
      </c>
      <c r="AA60" t="s">
        <v>1992</v>
      </c>
      <c r="AE60" t="s">
        <v>2047</v>
      </c>
      <c r="AF60" t="s">
        <v>2016</v>
      </c>
      <c r="AG60" t="s">
        <v>1991</v>
      </c>
      <c r="AH60">
        <v>45</v>
      </c>
      <c r="AI60">
        <v>30</v>
      </c>
      <c r="AJ60" t="s">
        <v>594</v>
      </c>
      <c r="AK60">
        <v>62</v>
      </c>
      <c r="AL60">
        <v>15121</v>
      </c>
      <c r="AM60" t="s">
        <v>595</v>
      </c>
      <c r="AN60" t="s">
        <v>1053</v>
      </c>
      <c r="AO60" t="s">
        <v>1053</v>
      </c>
      <c r="AP60" t="s">
        <v>1053</v>
      </c>
      <c r="AQ60" t="s">
        <v>1053</v>
      </c>
      <c r="AR60" t="s">
        <v>1053</v>
      </c>
      <c r="AS60" t="s">
        <v>588</v>
      </c>
      <c r="AT60" t="s">
        <v>596</v>
      </c>
      <c r="AU60" t="s">
        <v>1053</v>
      </c>
      <c r="AV60" t="s">
        <v>1053</v>
      </c>
      <c r="AW60" t="s">
        <v>1053</v>
      </c>
      <c r="AX60" t="s">
        <v>1053</v>
      </c>
      <c r="AY60" t="s">
        <v>1053</v>
      </c>
      <c r="AZ60" t="s">
        <v>588</v>
      </c>
      <c r="BA60" t="s">
        <v>596</v>
      </c>
      <c r="BB60" t="s">
        <v>1053</v>
      </c>
      <c r="BC60" t="s">
        <v>1053</v>
      </c>
      <c r="BD60" t="s">
        <v>1053</v>
      </c>
      <c r="BE60" t="s">
        <v>1053</v>
      </c>
      <c r="BF60" t="s">
        <v>1053</v>
      </c>
      <c r="BG60" t="s">
        <v>597</v>
      </c>
      <c r="BH60" t="s">
        <v>250</v>
      </c>
      <c r="BI60" t="s">
        <v>1053</v>
      </c>
      <c r="BJ60" t="s">
        <v>1053</v>
      </c>
      <c r="BL60" t="s">
        <v>1053</v>
      </c>
      <c r="BO60" t="s">
        <v>1053</v>
      </c>
      <c r="BP60" t="s">
        <v>467</v>
      </c>
      <c r="BQ60" t="s">
        <v>254</v>
      </c>
      <c r="BR60" t="s">
        <v>1053</v>
      </c>
      <c r="BS60" t="s">
        <v>1053</v>
      </c>
      <c r="BT60" t="s">
        <v>1053</v>
      </c>
      <c r="BU60" t="s">
        <v>1053</v>
      </c>
      <c r="BV60" t="s">
        <v>255</v>
      </c>
      <c r="BW60" t="s">
        <v>256</v>
      </c>
      <c r="BX60" t="str">
        <f>"-MTWTF- 0615-1445"</f>
        <v>-MTWTF- 0615-1445</v>
      </c>
      <c r="BY60" t="str">
        <f>""</f>
        <v/>
      </c>
      <c r="BZ60" t="str">
        <f>"-MTWTF- 0615-1145 1245-1445"</f>
        <v>-MTWTF- 0615-1145 1245-1445</v>
      </c>
      <c r="CA60" t="str">
        <f>"-MTWTF- 0615-1145 1245-1445"</f>
        <v>-MTWTF- 0615-1145 1245-1445</v>
      </c>
      <c r="CB60" t="str">
        <f>""</f>
        <v/>
      </c>
      <c r="CC60" t="str">
        <f>""</f>
        <v/>
      </c>
      <c r="CD60" t="str">
        <f>""</f>
        <v/>
      </c>
      <c r="CE60" t="str">
        <f>""</f>
        <v/>
      </c>
      <c r="CF60" t="str">
        <f>""</f>
        <v/>
      </c>
      <c r="CG60" t="str">
        <f>""</f>
        <v/>
      </c>
      <c r="CH60" t="str">
        <f>""</f>
        <v/>
      </c>
    </row>
    <row r="61" spans="1:86" x14ac:dyDescent="0.25">
      <c r="A61" t="s">
        <v>598</v>
      </c>
      <c r="B61" t="s">
        <v>599</v>
      </c>
      <c r="C61" t="s">
        <v>1992</v>
      </c>
      <c r="D61" t="s">
        <v>1993</v>
      </c>
      <c r="E61" t="s">
        <v>600</v>
      </c>
      <c r="F61" t="s">
        <v>601</v>
      </c>
      <c r="H61" t="s">
        <v>602</v>
      </c>
      <c r="I61" t="s">
        <v>2367</v>
      </c>
      <c r="J61" t="str">
        <f>"61080-9723"</f>
        <v>61080-9723</v>
      </c>
      <c r="K61" t="s">
        <v>1998</v>
      </c>
      <c r="L61" t="s">
        <v>1999</v>
      </c>
      <c r="M61" t="s">
        <v>2063</v>
      </c>
      <c r="N61" t="s">
        <v>1992</v>
      </c>
      <c r="O61" t="s">
        <v>1992</v>
      </c>
      <c r="P61" t="s">
        <v>1992</v>
      </c>
      <c r="Q61" t="s">
        <v>1992</v>
      </c>
      <c r="R61" t="s">
        <v>1992</v>
      </c>
      <c r="S61" t="s">
        <v>1992</v>
      </c>
      <c r="T61" t="s">
        <v>1992</v>
      </c>
      <c r="U61" t="s">
        <v>1992</v>
      </c>
      <c r="V61" t="s">
        <v>1991</v>
      </c>
      <c r="W61" t="s">
        <v>1992</v>
      </c>
      <c r="X61" t="s">
        <v>1992</v>
      </c>
      <c r="Y61" t="s">
        <v>1991</v>
      </c>
      <c r="Z61" t="s">
        <v>1991</v>
      </c>
      <c r="AF61" t="s">
        <v>2001</v>
      </c>
      <c r="AG61" t="s">
        <v>1991</v>
      </c>
      <c r="AH61">
        <v>30</v>
      </c>
      <c r="AI61">
        <v>30</v>
      </c>
      <c r="AJ61" t="s">
        <v>603</v>
      </c>
      <c r="AK61">
        <v>798</v>
      </c>
      <c r="AL61">
        <v>5507</v>
      </c>
      <c r="AN61" t="s">
        <v>604</v>
      </c>
      <c r="AO61" t="s">
        <v>1053</v>
      </c>
      <c r="BF61" t="s">
        <v>1053</v>
      </c>
      <c r="BG61" t="s">
        <v>605</v>
      </c>
      <c r="BH61" t="s">
        <v>606</v>
      </c>
      <c r="BI61" t="s">
        <v>1053</v>
      </c>
      <c r="BX61" t="str">
        <f>""</f>
        <v/>
      </c>
      <c r="BY61" t="str">
        <f>""</f>
        <v/>
      </c>
      <c r="BZ61" t="str">
        <f>""</f>
        <v/>
      </c>
      <c r="CA61" t="str">
        <f>""</f>
        <v/>
      </c>
      <c r="CB61" t="str">
        <f>""</f>
        <v/>
      </c>
      <c r="CC61" t="str">
        <f>""</f>
        <v/>
      </c>
      <c r="CD61" t="str">
        <f>""</f>
        <v/>
      </c>
      <c r="CE61" t="str">
        <f>""</f>
        <v/>
      </c>
      <c r="CF61" t="str">
        <f>""</f>
        <v/>
      </c>
      <c r="CG61" t="str">
        <f>""</f>
        <v/>
      </c>
      <c r="CH61" t="str">
        <f>""</f>
        <v/>
      </c>
    </row>
    <row r="62" spans="1:86" x14ac:dyDescent="0.25">
      <c r="A62" t="s">
        <v>607</v>
      </c>
      <c r="B62" t="s">
        <v>2301</v>
      </c>
      <c r="C62" t="s">
        <v>1991</v>
      </c>
      <c r="D62" t="s">
        <v>2010</v>
      </c>
      <c r="E62" t="s">
        <v>608</v>
      </c>
      <c r="F62" t="s">
        <v>609</v>
      </c>
      <c r="H62" t="s">
        <v>610</v>
      </c>
      <c r="I62" t="s">
        <v>2061</v>
      </c>
      <c r="J62" t="str">
        <f>"93301-5319"</f>
        <v>93301-5319</v>
      </c>
      <c r="K62" t="s">
        <v>1998</v>
      </c>
      <c r="L62" t="s">
        <v>2062</v>
      </c>
      <c r="M62" t="s">
        <v>611</v>
      </c>
      <c r="N62" t="s">
        <v>1991</v>
      </c>
      <c r="O62" t="s">
        <v>1991</v>
      </c>
      <c r="P62" t="s">
        <v>1992</v>
      </c>
      <c r="Q62" t="s">
        <v>1991</v>
      </c>
      <c r="R62" t="s">
        <v>1992</v>
      </c>
      <c r="S62" t="s">
        <v>1992</v>
      </c>
      <c r="T62" t="s">
        <v>1992</v>
      </c>
      <c r="U62" t="s">
        <v>1991</v>
      </c>
      <c r="V62" t="s">
        <v>1991</v>
      </c>
      <c r="W62" t="s">
        <v>1991</v>
      </c>
      <c r="X62" t="s">
        <v>1992</v>
      </c>
      <c r="Y62" t="s">
        <v>1991</v>
      </c>
      <c r="Z62" t="s">
        <v>1991</v>
      </c>
      <c r="AA62" t="s">
        <v>1991</v>
      </c>
      <c r="AE62" t="s">
        <v>2047</v>
      </c>
      <c r="AF62" t="s">
        <v>2064</v>
      </c>
      <c r="AG62" t="s">
        <v>1991</v>
      </c>
      <c r="AH62">
        <v>60</v>
      </c>
      <c r="AI62">
        <v>30</v>
      </c>
      <c r="AJ62" t="s">
        <v>612</v>
      </c>
      <c r="AK62">
        <v>406</v>
      </c>
      <c r="AL62">
        <v>240000</v>
      </c>
      <c r="AM62" t="s">
        <v>392</v>
      </c>
      <c r="AN62" t="s">
        <v>1053</v>
      </c>
      <c r="AO62" t="s">
        <v>1053</v>
      </c>
      <c r="AP62" t="s">
        <v>2069</v>
      </c>
      <c r="AQ62" t="s">
        <v>1053</v>
      </c>
      <c r="AR62" t="s">
        <v>2069</v>
      </c>
      <c r="AS62" t="s">
        <v>607</v>
      </c>
      <c r="AT62" t="s">
        <v>613</v>
      </c>
      <c r="AU62" t="s">
        <v>1053</v>
      </c>
      <c r="AV62" t="s">
        <v>1053</v>
      </c>
      <c r="AW62" t="s">
        <v>2069</v>
      </c>
      <c r="AX62" t="s">
        <v>1053</v>
      </c>
      <c r="AY62" t="s">
        <v>2069</v>
      </c>
      <c r="AZ62" t="s">
        <v>607</v>
      </c>
      <c r="BA62" t="s">
        <v>613</v>
      </c>
      <c r="BB62" t="s">
        <v>1053</v>
      </c>
      <c r="BC62" t="s">
        <v>2069</v>
      </c>
      <c r="BD62" t="s">
        <v>1053</v>
      </c>
      <c r="BE62" t="s">
        <v>2069</v>
      </c>
      <c r="BF62" t="s">
        <v>1053</v>
      </c>
      <c r="BG62" t="s">
        <v>2067</v>
      </c>
      <c r="BH62" t="s">
        <v>2068</v>
      </c>
      <c r="BI62" t="s">
        <v>1053</v>
      </c>
      <c r="BJ62" t="s">
        <v>2069</v>
      </c>
      <c r="BK62" t="s">
        <v>1053</v>
      </c>
      <c r="BL62" t="s">
        <v>2069</v>
      </c>
      <c r="BM62" t="s">
        <v>2070</v>
      </c>
      <c r="BN62" t="s">
        <v>2071</v>
      </c>
      <c r="BO62" t="s">
        <v>1053</v>
      </c>
      <c r="BP62" t="s">
        <v>614</v>
      </c>
      <c r="BQ62" t="s">
        <v>2073</v>
      </c>
      <c r="BR62" t="s">
        <v>1053</v>
      </c>
      <c r="BS62" t="s">
        <v>1053</v>
      </c>
      <c r="BT62" t="s">
        <v>1053</v>
      </c>
      <c r="BU62" t="s">
        <v>1053</v>
      </c>
      <c r="BV62" t="s">
        <v>2074</v>
      </c>
      <c r="BX62" t="str">
        <f>"SMTWTFS 0400-2359"</f>
        <v>SMTWTFS 0400-2359</v>
      </c>
      <c r="BY62" t="str">
        <f>"SMTWTFS 0415-2300"</f>
        <v>SMTWTFS 0415-2300</v>
      </c>
      <c r="BZ62" t="str">
        <f>"SMTWTFS 0415-2230"</f>
        <v>SMTWTFS 0415-2230</v>
      </c>
      <c r="CA62" t="str">
        <f>"SMTWTFS 0415-2230"</f>
        <v>SMTWTFS 0415-2230</v>
      </c>
      <c r="CB62" t="str">
        <f>""</f>
        <v/>
      </c>
      <c r="CC62" t="str">
        <f>"SMTWTFS 0400-2359"</f>
        <v>SMTWTFS 0400-2359</v>
      </c>
      <c r="CD62" t="str">
        <f>""</f>
        <v/>
      </c>
      <c r="CE62" t="str">
        <f>""</f>
        <v/>
      </c>
      <c r="CF62" t="str">
        <f>""</f>
        <v/>
      </c>
      <c r="CG62" t="str">
        <f>""</f>
        <v/>
      </c>
      <c r="CH62" t="str">
        <f>""</f>
        <v/>
      </c>
    </row>
    <row r="63" spans="1:86" x14ac:dyDescent="0.25">
      <c r="A63" t="s">
        <v>615</v>
      </c>
      <c r="B63" t="s">
        <v>616</v>
      </c>
      <c r="C63" t="s">
        <v>1992</v>
      </c>
      <c r="D63" t="s">
        <v>1993</v>
      </c>
      <c r="E63" t="s">
        <v>617</v>
      </c>
      <c r="F63" t="s">
        <v>618</v>
      </c>
      <c r="H63" t="s">
        <v>619</v>
      </c>
      <c r="I63" t="s">
        <v>2287</v>
      </c>
      <c r="J63" t="str">
        <f>"04915"</f>
        <v>04915</v>
      </c>
      <c r="K63" t="s">
        <v>1998</v>
      </c>
      <c r="L63" t="s">
        <v>2033</v>
      </c>
      <c r="M63" t="s">
        <v>620</v>
      </c>
      <c r="N63" t="s">
        <v>1992</v>
      </c>
      <c r="O63" t="s">
        <v>1992</v>
      </c>
      <c r="P63" t="s">
        <v>1992</v>
      </c>
      <c r="Q63" t="s">
        <v>1992</v>
      </c>
      <c r="R63" t="s">
        <v>1992</v>
      </c>
      <c r="S63" t="s">
        <v>1992</v>
      </c>
      <c r="T63" t="s">
        <v>1992</v>
      </c>
      <c r="U63" t="s">
        <v>1992</v>
      </c>
      <c r="V63" t="s">
        <v>1991</v>
      </c>
      <c r="W63" t="s">
        <v>1992</v>
      </c>
      <c r="X63" t="s">
        <v>1992</v>
      </c>
      <c r="Y63" t="s">
        <v>1992</v>
      </c>
      <c r="Z63" t="s">
        <v>1991</v>
      </c>
      <c r="AF63" t="s">
        <v>2016</v>
      </c>
      <c r="AG63" t="s">
        <v>1991</v>
      </c>
      <c r="AH63">
        <v>30</v>
      </c>
      <c r="AI63">
        <v>30</v>
      </c>
      <c r="AJ63" t="s">
        <v>621</v>
      </c>
      <c r="AK63">
        <v>199</v>
      </c>
      <c r="AL63">
        <v>6803</v>
      </c>
      <c r="AM63" t="s">
        <v>2298</v>
      </c>
      <c r="AN63" t="s">
        <v>622</v>
      </c>
      <c r="AO63" t="s">
        <v>1053</v>
      </c>
      <c r="BF63" t="s">
        <v>1053</v>
      </c>
      <c r="BG63" t="s">
        <v>476</v>
      </c>
      <c r="BH63" t="s">
        <v>477</v>
      </c>
      <c r="BI63" t="s">
        <v>1053</v>
      </c>
      <c r="BK63" t="s">
        <v>1053</v>
      </c>
      <c r="BX63" t="str">
        <f>"SMTWTFS 0000-2359"</f>
        <v>SMTWTFS 0000-2359</v>
      </c>
      <c r="BY63" t="str">
        <f>""</f>
        <v/>
      </c>
      <c r="BZ63" t="str">
        <f>""</f>
        <v/>
      </c>
      <c r="CA63" t="str">
        <f>""</f>
        <v/>
      </c>
      <c r="CB63" t="str">
        <f>""</f>
        <v/>
      </c>
      <c r="CC63" t="str">
        <f>""</f>
        <v/>
      </c>
      <c r="CD63" t="str">
        <f>""</f>
        <v/>
      </c>
      <c r="CE63" t="str">
        <f>""</f>
        <v/>
      </c>
      <c r="CF63" t="str">
        <f>""</f>
        <v/>
      </c>
      <c r="CG63" t="str">
        <f>""</f>
        <v/>
      </c>
      <c r="CH63" t="str">
        <f>""</f>
        <v/>
      </c>
    </row>
    <row r="64" spans="1:86" x14ac:dyDescent="0.25">
      <c r="A64" t="s">
        <v>623</v>
      </c>
      <c r="B64" t="s">
        <v>624</v>
      </c>
      <c r="C64" t="s">
        <v>1991</v>
      </c>
      <c r="D64" t="s">
        <v>2010</v>
      </c>
      <c r="E64" t="s">
        <v>625</v>
      </c>
      <c r="H64" t="s">
        <v>626</v>
      </c>
      <c r="I64" t="s">
        <v>2321</v>
      </c>
      <c r="J64" t="str">
        <f>"14203"</f>
        <v>14203</v>
      </c>
      <c r="K64" t="s">
        <v>1998</v>
      </c>
      <c r="L64" t="s">
        <v>2033</v>
      </c>
      <c r="M64" t="s">
        <v>627</v>
      </c>
      <c r="N64" t="s">
        <v>1991</v>
      </c>
      <c r="O64" t="s">
        <v>1992</v>
      </c>
      <c r="P64" t="s">
        <v>1992</v>
      </c>
      <c r="Q64" t="s">
        <v>1992</v>
      </c>
      <c r="R64" t="s">
        <v>1992</v>
      </c>
      <c r="S64" t="s">
        <v>1992</v>
      </c>
      <c r="T64" t="s">
        <v>1992</v>
      </c>
      <c r="U64" t="s">
        <v>1991</v>
      </c>
      <c r="V64" t="s">
        <v>1991</v>
      </c>
      <c r="W64" t="s">
        <v>1991</v>
      </c>
      <c r="X64" t="s">
        <v>1992</v>
      </c>
      <c r="Y64" t="s">
        <v>1992</v>
      </c>
      <c r="Z64" t="s">
        <v>1991</v>
      </c>
      <c r="AA64" t="s">
        <v>1992</v>
      </c>
      <c r="AB64" t="s">
        <v>628</v>
      </c>
      <c r="AE64" t="s">
        <v>2047</v>
      </c>
      <c r="AF64" t="s">
        <v>2016</v>
      </c>
      <c r="AG64" t="s">
        <v>1991</v>
      </c>
      <c r="AH64">
        <v>15</v>
      </c>
      <c r="AI64">
        <v>15</v>
      </c>
      <c r="AJ64" t="s">
        <v>629</v>
      </c>
      <c r="AK64">
        <v>587</v>
      </c>
      <c r="AL64">
        <v>315000</v>
      </c>
      <c r="AM64" t="s">
        <v>2298</v>
      </c>
      <c r="AN64" t="s">
        <v>1053</v>
      </c>
      <c r="AO64" t="s">
        <v>1053</v>
      </c>
      <c r="AP64" t="s">
        <v>2069</v>
      </c>
      <c r="AQ64" t="s">
        <v>1053</v>
      </c>
      <c r="AR64" t="s">
        <v>2069</v>
      </c>
      <c r="AS64" t="s">
        <v>623</v>
      </c>
      <c r="AT64" t="s">
        <v>630</v>
      </c>
      <c r="AU64" t="s">
        <v>1053</v>
      </c>
      <c r="AV64" t="s">
        <v>1053</v>
      </c>
      <c r="AW64" t="s">
        <v>2069</v>
      </c>
      <c r="AX64" t="s">
        <v>1053</v>
      </c>
      <c r="AY64" t="s">
        <v>2069</v>
      </c>
      <c r="AZ64" t="s">
        <v>623</v>
      </c>
      <c r="BA64" t="s">
        <v>630</v>
      </c>
      <c r="BB64" t="s">
        <v>1053</v>
      </c>
      <c r="BC64" t="s">
        <v>2069</v>
      </c>
      <c r="BD64" t="s">
        <v>1053</v>
      </c>
      <c r="BE64" t="s">
        <v>2069</v>
      </c>
      <c r="BF64" t="s">
        <v>1053</v>
      </c>
      <c r="BG64" t="s">
        <v>2067</v>
      </c>
      <c r="BH64" t="s">
        <v>631</v>
      </c>
      <c r="BI64" t="s">
        <v>1053</v>
      </c>
      <c r="BJ64" t="s">
        <v>2069</v>
      </c>
      <c r="BK64" t="s">
        <v>1053</v>
      </c>
      <c r="BL64" t="s">
        <v>2069</v>
      </c>
      <c r="BM64" t="s">
        <v>632</v>
      </c>
      <c r="BN64" t="s">
        <v>633</v>
      </c>
      <c r="BO64" t="s">
        <v>1053</v>
      </c>
      <c r="BP64" t="s">
        <v>634</v>
      </c>
      <c r="BQ64" t="s">
        <v>635</v>
      </c>
      <c r="BR64" t="s">
        <v>1053</v>
      </c>
      <c r="BT64" t="s">
        <v>1053</v>
      </c>
      <c r="BV64" t="s">
        <v>2324</v>
      </c>
      <c r="BX64" t="str">
        <f>"-MTWTF- 0615-1615"</f>
        <v>-MTWTF- 0615-1615</v>
      </c>
      <c r="BY64" t="str">
        <f>""</f>
        <v/>
      </c>
      <c r="BZ64" t="str">
        <f>"-MTWTF- 0615-1630"</f>
        <v>-MTWTF- 0615-1630</v>
      </c>
      <c r="CA64" t="str">
        <f>"-MTWTF- 0615-1600"</f>
        <v>-MTWTF- 0615-1600</v>
      </c>
      <c r="CB64" t="str">
        <f>""</f>
        <v/>
      </c>
      <c r="CC64" t="str">
        <f>""</f>
        <v/>
      </c>
      <c r="CD64" t="str">
        <f>""</f>
        <v/>
      </c>
      <c r="CE64" t="str">
        <f>""</f>
        <v/>
      </c>
      <c r="CF64" t="str">
        <f>""</f>
        <v/>
      </c>
      <c r="CG64" t="str">
        <f>""</f>
        <v/>
      </c>
      <c r="CH64" t="str">
        <f>"SMTWTFS 0000-2359"</f>
        <v>SMTWTFS 0000-2359</v>
      </c>
    </row>
    <row r="65" spans="1:86" x14ac:dyDescent="0.25">
      <c r="A65" t="s">
        <v>636</v>
      </c>
      <c r="B65" t="s">
        <v>637</v>
      </c>
      <c r="C65" t="s">
        <v>1992</v>
      </c>
      <c r="D65" t="s">
        <v>1993</v>
      </c>
      <c r="E65" t="s">
        <v>638</v>
      </c>
      <c r="F65" t="s">
        <v>639</v>
      </c>
      <c r="H65" t="s">
        <v>640</v>
      </c>
      <c r="I65" t="s">
        <v>2352</v>
      </c>
      <c r="J65" t="str">
        <f>"49307-2373"</f>
        <v>49307-2373</v>
      </c>
      <c r="K65" t="s">
        <v>1998</v>
      </c>
      <c r="L65" t="s">
        <v>1999</v>
      </c>
      <c r="M65" t="s">
        <v>2063</v>
      </c>
      <c r="N65" t="s">
        <v>1992</v>
      </c>
      <c r="O65" t="s">
        <v>1992</v>
      </c>
      <c r="P65" t="s">
        <v>1992</v>
      </c>
      <c r="Q65" t="s">
        <v>1992</v>
      </c>
      <c r="R65" t="s">
        <v>1992</v>
      </c>
      <c r="S65" t="s">
        <v>1992</v>
      </c>
      <c r="T65" t="s">
        <v>1992</v>
      </c>
      <c r="U65" t="s">
        <v>1992</v>
      </c>
      <c r="V65" t="s">
        <v>1991</v>
      </c>
      <c r="W65" t="s">
        <v>1992</v>
      </c>
      <c r="X65" t="s">
        <v>1992</v>
      </c>
      <c r="Y65" t="s">
        <v>1992</v>
      </c>
      <c r="Z65" t="s">
        <v>1991</v>
      </c>
      <c r="AF65" t="s">
        <v>2016</v>
      </c>
      <c r="AG65" t="s">
        <v>1991</v>
      </c>
      <c r="AH65">
        <v>30</v>
      </c>
      <c r="AI65">
        <v>30</v>
      </c>
      <c r="AJ65" t="s">
        <v>641</v>
      </c>
      <c r="AK65">
        <v>1004</v>
      </c>
      <c r="AL65">
        <v>12603</v>
      </c>
      <c r="AM65" t="s">
        <v>642</v>
      </c>
      <c r="AN65" t="s">
        <v>445</v>
      </c>
      <c r="AO65" t="s">
        <v>1053</v>
      </c>
      <c r="BF65" t="s">
        <v>1053</v>
      </c>
      <c r="BG65" t="s">
        <v>643</v>
      </c>
      <c r="BH65" t="s">
        <v>644</v>
      </c>
      <c r="BI65" t="s">
        <v>1053</v>
      </c>
      <c r="BK65" t="s">
        <v>1053</v>
      </c>
      <c r="BM65" t="s">
        <v>2313</v>
      </c>
      <c r="BN65" t="s">
        <v>2314</v>
      </c>
      <c r="BO65" t="s">
        <v>1053</v>
      </c>
      <c r="BP65" t="s">
        <v>2356</v>
      </c>
      <c r="BQ65" t="s">
        <v>2316</v>
      </c>
      <c r="BR65" t="s">
        <v>1053</v>
      </c>
      <c r="BT65" t="s">
        <v>1053</v>
      </c>
      <c r="BX65" t="str">
        <f>""</f>
        <v/>
      </c>
      <c r="BY65" t="str">
        <f>""</f>
        <v/>
      </c>
      <c r="BZ65" t="str">
        <f>""</f>
        <v/>
      </c>
      <c r="CA65" t="str">
        <f>""</f>
        <v/>
      </c>
      <c r="CB65" t="str">
        <f>""</f>
        <v/>
      </c>
      <c r="CC65" t="str">
        <f>""</f>
        <v/>
      </c>
      <c r="CD65" t="str">
        <f>""</f>
        <v/>
      </c>
      <c r="CE65" t="str">
        <f>""</f>
        <v/>
      </c>
      <c r="CF65" t="str">
        <f>""</f>
        <v/>
      </c>
      <c r="CG65" t="str">
        <f>""</f>
        <v/>
      </c>
      <c r="CH65" t="str">
        <f>""</f>
        <v/>
      </c>
    </row>
    <row r="66" spans="1:86" x14ac:dyDescent="0.25">
      <c r="A66" t="s">
        <v>645</v>
      </c>
      <c r="B66" t="s">
        <v>646</v>
      </c>
      <c r="C66" t="s">
        <v>1991</v>
      </c>
      <c r="D66" t="s">
        <v>2010</v>
      </c>
      <c r="E66" t="s">
        <v>647</v>
      </c>
      <c r="H66" t="s">
        <v>648</v>
      </c>
      <c r="I66" t="s">
        <v>422</v>
      </c>
      <c r="J66" t="str">
        <f>"35203-3109"</f>
        <v>35203-3109</v>
      </c>
      <c r="K66" t="s">
        <v>1998</v>
      </c>
      <c r="L66" t="s">
        <v>408</v>
      </c>
      <c r="M66" t="s">
        <v>649</v>
      </c>
      <c r="N66" t="s">
        <v>1991</v>
      </c>
      <c r="O66" t="s">
        <v>1991</v>
      </c>
      <c r="P66" t="s">
        <v>1992</v>
      </c>
      <c r="Q66" t="s">
        <v>1991</v>
      </c>
      <c r="R66" t="s">
        <v>1991</v>
      </c>
      <c r="S66" t="s">
        <v>1992</v>
      </c>
      <c r="T66" t="s">
        <v>1992</v>
      </c>
      <c r="U66" t="s">
        <v>1991</v>
      </c>
      <c r="V66" t="s">
        <v>1991</v>
      </c>
      <c r="W66" t="s">
        <v>1991</v>
      </c>
      <c r="X66" t="s">
        <v>1992</v>
      </c>
      <c r="Y66" t="s">
        <v>1992</v>
      </c>
      <c r="Z66" t="s">
        <v>1992</v>
      </c>
      <c r="AA66" t="s">
        <v>1991</v>
      </c>
      <c r="AE66" t="s">
        <v>2047</v>
      </c>
      <c r="AF66" t="s">
        <v>2001</v>
      </c>
      <c r="AG66" t="s">
        <v>1991</v>
      </c>
      <c r="AH66">
        <v>60</v>
      </c>
      <c r="AI66">
        <v>60</v>
      </c>
      <c r="AJ66" t="s">
        <v>650</v>
      </c>
      <c r="AK66">
        <v>644</v>
      </c>
      <c r="AL66">
        <v>1212848</v>
      </c>
      <c r="AN66" t="s">
        <v>1053</v>
      </c>
      <c r="AO66" t="s">
        <v>1053</v>
      </c>
      <c r="AP66" t="s">
        <v>2069</v>
      </c>
      <c r="AQ66" t="s">
        <v>1053</v>
      </c>
      <c r="AR66" t="s">
        <v>2069</v>
      </c>
      <c r="AS66" t="s">
        <v>645</v>
      </c>
      <c r="AT66" t="s">
        <v>651</v>
      </c>
      <c r="AU66" t="s">
        <v>1053</v>
      </c>
      <c r="AV66" t="s">
        <v>1053</v>
      </c>
      <c r="AW66" t="s">
        <v>2069</v>
      </c>
      <c r="AX66" t="s">
        <v>1053</v>
      </c>
      <c r="AY66" t="s">
        <v>2069</v>
      </c>
      <c r="AZ66" t="s">
        <v>645</v>
      </c>
      <c r="BA66" t="s">
        <v>651</v>
      </c>
      <c r="BB66" t="s">
        <v>1053</v>
      </c>
      <c r="BC66" t="s">
        <v>2069</v>
      </c>
      <c r="BD66" t="s">
        <v>1053</v>
      </c>
      <c r="BE66" t="s">
        <v>2069</v>
      </c>
      <c r="BF66" t="s">
        <v>1053</v>
      </c>
      <c r="BG66" t="s">
        <v>2067</v>
      </c>
      <c r="BH66" t="s">
        <v>652</v>
      </c>
      <c r="BI66" t="s">
        <v>1053</v>
      </c>
      <c r="BJ66" t="s">
        <v>1053</v>
      </c>
      <c r="BK66" t="s">
        <v>1053</v>
      </c>
      <c r="BL66" t="s">
        <v>1053</v>
      </c>
      <c r="BM66" t="s">
        <v>414</v>
      </c>
      <c r="BN66" t="s">
        <v>412</v>
      </c>
      <c r="BO66" t="s">
        <v>1053</v>
      </c>
      <c r="BP66" t="s">
        <v>653</v>
      </c>
      <c r="BQ66" t="s">
        <v>654</v>
      </c>
      <c r="BR66" t="s">
        <v>1053</v>
      </c>
      <c r="BS66" t="s">
        <v>1053</v>
      </c>
      <c r="BT66" t="s">
        <v>1053</v>
      </c>
      <c r="BU66" t="s">
        <v>1053</v>
      </c>
      <c r="BV66" t="s">
        <v>416</v>
      </c>
      <c r="BW66" t="s">
        <v>417</v>
      </c>
      <c r="BX66" t="str">
        <f t="shared" ref="BX66:CC66" si="1">"SMTWTFS 0900-1700"</f>
        <v>SMTWTFS 0900-1700</v>
      </c>
      <c r="BY66" t="str">
        <f t="shared" si="1"/>
        <v>SMTWTFS 0900-1700</v>
      </c>
      <c r="BZ66" t="str">
        <f t="shared" si="1"/>
        <v>SMTWTFS 0900-1700</v>
      </c>
      <c r="CA66" t="str">
        <f t="shared" si="1"/>
        <v>SMTWTFS 0900-1700</v>
      </c>
      <c r="CB66" t="str">
        <f t="shared" si="1"/>
        <v>SMTWTFS 0900-1700</v>
      </c>
      <c r="CC66" t="str">
        <f t="shared" si="1"/>
        <v>SMTWTFS 0900-1700</v>
      </c>
      <c r="CD66" t="str">
        <f>""</f>
        <v/>
      </c>
      <c r="CE66" t="str">
        <f>""</f>
        <v/>
      </c>
      <c r="CF66" t="str">
        <f>"SMTWTFS 0900-1700"</f>
        <v>SMTWTFS 0900-1700</v>
      </c>
      <c r="CG66" t="str">
        <f>""</f>
        <v/>
      </c>
      <c r="CH66" t="str">
        <f>"SMTWTFS 0000-2359"</f>
        <v>SMTWTFS 0000-2359</v>
      </c>
    </row>
    <row r="67" spans="1:86" x14ac:dyDescent="0.25">
      <c r="A67" t="s">
        <v>655</v>
      </c>
      <c r="B67" t="s">
        <v>656</v>
      </c>
      <c r="C67" t="s">
        <v>1992</v>
      </c>
      <c r="D67" t="s">
        <v>1993</v>
      </c>
      <c r="E67" t="s">
        <v>657</v>
      </c>
      <c r="F67" t="s">
        <v>658</v>
      </c>
      <c r="H67" t="s">
        <v>659</v>
      </c>
      <c r="I67" t="s">
        <v>660</v>
      </c>
      <c r="J67" t="str">
        <f>"03570-1900"</f>
        <v>03570-1900</v>
      </c>
      <c r="K67" t="s">
        <v>1998</v>
      </c>
      <c r="L67" t="s">
        <v>2033</v>
      </c>
      <c r="M67" t="s">
        <v>2000</v>
      </c>
      <c r="N67" t="s">
        <v>1992</v>
      </c>
      <c r="O67" t="s">
        <v>1992</v>
      </c>
      <c r="P67" t="s">
        <v>1992</v>
      </c>
      <c r="Q67" t="s">
        <v>1992</v>
      </c>
      <c r="R67" t="s">
        <v>1992</v>
      </c>
      <c r="S67" t="s">
        <v>1992</v>
      </c>
      <c r="T67" t="s">
        <v>1992</v>
      </c>
      <c r="U67" t="s">
        <v>1992</v>
      </c>
      <c r="V67" t="s">
        <v>1991</v>
      </c>
      <c r="W67" t="s">
        <v>1992</v>
      </c>
      <c r="X67" t="s">
        <v>1992</v>
      </c>
      <c r="Y67" t="s">
        <v>1992</v>
      </c>
      <c r="Z67" t="s">
        <v>1991</v>
      </c>
      <c r="AF67" t="s">
        <v>2016</v>
      </c>
      <c r="AG67" t="s">
        <v>1991</v>
      </c>
      <c r="AH67">
        <v>30</v>
      </c>
      <c r="AI67">
        <v>30</v>
      </c>
      <c r="AJ67" t="s">
        <v>661</v>
      </c>
      <c r="AK67">
        <v>941</v>
      </c>
      <c r="AL67">
        <v>9954</v>
      </c>
      <c r="AM67" t="s">
        <v>2298</v>
      </c>
      <c r="BX67" t="str">
        <f>""</f>
        <v/>
      </c>
      <c r="BY67" t="str">
        <f>""</f>
        <v/>
      </c>
      <c r="BZ67" t="str">
        <f>""</f>
        <v/>
      </c>
      <c r="CA67" t="str">
        <f>""</f>
        <v/>
      </c>
      <c r="CB67" t="str">
        <f>""</f>
        <v/>
      </c>
      <c r="CC67" t="str">
        <f>""</f>
        <v/>
      </c>
      <c r="CD67" t="str">
        <f>""</f>
        <v/>
      </c>
      <c r="CE67" t="str">
        <f>""</f>
        <v/>
      </c>
      <c r="CF67" t="str">
        <f>""</f>
        <v/>
      </c>
      <c r="CG67" t="str">
        <f>""</f>
        <v/>
      </c>
      <c r="CH67" t="str">
        <f>""</f>
        <v/>
      </c>
    </row>
    <row r="68" spans="1:86" x14ac:dyDescent="0.25">
      <c r="A68" t="s">
        <v>662</v>
      </c>
      <c r="B68" t="s">
        <v>663</v>
      </c>
      <c r="C68" t="s">
        <v>1992</v>
      </c>
      <c r="D68" t="s">
        <v>2010</v>
      </c>
      <c r="E68" t="s">
        <v>664</v>
      </c>
      <c r="F68" t="s">
        <v>665</v>
      </c>
      <c r="H68" t="s">
        <v>666</v>
      </c>
      <c r="I68" t="s">
        <v>2295</v>
      </c>
      <c r="J68" t="str">
        <f>"97415"</f>
        <v>97415</v>
      </c>
      <c r="K68" t="s">
        <v>1998</v>
      </c>
      <c r="L68" t="s">
        <v>2062</v>
      </c>
      <c r="M68" t="s">
        <v>2000</v>
      </c>
      <c r="N68" t="s">
        <v>1992</v>
      </c>
      <c r="O68" t="s">
        <v>1992</v>
      </c>
      <c r="P68" t="s">
        <v>1992</v>
      </c>
      <c r="Q68" t="s">
        <v>1992</v>
      </c>
      <c r="R68" t="s">
        <v>1992</v>
      </c>
      <c r="S68" t="s">
        <v>1992</v>
      </c>
      <c r="T68" t="s">
        <v>1992</v>
      </c>
      <c r="U68" t="s">
        <v>1992</v>
      </c>
      <c r="V68" t="s">
        <v>1991</v>
      </c>
      <c r="W68" t="s">
        <v>1992</v>
      </c>
      <c r="X68" t="s">
        <v>1992</v>
      </c>
      <c r="Y68" t="s">
        <v>1992</v>
      </c>
      <c r="Z68" t="s">
        <v>1991</v>
      </c>
      <c r="AA68" t="s">
        <v>1991</v>
      </c>
      <c r="AE68" t="s">
        <v>667</v>
      </c>
      <c r="AF68" t="s">
        <v>2064</v>
      </c>
      <c r="AG68" t="s">
        <v>1991</v>
      </c>
      <c r="AH68">
        <v>15</v>
      </c>
      <c r="AI68">
        <v>15</v>
      </c>
      <c r="AJ68" t="s">
        <v>668</v>
      </c>
      <c r="AK68">
        <v>130</v>
      </c>
      <c r="BX68" t="str">
        <f>""</f>
        <v/>
      </c>
      <c r="BY68" t="str">
        <f>""</f>
        <v/>
      </c>
      <c r="BZ68" t="str">
        <f>""</f>
        <v/>
      </c>
      <c r="CA68" t="str">
        <f>""</f>
        <v/>
      </c>
      <c r="CB68" t="str">
        <f>""</f>
        <v/>
      </c>
      <c r="CC68" t="str">
        <f>""</f>
        <v/>
      </c>
      <c r="CD68" t="str">
        <f>""</f>
        <v/>
      </c>
      <c r="CE68" t="str">
        <f>""</f>
        <v/>
      </c>
      <c r="CF68" t="str">
        <f>""</f>
        <v/>
      </c>
      <c r="CG68" t="str">
        <f>""</f>
        <v/>
      </c>
      <c r="CH68" t="str">
        <f>""</f>
        <v/>
      </c>
    </row>
    <row r="69" spans="1:86" x14ac:dyDescent="0.25">
      <c r="A69" t="s">
        <v>669</v>
      </c>
      <c r="B69" t="s">
        <v>670</v>
      </c>
      <c r="C69" t="s">
        <v>1992</v>
      </c>
      <c r="D69" t="s">
        <v>2331</v>
      </c>
      <c r="E69" t="s">
        <v>671</v>
      </c>
      <c r="F69" t="s">
        <v>672</v>
      </c>
      <c r="H69" t="s">
        <v>673</v>
      </c>
      <c r="I69" t="s">
        <v>2061</v>
      </c>
      <c r="J69" t="str">
        <f>"94710-1924"</f>
        <v>94710-1924</v>
      </c>
      <c r="K69" t="s">
        <v>1998</v>
      </c>
      <c r="L69" t="s">
        <v>2062</v>
      </c>
      <c r="M69" t="s">
        <v>2000</v>
      </c>
      <c r="N69" t="s">
        <v>1992</v>
      </c>
      <c r="O69" t="s">
        <v>1991</v>
      </c>
      <c r="P69" t="s">
        <v>1992</v>
      </c>
      <c r="Q69" t="s">
        <v>1992</v>
      </c>
      <c r="R69" t="s">
        <v>1992</v>
      </c>
      <c r="S69" t="s">
        <v>1992</v>
      </c>
      <c r="T69" t="s">
        <v>1992</v>
      </c>
      <c r="U69" t="s">
        <v>1992</v>
      </c>
      <c r="V69" t="s">
        <v>1991</v>
      </c>
      <c r="W69" t="s">
        <v>1991</v>
      </c>
      <c r="X69" t="s">
        <v>1992</v>
      </c>
      <c r="Y69" t="s">
        <v>1992</v>
      </c>
      <c r="Z69" t="s">
        <v>1992</v>
      </c>
      <c r="AA69" t="s">
        <v>1991</v>
      </c>
      <c r="AF69" t="s">
        <v>2064</v>
      </c>
      <c r="AG69" t="s">
        <v>1991</v>
      </c>
      <c r="AH69">
        <v>15</v>
      </c>
      <c r="AI69">
        <v>15</v>
      </c>
      <c r="AJ69" t="s">
        <v>674</v>
      </c>
      <c r="AK69">
        <v>16</v>
      </c>
      <c r="AL69">
        <v>101555</v>
      </c>
      <c r="AN69" t="s">
        <v>2066</v>
      </c>
      <c r="AO69" t="s">
        <v>2063</v>
      </c>
      <c r="BF69" t="s">
        <v>1053</v>
      </c>
      <c r="BG69" t="s">
        <v>2067</v>
      </c>
      <c r="BH69" t="s">
        <v>348</v>
      </c>
      <c r="BI69" t="s">
        <v>1053</v>
      </c>
      <c r="BK69" t="s">
        <v>1053</v>
      </c>
      <c r="BO69" t="s">
        <v>1053</v>
      </c>
      <c r="BP69" t="s">
        <v>675</v>
      </c>
      <c r="BQ69" t="s">
        <v>2073</v>
      </c>
      <c r="BR69" t="s">
        <v>1053</v>
      </c>
      <c r="BS69" t="s">
        <v>1053</v>
      </c>
      <c r="BX69" t="str">
        <f>""</f>
        <v/>
      </c>
      <c r="BY69" t="str">
        <f>""</f>
        <v/>
      </c>
      <c r="BZ69" t="str">
        <f>""</f>
        <v/>
      </c>
      <c r="CA69" t="str">
        <f>""</f>
        <v/>
      </c>
      <c r="CB69" t="str">
        <f>""</f>
        <v/>
      </c>
      <c r="CC69" t="str">
        <f>"SMTWTFS 0000-2359"</f>
        <v>SMTWTFS 0000-2359</v>
      </c>
      <c r="CD69" t="str">
        <f>""</f>
        <v/>
      </c>
      <c r="CE69" t="str">
        <f>""</f>
        <v/>
      </c>
      <c r="CF69" t="str">
        <f>""</f>
        <v/>
      </c>
      <c r="CG69" t="str">
        <f>""</f>
        <v/>
      </c>
      <c r="CH69" t="str">
        <f>""</f>
        <v/>
      </c>
    </row>
    <row r="70" spans="1:86" x14ac:dyDescent="0.25">
      <c r="A70" t="s">
        <v>676</v>
      </c>
      <c r="B70" t="s">
        <v>677</v>
      </c>
      <c r="C70" t="s">
        <v>1992</v>
      </c>
      <c r="D70" t="s">
        <v>2010</v>
      </c>
      <c r="E70" t="s">
        <v>678</v>
      </c>
      <c r="H70" t="s">
        <v>679</v>
      </c>
      <c r="I70" t="s">
        <v>680</v>
      </c>
      <c r="J70" t="str">
        <f>"05101-1356"</f>
        <v>05101-1356</v>
      </c>
      <c r="K70" t="s">
        <v>1998</v>
      </c>
      <c r="L70" t="s">
        <v>2033</v>
      </c>
      <c r="M70" t="s">
        <v>2063</v>
      </c>
      <c r="N70" t="s">
        <v>1992</v>
      </c>
      <c r="O70" t="s">
        <v>1992</v>
      </c>
      <c r="P70" t="s">
        <v>1992</v>
      </c>
      <c r="Q70" t="s">
        <v>1992</v>
      </c>
      <c r="R70" t="s">
        <v>1992</v>
      </c>
      <c r="S70" t="s">
        <v>1992</v>
      </c>
      <c r="T70" t="s">
        <v>1992</v>
      </c>
      <c r="U70" t="s">
        <v>1992</v>
      </c>
      <c r="V70" t="s">
        <v>1991</v>
      </c>
      <c r="W70" t="s">
        <v>1991</v>
      </c>
      <c r="X70" t="s">
        <v>1992</v>
      </c>
      <c r="Y70" t="s">
        <v>1992</v>
      </c>
      <c r="Z70" t="s">
        <v>1992</v>
      </c>
      <c r="AF70" t="s">
        <v>2016</v>
      </c>
      <c r="AG70" t="s">
        <v>1991</v>
      </c>
      <c r="AH70">
        <v>30</v>
      </c>
      <c r="AI70">
        <v>30</v>
      </c>
      <c r="AJ70" t="s">
        <v>681</v>
      </c>
      <c r="AK70">
        <v>305</v>
      </c>
      <c r="AL70">
        <v>3025</v>
      </c>
      <c r="AM70" t="s">
        <v>682</v>
      </c>
      <c r="AN70" t="s">
        <v>2066</v>
      </c>
      <c r="AO70" t="s">
        <v>2063</v>
      </c>
      <c r="AU70" t="s">
        <v>683</v>
      </c>
      <c r="BF70" t="s">
        <v>1053</v>
      </c>
      <c r="BG70" t="s">
        <v>684</v>
      </c>
      <c r="BH70" t="s">
        <v>685</v>
      </c>
      <c r="BI70" t="s">
        <v>1053</v>
      </c>
      <c r="BJ70" t="s">
        <v>1053</v>
      </c>
      <c r="BK70" t="s">
        <v>1053</v>
      </c>
      <c r="BL70" t="s">
        <v>1053</v>
      </c>
      <c r="BM70" t="s">
        <v>251</v>
      </c>
      <c r="BN70" t="s">
        <v>252</v>
      </c>
      <c r="BO70" t="s">
        <v>1053</v>
      </c>
      <c r="BP70" t="s">
        <v>467</v>
      </c>
      <c r="BQ70" t="s">
        <v>254</v>
      </c>
      <c r="BR70" t="s">
        <v>1053</v>
      </c>
      <c r="BS70" t="s">
        <v>1053</v>
      </c>
      <c r="BT70" t="s">
        <v>1053</v>
      </c>
      <c r="BU70" t="s">
        <v>1053</v>
      </c>
      <c r="BV70" t="s">
        <v>255</v>
      </c>
      <c r="BW70" t="s">
        <v>256</v>
      </c>
      <c r="BX70" t="str">
        <f>"SMTWTFS 1100-1300 1645-1845"</f>
        <v>SMTWTFS 1100-1300 1645-1845</v>
      </c>
      <c r="BY70" t="str">
        <f>""</f>
        <v/>
      </c>
      <c r="BZ70" t="str">
        <f>""</f>
        <v/>
      </c>
      <c r="CA70" t="str">
        <f>""</f>
        <v/>
      </c>
      <c r="CB70" t="str">
        <f>""</f>
        <v/>
      </c>
      <c r="CC70" t="str">
        <f>""</f>
        <v/>
      </c>
      <c r="CD70" t="str">
        <f>""</f>
        <v/>
      </c>
      <c r="CE70" t="str">
        <f>""</f>
        <v/>
      </c>
      <c r="CF70" t="str">
        <f>""</f>
        <v/>
      </c>
      <c r="CG70" t="str">
        <f>""</f>
        <v/>
      </c>
      <c r="CH70" t="str">
        <f>""</f>
        <v/>
      </c>
    </row>
    <row r="71" spans="1:86" x14ac:dyDescent="0.25">
      <c r="A71" t="s">
        <v>686</v>
      </c>
      <c r="B71" t="s">
        <v>687</v>
      </c>
      <c r="C71" t="s">
        <v>1992</v>
      </c>
      <c r="D71" t="s">
        <v>2028</v>
      </c>
      <c r="E71" t="s">
        <v>688</v>
      </c>
      <c r="H71" t="s">
        <v>648</v>
      </c>
      <c r="I71" t="s">
        <v>2352</v>
      </c>
      <c r="J71" t="str">
        <f>"48009"</f>
        <v>48009</v>
      </c>
      <c r="K71" t="s">
        <v>1998</v>
      </c>
      <c r="L71" t="s">
        <v>1999</v>
      </c>
      <c r="M71" t="s">
        <v>2063</v>
      </c>
      <c r="N71" t="s">
        <v>1992</v>
      </c>
      <c r="O71" t="s">
        <v>1992</v>
      </c>
      <c r="P71" t="s">
        <v>1992</v>
      </c>
      <c r="Q71" t="s">
        <v>1992</v>
      </c>
      <c r="R71" t="s">
        <v>1992</v>
      </c>
      <c r="S71" t="s">
        <v>1992</v>
      </c>
      <c r="T71" t="s">
        <v>1992</v>
      </c>
      <c r="U71" t="s">
        <v>1992</v>
      </c>
      <c r="V71" t="s">
        <v>1991</v>
      </c>
      <c r="W71" t="s">
        <v>1991</v>
      </c>
      <c r="X71" t="s">
        <v>1992</v>
      </c>
      <c r="Y71" t="s">
        <v>1992</v>
      </c>
      <c r="Z71" t="s">
        <v>1992</v>
      </c>
      <c r="AA71" t="s">
        <v>1992</v>
      </c>
      <c r="AF71" t="s">
        <v>2016</v>
      </c>
      <c r="AG71" t="s">
        <v>1991</v>
      </c>
      <c r="AH71">
        <v>30</v>
      </c>
      <c r="AI71">
        <v>30</v>
      </c>
      <c r="AJ71" t="s">
        <v>689</v>
      </c>
      <c r="AK71">
        <v>750</v>
      </c>
      <c r="AL71">
        <v>19185</v>
      </c>
      <c r="AN71" t="s">
        <v>2066</v>
      </c>
      <c r="AO71" t="s">
        <v>2063</v>
      </c>
      <c r="BF71" t="s">
        <v>1053</v>
      </c>
      <c r="BG71" t="s">
        <v>643</v>
      </c>
      <c r="BH71" t="s">
        <v>2312</v>
      </c>
      <c r="BI71" t="s">
        <v>1053</v>
      </c>
      <c r="BJ71" t="s">
        <v>2069</v>
      </c>
      <c r="BK71" t="s">
        <v>1053</v>
      </c>
      <c r="BL71" t="s">
        <v>2069</v>
      </c>
      <c r="BM71" t="s">
        <v>2313</v>
      </c>
      <c r="BN71" t="s">
        <v>2314</v>
      </c>
      <c r="BO71" t="s">
        <v>1053</v>
      </c>
      <c r="BP71" t="s">
        <v>301</v>
      </c>
      <c r="BQ71" t="s">
        <v>2316</v>
      </c>
      <c r="BR71" t="s">
        <v>1053</v>
      </c>
      <c r="BT71" t="s">
        <v>1053</v>
      </c>
      <c r="BX71" t="str">
        <f>""</f>
        <v/>
      </c>
      <c r="BY71" t="str">
        <f>""</f>
        <v/>
      </c>
      <c r="BZ71" t="str">
        <f>""</f>
        <v/>
      </c>
      <c r="CA71" t="str">
        <f>""</f>
        <v/>
      </c>
      <c r="CB71" t="str">
        <f>""</f>
        <v/>
      </c>
      <c r="CC71" t="str">
        <f>""</f>
        <v/>
      </c>
      <c r="CD71" t="str">
        <f>""</f>
        <v/>
      </c>
      <c r="CE71" t="str">
        <f>""</f>
        <v/>
      </c>
      <c r="CF71" t="str">
        <f>""</f>
        <v/>
      </c>
      <c r="CG71" t="str">
        <f>""</f>
        <v/>
      </c>
      <c r="CH71" t="str">
        <f>""</f>
        <v/>
      </c>
    </row>
    <row r="72" spans="1:86" x14ac:dyDescent="0.25">
      <c r="A72" t="s">
        <v>690</v>
      </c>
      <c r="B72" t="s">
        <v>691</v>
      </c>
      <c r="C72" t="s">
        <v>1992</v>
      </c>
      <c r="D72" t="s">
        <v>2331</v>
      </c>
      <c r="E72" t="s">
        <v>692</v>
      </c>
      <c r="H72" t="s">
        <v>693</v>
      </c>
      <c r="I72" t="s">
        <v>2381</v>
      </c>
      <c r="J72" t="str">
        <f>"77704"</f>
        <v>77704</v>
      </c>
      <c r="K72" t="s">
        <v>1998</v>
      </c>
      <c r="L72" t="s">
        <v>2045</v>
      </c>
      <c r="M72" t="s">
        <v>2063</v>
      </c>
      <c r="N72" t="s">
        <v>1992</v>
      </c>
      <c r="O72" t="s">
        <v>1992</v>
      </c>
      <c r="P72" t="s">
        <v>1992</v>
      </c>
      <c r="Q72" t="s">
        <v>1992</v>
      </c>
      <c r="R72" t="s">
        <v>1992</v>
      </c>
      <c r="S72" t="s">
        <v>1992</v>
      </c>
      <c r="T72" t="s">
        <v>1992</v>
      </c>
      <c r="U72" t="s">
        <v>1992</v>
      </c>
      <c r="V72" t="s">
        <v>1991</v>
      </c>
      <c r="W72" t="s">
        <v>1991</v>
      </c>
      <c r="X72" t="s">
        <v>1992</v>
      </c>
      <c r="Y72" t="s">
        <v>1992</v>
      </c>
      <c r="Z72" t="s">
        <v>1992</v>
      </c>
      <c r="AF72" t="s">
        <v>2001</v>
      </c>
      <c r="AG72" t="s">
        <v>1991</v>
      </c>
      <c r="AH72">
        <v>30</v>
      </c>
      <c r="AI72">
        <v>30</v>
      </c>
      <c r="AJ72" t="s">
        <v>694</v>
      </c>
      <c r="AK72">
        <v>15</v>
      </c>
      <c r="AL72">
        <v>109856</v>
      </c>
      <c r="AM72" t="s">
        <v>695</v>
      </c>
      <c r="BF72" t="s">
        <v>1053</v>
      </c>
      <c r="BG72" t="s">
        <v>2019</v>
      </c>
      <c r="BH72" t="s">
        <v>2383</v>
      </c>
      <c r="BI72" t="s">
        <v>1053</v>
      </c>
      <c r="BJ72" t="s">
        <v>2069</v>
      </c>
      <c r="BK72" t="s">
        <v>1053</v>
      </c>
      <c r="BL72" t="s">
        <v>2069</v>
      </c>
      <c r="BM72" t="s">
        <v>2099</v>
      </c>
      <c r="BN72" t="s">
        <v>2100</v>
      </c>
      <c r="BO72" t="s">
        <v>1053</v>
      </c>
      <c r="BP72" t="s">
        <v>2101</v>
      </c>
      <c r="BQ72" t="s">
        <v>2055</v>
      </c>
      <c r="BR72" t="s">
        <v>1053</v>
      </c>
      <c r="BS72" t="s">
        <v>1053</v>
      </c>
      <c r="BT72" t="s">
        <v>1053</v>
      </c>
      <c r="BU72" t="s">
        <v>1053</v>
      </c>
      <c r="BV72" t="s">
        <v>2056</v>
      </c>
      <c r="BX72" t="str">
        <f>""</f>
        <v/>
      </c>
      <c r="BY72" t="str">
        <f>""</f>
        <v/>
      </c>
      <c r="BZ72" t="str">
        <f>""</f>
        <v/>
      </c>
      <c r="CA72" t="str">
        <f>""</f>
        <v/>
      </c>
      <c r="CB72" t="str">
        <f>""</f>
        <v/>
      </c>
      <c r="CC72" t="str">
        <f>""</f>
        <v/>
      </c>
      <c r="CD72" t="str">
        <f>""</f>
        <v/>
      </c>
      <c r="CE72" t="str">
        <f>""</f>
        <v/>
      </c>
      <c r="CF72" t="str">
        <f>""</f>
        <v/>
      </c>
      <c r="CG72" t="str">
        <f>""</f>
        <v/>
      </c>
      <c r="CH72" t="str">
        <f>""</f>
        <v/>
      </c>
    </row>
    <row r="73" spans="1:86" x14ac:dyDescent="0.25">
      <c r="A73" t="s">
        <v>696</v>
      </c>
      <c r="B73" t="s">
        <v>697</v>
      </c>
      <c r="C73" t="s">
        <v>1992</v>
      </c>
      <c r="D73" t="s">
        <v>2010</v>
      </c>
      <c r="E73" t="s">
        <v>698</v>
      </c>
      <c r="H73" t="s">
        <v>699</v>
      </c>
      <c r="I73" t="s">
        <v>700</v>
      </c>
      <c r="J73" t="str">
        <f>"27217"</f>
        <v>27217</v>
      </c>
      <c r="K73" t="s">
        <v>1998</v>
      </c>
      <c r="L73" t="s">
        <v>408</v>
      </c>
      <c r="M73" t="s">
        <v>2000</v>
      </c>
      <c r="N73" t="s">
        <v>1992</v>
      </c>
      <c r="O73" t="s">
        <v>1991</v>
      </c>
      <c r="P73" t="s">
        <v>1992</v>
      </c>
      <c r="Q73" t="s">
        <v>1992</v>
      </c>
      <c r="R73" t="s">
        <v>1992</v>
      </c>
      <c r="S73" t="s">
        <v>1992</v>
      </c>
      <c r="T73" t="s">
        <v>1992</v>
      </c>
      <c r="U73" t="s">
        <v>1992</v>
      </c>
      <c r="V73" t="s">
        <v>1991</v>
      </c>
      <c r="W73" t="s">
        <v>1991</v>
      </c>
      <c r="X73" t="s">
        <v>1992</v>
      </c>
      <c r="Y73" t="s">
        <v>1992</v>
      </c>
      <c r="Z73" t="s">
        <v>1992</v>
      </c>
      <c r="AF73" t="s">
        <v>2016</v>
      </c>
      <c r="AG73" t="s">
        <v>1991</v>
      </c>
      <c r="AH73">
        <v>30</v>
      </c>
      <c r="AI73">
        <v>30</v>
      </c>
      <c r="AJ73" t="s">
        <v>701</v>
      </c>
      <c r="AK73">
        <v>662</v>
      </c>
      <c r="AL73">
        <v>48400</v>
      </c>
      <c r="AM73" t="s">
        <v>702</v>
      </c>
      <c r="AN73" t="s">
        <v>702</v>
      </c>
      <c r="AU73" t="s">
        <v>702</v>
      </c>
      <c r="AV73" t="s">
        <v>1053</v>
      </c>
      <c r="AX73" t="s">
        <v>1053</v>
      </c>
      <c r="BF73" t="s">
        <v>1053</v>
      </c>
      <c r="BG73" t="s">
        <v>703</v>
      </c>
      <c r="BH73" t="s">
        <v>704</v>
      </c>
      <c r="BI73" t="s">
        <v>1053</v>
      </c>
      <c r="BJ73" t="s">
        <v>1053</v>
      </c>
      <c r="BK73" t="s">
        <v>1053</v>
      </c>
      <c r="BL73" t="s">
        <v>1053</v>
      </c>
      <c r="BM73" t="s">
        <v>705</v>
      </c>
      <c r="BO73" t="s">
        <v>1053</v>
      </c>
      <c r="BP73" t="s">
        <v>2375</v>
      </c>
      <c r="BQ73" t="s">
        <v>427</v>
      </c>
      <c r="BR73" t="s">
        <v>1053</v>
      </c>
      <c r="BS73" t="s">
        <v>1053</v>
      </c>
      <c r="BT73" t="s">
        <v>1053</v>
      </c>
      <c r="BU73" t="s">
        <v>1053</v>
      </c>
      <c r="BV73" t="s">
        <v>416</v>
      </c>
      <c r="BW73" t="s">
        <v>417</v>
      </c>
      <c r="BX73" t="str">
        <f>"SMTWTFS 0700-0930 1200-1430 1700-2000"</f>
        <v>SMTWTFS 0700-0930 1200-1430 1700-2000</v>
      </c>
      <c r="BY73" t="str">
        <f>""</f>
        <v/>
      </c>
      <c r="BZ73" t="str">
        <f>""</f>
        <v/>
      </c>
      <c r="CA73" t="str">
        <f>""</f>
        <v/>
      </c>
      <c r="CB73" t="str">
        <f>""</f>
        <v/>
      </c>
      <c r="CC73" t="str">
        <f>"SMTWTFS 0700-1000 1200-1500 1700-2000"</f>
        <v>SMTWTFS 0700-1000 1200-1500 1700-2000</v>
      </c>
      <c r="CD73" t="str">
        <f>""</f>
        <v/>
      </c>
      <c r="CE73" t="str">
        <f>""</f>
        <v/>
      </c>
      <c r="CF73" t="str">
        <f>""</f>
        <v/>
      </c>
      <c r="CG73" t="str">
        <f>""</f>
        <v/>
      </c>
      <c r="CH73" t="str">
        <f>""</f>
        <v/>
      </c>
    </row>
    <row r="74" spans="1:86" x14ac:dyDescent="0.25">
      <c r="A74" t="s">
        <v>706</v>
      </c>
      <c r="B74" t="s">
        <v>707</v>
      </c>
      <c r="C74" t="s">
        <v>1992</v>
      </c>
      <c r="D74" t="s">
        <v>1993</v>
      </c>
      <c r="E74" t="s">
        <v>708</v>
      </c>
      <c r="F74" t="s">
        <v>709</v>
      </c>
      <c r="H74" t="s">
        <v>548</v>
      </c>
      <c r="I74" t="s">
        <v>2295</v>
      </c>
      <c r="J74" t="str">
        <f>"97701"</f>
        <v>97701</v>
      </c>
      <c r="K74" t="s">
        <v>1998</v>
      </c>
      <c r="L74" t="s">
        <v>231</v>
      </c>
      <c r="M74" t="s">
        <v>2000</v>
      </c>
      <c r="N74" t="s">
        <v>1992</v>
      </c>
      <c r="O74" t="s">
        <v>1992</v>
      </c>
      <c r="P74" t="s">
        <v>1992</v>
      </c>
      <c r="Q74" t="s">
        <v>1992</v>
      </c>
      <c r="R74" t="s">
        <v>1992</v>
      </c>
      <c r="S74" t="s">
        <v>1992</v>
      </c>
      <c r="T74" t="s">
        <v>1992</v>
      </c>
      <c r="U74" t="s">
        <v>1992</v>
      </c>
      <c r="V74" t="s">
        <v>1991</v>
      </c>
      <c r="Z74" t="s">
        <v>1991</v>
      </c>
      <c r="AB74" t="s">
        <v>549</v>
      </c>
      <c r="AF74" t="s">
        <v>2064</v>
      </c>
      <c r="AG74" t="s">
        <v>1991</v>
      </c>
      <c r="AH74">
        <v>15</v>
      </c>
      <c r="AI74">
        <v>15</v>
      </c>
      <c r="AJ74" t="s">
        <v>710</v>
      </c>
      <c r="AK74">
        <v>3646</v>
      </c>
      <c r="AL74">
        <v>71892</v>
      </c>
      <c r="AM74" t="s">
        <v>711</v>
      </c>
      <c r="BF74" t="s">
        <v>1053</v>
      </c>
      <c r="BG74" t="s">
        <v>712</v>
      </c>
      <c r="BH74" t="s">
        <v>2303</v>
      </c>
      <c r="BI74" t="s">
        <v>1053</v>
      </c>
      <c r="BJ74" t="s">
        <v>1053</v>
      </c>
      <c r="BK74" t="s">
        <v>1053</v>
      </c>
      <c r="BL74" t="s">
        <v>1053</v>
      </c>
      <c r="BO74" t="s">
        <v>1053</v>
      </c>
      <c r="BP74" t="s">
        <v>712</v>
      </c>
      <c r="BQ74" t="s">
        <v>2303</v>
      </c>
      <c r="BR74" t="s">
        <v>1053</v>
      </c>
      <c r="BX74" t="str">
        <f>""</f>
        <v/>
      </c>
      <c r="BY74" t="str">
        <f>""</f>
        <v/>
      </c>
      <c r="BZ74" t="str">
        <f>""</f>
        <v/>
      </c>
      <c r="CA74" t="str">
        <f>""</f>
        <v/>
      </c>
      <c r="CB74" t="str">
        <f>""</f>
        <v/>
      </c>
      <c r="CC74" t="str">
        <f>""</f>
        <v/>
      </c>
      <c r="CD74" t="str">
        <f>""</f>
        <v/>
      </c>
      <c r="CE74" t="str">
        <f>""</f>
        <v/>
      </c>
      <c r="CF74" t="str">
        <f>""</f>
        <v/>
      </c>
      <c r="CG74" t="str">
        <f>""</f>
        <v/>
      </c>
      <c r="CH74" t="str">
        <f>""</f>
        <v/>
      </c>
    </row>
    <row r="75" spans="1:86" x14ac:dyDescent="0.25">
      <c r="A75" t="s">
        <v>713</v>
      </c>
      <c r="B75" t="s">
        <v>714</v>
      </c>
      <c r="D75" t="s">
        <v>2089</v>
      </c>
      <c r="E75" t="s">
        <v>715</v>
      </c>
      <c r="H75" t="s">
        <v>716</v>
      </c>
      <c r="I75" t="s">
        <v>592</v>
      </c>
      <c r="J75" t="str">
        <f>"06405"</f>
        <v>06405</v>
      </c>
      <c r="K75" t="s">
        <v>1998</v>
      </c>
      <c r="L75" t="s">
        <v>717</v>
      </c>
      <c r="M75" t="s">
        <v>718</v>
      </c>
      <c r="O75" t="s">
        <v>1992</v>
      </c>
      <c r="AF75" t="s">
        <v>2016</v>
      </c>
      <c r="AG75" t="s">
        <v>1991</v>
      </c>
      <c r="AJ75" t="s">
        <v>2090</v>
      </c>
      <c r="AM75" t="s">
        <v>719</v>
      </c>
      <c r="BX75" t="str">
        <f>""</f>
        <v/>
      </c>
      <c r="BY75" t="str">
        <f>""</f>
        <v/>
      </c>
      <c r="BZ75" t="str">
        <f>""</f>
        <v/>
      </c>
      <c r="CA75" t="str">
        <f>""</f>
        <v/>
      </c>
      <c r="CB75" t="str">
        <f>""</f>
        <v/>
      </c>
      <c r="CC75" t="str">
        <f>""</f>
        <v/>
      </c>
      <c r="CD75" t="str">
        <f>""</f>
        <v/>
      </c>
      <c r="CE75" t="str">
        <f>""</f>
        <v/>
      </c>
      <c r="CF75" t="str">
        <f>""</f>
        <v/>
      </c>
      <c r="CG75" t="str">
        <f>""</f>
        <v/>
      </c>
      <c r="CH75" t="str">
        <f>""</f>
        <v/>
      </c>
    </row>
    <row r="76" spans="1:86" x14ac:dyDescent="0.25">
      <c r="A76" t="s">
        <v>720</v>
      </c>
      <c r="B76" t="s">
        <v>721</v>
      </c>
      <c r="C76" t="s">
        <v>1992</v>
      </c>
      <c r="D76" t="s">
        <v>2028</v>
      </c>
      <c r="E76" t="s">
        <v>722</v>
      </c>
      <c r="H76" t="s">
        <v>723</v>
      </c>
      <c r="I76" t="s">
        <v>576</v>
      </c>
      <c r="J76" t="str">
        <f>"98605"</f>
        <v>98605</v>
      </c>
      <c r="K76" t="s">
        <v>1998</v>
      </c>
      <c r="L76" t="s">
        <v>231</v>
      </c>
      <c r="M76" t="s">
        <v>2063</v>
      </c>
      <c r="N76" t="s">
        <v>1992</v>
      </c>
      <c r="O76" t="s">
        <v>1992</v>
      </c>
      <c r="P76" t="s">
        <v>1992</v>
      </c>
      <c r="Q76" t="s">
        <v>1992</v>
      </c>
      <c r="R76" t="s">
        <v>1992</v>
      </c>
      <c r="S76" t="s">
        <v>1992</v>
      </c>
      <c r="T76" t="s">
        <v>1992</v>
      </c>
      <c r="U76" t="s">
        <v>1992</v>
      </c>
      <c r="V76" t="s">
        <v>1991</v>
      </c>
      <c r="W76" t="s">
        <v>1991</v>
      </c>
      <c r="X76" t="s">
        <v>1992</v>
      </c>
      <c r="Y76" t="s">
        <v>1992</v>
      </c>
      <c r="Z76" t="s">
        <v>1992</v>
      </c>
      <c r="AA76" t="s">
        <v>1992</v>
      </c>
      <c r="AF76" t="s">
        <v>2064</v>
      </c>
      <c r="AG76" t="s">
        <v>1991</v>
      </c>
      <c r="AH76">
        <v>30</v>
      </c>
      <c r="AI76">
        <v>30</v>
      </c>
      <c r="AJ76" t="s">
        <v>724</v>
      </c>
      <c r="AK76">
        <v>115</v>
      </c>
      <c r="AL76">
        <v>500</v>
      </c>
      <c r="AM76" t="s">
        <v>725</v>
      </c>
      <c r="AN76" t="s">
        <v>2066</v>
      </c>
      <c r="AO76" t="s">
        <v>2063</v>
      </c>
      <c r="AU76" t="s">
        <v>1053</v>
      </c>
      <c r="AV76" t="s">
        <v>1053</v>
      </c>
      <c r="AW76" t="s">
        <v>1053</v>
      </c>
      <c r="BB76" t="s">
        <v>1053</v>
      </c>
      <c r="BF76" t="s">
        <v>1053</v>
      </c>
      <c r="BG76" t="s">
        <v>235</v>
      </c>
      <c r="BH76" t="s">
        <v>236</v>
      </c>
      <c r="BI76" t="s">
        <v>1053</v>
      </c>
      <c r="BJ76" t="s">
        <v>1053</v>
      </c>
      <c r="BK76" t="s">
        <v>1053</v>
      </c>
      <c r="BL76" t="s">
        <v>1053</v>
      </c>
      <c r="BM76" t="s">
        <v>237</v>
      </c>
      <c r="BN76" t="s">
        <v>238</v>
      </c>
      <c r="BO76" t="s">
        <v>1053</v>
      </c>
      <c r="BP76" t="s">
        <v>239</v>
      </c>
      <c r="BQ76" t="s">
        <v>240</v>
      </c>
      <c r="BR76" t="s">
        <v>1053</v>
      </c>
      <c r="BS76" t="s">
        <v>1053</v>
      </c>
      <c r="BT76" t="s">
        <v>1053</v>
      </c>
      <c r="BU76" t="s">
        <v>1053</v>
      </c>
      <c r="BV76" t="s">
        <v>241</v>
      </c>
      <c r="BW76" t="s">
        <v>242</v>
      </c>
      <c r="BX76" t="str">
        <f>"SMTWTFS 0000-2359"</f>
        <v>SMTWTFS 0000-2359</v>
      </c>
      <c r="BY76" t="str">
        <f>""</f>
        <v/>
      </c>
      <c r="BZ76" t="str">
        <f>""</f>
        <v/>
      </c>
      <c r="CA76" t="str">
        <f>""</f>
        <v/>
      </c>
      <c r="CB76" t="str">
        <f>""</f>
        <v/>
      </c>
      <c r="CC76" t="str">
        <f>""</f>
        <v/>
      </c>
      <c r="CD76" t="str">
        <f>""</f>
        <v/>
      </c>
      <c r="CE76" t="str">
        <f>""</f>
        <v/>
      </c>
      <c r="CF76" t="str">
        <f>""</f>
        <v/>
      </c>
      <c r="CG76" t="str">
        <f>""</f>
        <v/>
      </c>
      <c r="CH76" t="str">
        <f>""</f>
        <v/>
      </c>
    </row>
    <row r="77" spans="1:86" x14ac:dyDescent="0.25">
      <c r="A77" t="s">
        <v>726</v>
      </c>
      <c r="B77" t="s">
        <v>727</v>
      </c>
      <c r="C77" t="s">
        <v>1991</v>
      </c>
      <c r="D77" t="s">
        <v>2010</v>
      </c>
      <c r="E77" t="s">
        <v>728</v>
      </c>
      <c r="H77" t="s">
        <v>729</v>
      </c>
      <c r="I77" t="s">
        <v>2367</v>
      </c>
      <c r="J77" t="str">
        <f>"61761-3015"</f>
        <v>61761-3015</v>
      </c>
      <c r="K77" t="s">
        <v>1998</v>
      </c>
      <c r="L77" t="s">
        <v>1999</v>
      </c>
      <c r="M77" t="s">
        <v>730</v>
      </c>
      <c r="N77" t="s">
        <v>1991</v>
      </c>
      <c r="O77" t="s">
        <v>1991</v>
      </c>
      <c r="P77" t="s">
        <v>1992</v>
      </c>
      <c r="Q77" t="s">
        <v>1991</v>
      </c>
      <c r="R77" t="s">
        <v>1991</v>
      </c>
      <c r="S77" t="s">
        <v>1992</v>
      </c>
      <c r="T77" t="s">
        <v>1992</v>
      </c>
      <c r="U77" t="s">
        <v>1991</v>
      </c>
      <c r="V77" t="s">
        <v>1991</v>
      </c>
      <c r="W77" t="s">
        <v>1991</v>
      </c>
      <c r="X77" t="s">
        <v>1992</v>
      </c>
      <c r="Y77" t="s">
        <v>1992</v>
      </c>
      <c r="Z77" t="s">
        <v>1991</v>
      </c>
      <c r="AE77" t="s">
        <v>2047</v>
      </c>
      <c r="AF77" t="s">
        <v>2001</v>
      </c>
      <c r="AG77" t="s">
        <v>1991</v>
      </c>
      <c r="AH77">
        <v>60</v>
      </c>
      <c r="AI77">
        <v>30</v>
      </c>
      <c r="AJ77" t="s">
        <v>731</v>
      </c>
      <c r="AK77">
        <v>788</v>
      </c>
      <c r="AL77">
        <v>100000</v>
      </c>
      <c r="AN77" t="s">
        <v>1053</v>
      </c>
      <c r="AO77" t="s">
        <v>1053</v>
      </c>
      <c r="AP77" t="s">
        <v>2069</v>
      </c>
      <c r="AQ77" t="s">
        <v>1053</v>
      </c>
      <c r="AR77" t="s">
        <v>2069</v>
      </c>
      <c r="AS77" t="s">
        <v>726</v>
      </c>
      <c r="AT77" t="s">
        <v>732</v>
      </c>
      <c r="AU77" t="s">
        <v>1053</v>
      </c>
      <c r="AV77" t="s">
        <v>1053</v>
      </c>
      <c r="AW77" t="s">
        <v>2069</v>
      </c>
      <c r="AX77" t="s">
        <v>1053</v>
      </c>
      <c r="AY77" t="s">
        <v>2069</v>
      </c>
      <c r="AZ77" t="s">
        <v>726</v>
      </c>
      <c r="BA77" t="s">
        <v>732</v>
      </c>
      <c r="BB77" t="s">
        <v>1053</v>
      </c>
      <c r="BC77" t="s">
        <v>2069</v>
      </c>
      <c r="BD77" t="s">
        <v>1053</v>
      </c>
      <c r="BE77" t="s">
        <v>2069</v>
      </c>
      <c r="BF77" t="s">
        <v>1053</v>
      </c>
      <c r="BG77" t="s">
        <v>2371</v>
      </c>
      <c r="BH77" t="s">
        <v>733</v>
      </c>
      <c r="BI77" t="s">
        <v>1053</v>
      </c>
      <c r="BJ77" t="s">
        <v>1053</v>
      </c>
      <c r="BK77" t="s">
        <v>1053</v>
      </c>
      <c r="BL77" t="s">
        <v>1053</v>
      </c>
      <c r="BM77" t="s">
        <v>2373</v>
      </c>
      <c r="BN77" t="s">
        <v>2374</v>
      </c>
      <c r="BO77" t="s">
        <v>1053</v>
      </c>
      <c r="BP77" t="s">
        <v>653</v>
      </c>
      <c r="BQ77" t="s">
        <v>2376</v>
      </c>
      <c r="BR77" t="s">
        <v>1053</v>
      </c>
      <c r="BX77" t="str">
        <f>"SMTWTFS 0630-2130"</f>
        <v>SMTWTFS 0630-2130</v>
      </c>
      <c r="BY77" t="str">
        <f>"SMTWTFS 0630-2130"</f>
        <v>SMTWTFS 0630-2130</v>
      </c>
      <c r="BZ77" t="str">
        <f>"SMTWTFS 0630-2130"</f>
        <v>SMTWTFS 0630-2130</v>
      </c>
      <c r="CA77" t="str">
        <f>"SMTWTFS 0630-2115"</f>
        <v>SMTWTFS 0630-2115</v>
      </c>
      <c r="CB77" t="str">
        <f>""</f>
        <v/>
      </c>
      <c r="CC77" t="str">
        <f>"SMTWTFS 0630-2130"</f>
        <v>SMTWTFS 0630-2130</v>
      </c>
      <c r="CD77" t="str">
        <f>""</f>
        <v/>
      </c>
      <c r="CE77" t="str">
        <f>""</f>
        <v/>
      </c>
      <c r="CF77" t="str">
        <f>"SMTWTFS 0630-2130"</f>
        <v>SMTWTFS 0630-2130</v>
      </c>
      <c r="CG77" t="str">
        <f>""</f>
        <v/>
      </c>
      <c r="CH77" t="str">
        <f>""</f>
        <v/>
      </c>
    </row>
    <row r="78" spans="1:86" x14ac:dyDescent="0.25">
      <c r="A78" t="s">
        <v>734</v>
      </c>
      <c r="B78" t="s">
        <v>735</v>
      </c>
      <c r="C78" t="s">
        <v>1992</v>
      </c>
      <c r="D78" t="s">
        <v>1993</v>
      </c>
      <c r="E78" t="s">
        <v>736</v>
      </c>
      <c r="F78" t="s">
        <v>737</v>
      </c>
      <c r="H78" t="s">
        <v>738</v>
      </c>
      <c r="I78" t="s">
        <v>2295</v>
      </c>
      <c r="J78" t="str">
        <f>"97720"</f>
        <v>97720</v>
      </c>
      <c r="K78" t="s">
        <v>1998</v>
      </c>
      <c r="L78" t="s">
        <v>231</v>
      </c>
      <c r="M78" t="s">
        <v>2063</v>
      </c>
      <c r="N78" t="s">
        <v>1992</v>
      </c>
      <c r="O78" t="s">
        <v>1992</v>
      </c>
      <c r="P78" t="s">
        <v>1992</v>
      </c>
      <c r="Q78" t="s">
        <v>1992</v>
      </c>
      <c r="R78" t="s">
        <v>1992</v>
      </c>
      <c r="S78" t="s">
        <v>1992</v>
      </c>
      <c r="T78" t="s">
        <v>1992</v>
      </c>
      <c r="U78" t="s">
        <v>1992</v>
      </c>
      <c r="V78" t="s">
        <v>1991</v>
      </c>
      <c r="W78" t="s">
        <v>1992</v>
      </c>
      <c r="X78" t="s">
        <v>1992</v>
      </c>
      <c r="Y78" t="s">
        <v>1991</v>
      </c>
      <c r="Z78" t="s">
        <v>1991</v>
      </c>
      <c r="AF78" t="s">
        <v>2064</v>
      </c>
      <c r="AG78" t="s">
        <v>1991</v>
      </c>
      <c r="AH78">
        <v>30</v>
      </c>
      <c r="AI78">
        <v>30</v>
      </c>
      <c r="AJ78" t="s">
        <v>739</v>
      </c>
      <c r="AK78">
        <v>4154</v>
      </c>
      <c r="AL78">
        <v>2745</v>
      </c>
      <c r="AM78" t="s">
        <v>2298</v>
      </c>
      <c r="AN78" t="s">
        <v>450</v>
      </c>
      <c r="AO78" t="s">
        <v>2063</v>
      </c>
      <c r="BF78" t="s">
        <v>1053</v>
      </c>
      <c r="BG78" t="s">
        <v>394</v>
      </c>
      <c r="BH78" t="s">
        <v>311</v>
      </c>
      <c r="BI78" t="s">
        <v>1053</v>
      </c>
      <c r="BJ78" t="s">
        <v>1053</v>
      </c>
      <c r="BK78" t="s">
        <v>1053</v>
      </c>
      <c r="BL78" t="s">
        <v>1053</v>
      </c>
      <c r="BX78" t="str">
        <f>""</f>
        <v/>
      </c>
      <c r="BY78" t="str">
        <f>""</f>
        <v/>
      </c>
      <c r="BZ78" t="str">
        <f>""</f>
        <v/>
      </c>
      <c r="CA78" t="str">
        <f>""</f>
        <v/>
      </c>
      <c r="CB78" t="str">
        <f>""</f>
        <v/>
      </c>
      <c r="CC78" t="str">
        <f>""</f>
        <v/>
      </c>
      <c r="CD78" t="str">
        <f>""</f>
        <v/>
      </c>
      <c r="CE78" t="str">
        <f>""</f>
        <v/>
      </c>
      <c r="CF78" t="str">
        <f>""</f>
        <v/>
      </c>
      <c r="CG78" t="str">
        <f>""</f>
        <v/>
      </c>
      <c r="CH78" t="str">
        <f>""</f>
        <v/>
      </c>
    </row>
    <row r="79" spans="1:86" x14ac:dyDescent="0.25">
      <c r="A79" t="s">
        <v>740</v>
      </c>
      <c r="B79" t="s">
        <v>741</v>
      </c>
      <c r="C79" t="s">
        <v>1992</v>
      </c>
      <c r="D79" t="s">
        <v>2010</v>
      </c>
      <c r="E79" t="s">
        <v>742</v>
      </c>
      <c r="F79" t="s">
        <v>743</v>
      </c>
      <c r="H79" t="s">
        <v>744</v>
      </c>
      <c r="I79" t="s">
        <v>401</v>
      </c>
      <c r="J79" t="str">
        <f>"83702-5619"</f>
        <v>83702-5619</v>
      </c>
      <c r="K79" t="s">
        <v>1998</v>
      </c>
      <c r="L79" t="s">
        <v>231</v>
      </c>
      <c r="M79" t="s">
        <v>745</v>
      </c>
      <c r="N79" t="s">
        <v>1992</v>
      </c>
      <c r="O79" t="s">
        <v>1992</v>
      </c>
      <c r="P79" t="s">
        <v>1992</v>
      </c>
      <c r="Q79" t="s">
        <v>1992</v>
      </c>
      <c r="R79" t="s">
        <v>1992</v>
      </c>
      <c r="S79" t="s">
        <v>1992</v>
      </c>
      <c r="T79" t="s">
        <v>1992</v>
      </c>
      <c r="U79" t="s">
        <v>1992</v>
      </c>
      <c r="V79" t="s">
        <v>1991</v>
      </c>
      <c r="W79" t="s">
        <v>1992</v>
      </c>
      <c r="X79" t="s">
        <v>1992</v>
      </c>
      <c r="Y79" t="s">
        <v>1992</v>
      </c>
      <c r="Z79" t="s">
        <v>1991</v>
      </c>
      <c r="AE79" t="s">
        <v>746</v>
      </c>
      <c r="AF79" t="s">
        <v>2064</v>
      </c>
      <c r="AG79" t="s">
        <v>1991</v>
      </c>
      <c r="AH79">
        <v>30</v>
      </c>
      <c r="AI79">
        <v>30</v>
      </c>
      <c r="AJ79" t="s">
        <v>747</v>
      </c>
      <c r="AK79">
        <v>2696</v>
      </c>
      <c r="AL79">
        <v>163000</v>
      </c>
      <c r="AM79" t="s">
        <v>2298</v>
      </c>
      <c r="AN79" t="s">
        <v>748</v>
      </c>
      <c r="AO79" t="s">
        <v>1053</v>
      </c>
      <c r="BF79" t="s">
        <v>1053</v>
      </c>
      <c r="BG79" t="s">
        <v>394</v>
      </c>
      <c r="BH79" t="s">
        <v>311</v>
      </c>
      <c r="BI79" t="s">
        <v>1053</v>
      </c>
      <c r="BJ79" t="s">
        <v>1053</v>
      </c>
      <c r="BK79" t="s">
        <v>1053</v>
      </c>
      <c r="BL79" t="s">
        <v>1053</v>
      </c>
      <c r="BO79" t="s">
        <v>357</v>
      </c>
      <c r="BP79" t="s">
        <v>357</v>
      </c>
      <c r="BQ79" t="s">
        <v>357</v>
      </c>
      <c r="BR79" t="s">
        <v>2063</v>
      </c>
      <c r="BX79" t="str">
        <f>"S-----S 0000-0230 0530-1000 1500-2100 2300-2359; -MTWTF- 0000-0230 0530-2100 2200-2359"</f>
        <v>S-----S 0000-0230 0530-1000 1500-2100 2300-2359; -MTWTF- 0000-0230 0530-2100 2200-2359</v>
      </c>
      <c r="BY79" t="str">
        <f>""</f>
        <v/>
      </c>
      <c r="BZ79" t="str">
        <f>""</f>
        <v/>
      </c>
      <c r="CA79" t="str">
        <f>""</f>
        <v/>
      </c>
      <c r="CB79" t="str">
        <f>"S-----S 0000-0230 0530-1000 1500-2100 2300-2359; -MTWTF- 0000-0230 0530-2100 2200-2359"</f>
        <v>S-----S 0000-0230 0530-1000 1500-2100 2300-2359; -MTWTF- 0000-0230 0530-2100 2200-2359</v>
      </c>
      <c r="CC79" t="str">
        <f>""</f>
        <v/>
      </c>
      <c r="CD79" t="str">
        <f>""</f>
        <v/>
      </c>
      <c r="CE79" t="str">
        <f>""</f>
        <v/>
      </c>
      <c r="CF79" t="str">
        <f>""</f>
        <v/>
      </c>
      <c r="CG79" t="str">
        <f>""</f>
        <v/>
      </c>
      <c r="CH79" t="str">
        <f>""</f>
        <v/>
      </c>
    </row>
    <row r="80" spans="1:86" x14ac:dyDescent="0.25">
      <c r="A80" t="s">
        <v>749</v>
      </c>
      <c r="B80" t="s">
        <v>750</v>
      </c>
      <c r="C80" t="s">
        <v>1991</v>
      </c>
      <c r="D80" t="s">
        <v>2010</v>
      </c>
      <c r="E80" t="s">
        <v>751</v>
      </c>
      <c r="F80" t="s">
        <v>752</v>
      </c>
      <c r="H80" t="s">
        <v>511</v>
      </c>
      <c r="I80" t="s">
        <v>247</v>
      </c>
      <c r="J80" t="str">
        <f>"02114"</f>
        <v>02114</v>
      </c>
      <c r="K80" t="s">
        <v>1998</v>
      </c>
      <c r="L80" t="s">
        <v>2033</v>
      </c>
      <c r="M80" t="s">
        <v>2000</v>
      </c>
      <c r="N80" t="s">
        <v>1991</v>
      </c>
      <c r="O80" t="s">
        <v>1991</v>
      </c>
      <c r="P80" t="s">
        <v>1992</v>
      </c>
      <c r="Q80" t="s">
        <v>1992</v>
      </c>
      <c r="R80" t="s">
        <v>1992</v>
      </c>
      <c r="S80" t="s">
        <v>1992</v>
      </c>
      <c r="T80" t="s">
        <v>1992</v>
      </c>
      <c r="U80" t="s">
        <v>1992</v>
      </c>
      <c r="V80" t="s">
        <v>1991</v>
      </c>
      <c r="W80" t="s">
        <v>1991</v>
      </c>
      <c r="X80" t="s">
        <v>1991</v>
      </c>
      <c r="Y80" t="s">
        <v>1992</v>
      </c>
      <c r="Z80" t="s">
        <v>1992</v>
      </c>
      <c r="AA80" t="s">
        <v>1992</v>
      </c>
      <c r="AB80" t="s">
        <v>753</v>
      </c>
      <c r="AE80" t="s">
        <v>754</v>
      </c>
      <c r="AF80" t="s">
        <v>2016</v>
      </c>
      <c r="AG80" t="s">
        <v>1991</v>
      </c>
      <c r="AH80">
        <v>30</v>
      </c>
      <c r="AI80">
        <v>30</v>
      </c>
      <c r="AJ80" t="s">
        <v>755</v>
      </c>
      <c r="AK80">
        <v>10</v>
      </c>
      <c r="AL80">
        <v>641071</v>
      </c>
      <c r="AM80" t="s">
        <v>756</v>
      </c>
      <c r="AN80" t="s">
        <v>1053</v>
      </c>
      <c r="AO80" t="s">
        <v>1053</v>
      </c>
      <c r="AP80" t="s">
        <v>2083</v>
      </c>
      <c r="AQ80" t="s">
        <v>1053</v>
      </c>
      <c r="AR80" t="s">
        <v>2083</v>
      </c>
      <c r="AS80" t="s">
        <v>749</v>
      </c>
      <c r="AT80" t="s">
        <v>757</v>
      </c>
      <c r="AV80" t="s">
        <v>1053</v>
      </c>
      <c r="AW80" t="s">
        <v>2083</v>
      </c>
      <c r="AX80" t="s">
        <v>1053</v>
      </c>
      <c r="AY80" t="s">
        <v>2083</v>
      </c>
      <c r="AZ80" t="s">
        <v>749</v>
      </c>
      <c r="BA80" t="s">
        <v>757</v>
      </c>
      <c r="BB80" t="s">
        <v>1053</v>
      </c>
      <c r="BC80" t="s">
        <v>2069</v>
      </c>
      <c r="BD80" t="s">
        <v>1053</v>
      </c>
      <c r="BE80" t="s">
        <v>2069</v>
      </c>
      <c r="BF80" t="s">
        <v>1053</v>
      </c>
      <c r="BG80" t="s">
        <v>758</v>
      </c>
      <c r="BH80" t="s">
        <v>759</v>
      </c>
      <c r="BI80" t="s">
        <v>1053</v>
      </c>
      <c r="BJ80" t="s">
        <v>2069</v>
      </c>
      <c r="BK80" t="s">
        <v>1053</v>
      </c>
      <c r="BL80" t="s">
        <v>2069</v>
      </c>
      <c r="BM80" t="s">
        <v>749</v>
      </c>
      <c r="BN80" t="s">
        <v>757</v>
      </c>
      <c r="BO80" t="s">
        <v>1053</v>
      </c>
      <c r="BP80" t="s">
        <v>760</v>
      </c>
      <c r="BQ80" t="s">
        <v>759</v>
      </c>
      <c r="BR80" t="s">
        <v>1053</v>
      </c>
      <c r="BS80" t="s">
        <v>2069</v>
      </c>
      <c r="BT80" t="s">
        <v>1053</v>
      </c>
      <c r="BU80" t="s">
        <v>2069</v>
      </c>
      <c r="BV80" t="s">
        <v>749</v>
      </c>
      <c r="BW80" t="s">
        <v>757</v>
      </c>
      <c r="BX80" t="str">
        <f>"SMTWTFS 0000-0100 0500-2359"</f>
        <v>SMTWTFS 0000-0100 0500-2359</v>
      </c>
      <c r="BY80" t="str">
        <f>""</f>
        <v/>
      </c>
      <c r="BZ80" t="str">
        <f>""</f>
        <v/>
      </c>
      <c r="CA80" t="str">
        <f>"S-----S 0800-2030; -MTWTF- 0600-2100"</f>
        <v>S-----S 0800-2030; -MTWTF- 0600-2100</v>
      </c>
      <c r="CB80" t="str">
        <f>""</f>
        <v/>
      </c>
      <c r="CC80" t="str">
        <f>"SMTWTFS 0000-0100 0500-2359"</f>
        <v>SMTWTFS 0000-0100 0500-2359</v>
      </c>
      <c r="CD80" t="str">
        <f>""</f>
        <v/>
      </c>
      <c r="CE80" t="str">
        <f>""</f>
        <v/>
      </c>
      <c r="CF80" t="str">
        <f>""</f>
        <v/>
      </c>
      <c r="CG80" t="str">
        <f>""</f>
        <v/>
      </c>
      <c r="CH80" t="str">
        <f>""</f>
        <v/>
      </c>
    </row>
    <row r="81" spans="1:86" x14ac:dyDescent="0.25">
      <c r="A81" t="s">
        <v>516</v>
      </c>
      <c r="B81" t="s">
        <v>761</v>
      </c>
      <c r="C81" t="s">
        <v>1991</v>
      </c>
      <c r="D81" t="s">
        <v>2010</v>
      </c>
      <c r="E81" t="s">
        <v>762</v>
      </c>
      <c r="F81" t="s">
        <v>763</v>
      </c>
      <c r="H81" t="s">
        <v>511</v>
      </c>
      <c r="I81" t="s">
        <v>247</v>
      </c>
      <c r="J81" t="str">
        <f>"02110"</f>
        <v>02110</v>
      </c>
      <c r="K81" t="s">
        <v>1998</v>
      </c>
      <c r="L81" t="s">
        <v>2033</v>
      </c>
      <c r="M81" t="s">
        <v>764</v>
      </c>
      <c r="N81" t="s">
        <v>1991</v>
      </c>
      <c r="O81" t="s">
        <v>1991</v>
      </c>
      <c r="P81" t="s">
        <v>1992</v>
      </c>
      <c r="Q81" t="s">
        <v>1991</v>
      </c>
      <c r="R81" t="s">
        <v>1991</v>
      </c>
      <c r="S81" t="s">
        <v>1992</v>
      </c>
      <c r="T81" t="s">
        <v>1991</v>
      </c>
      <c r="U81" t="s">
        <v>1991</v>
      </c>
      <c r="V81" t="s">
        <v>1991</v>
      </c>
      <c r="W81" t="s">
        <v>1991</v>
      </c>
      <c r="X81" t="s">
        <v>1991</v>
      </c>
      <c r="Y81" t="s">
        <v>1991</v>
      </c>
      <c r="Z81" t="s">
        <v>1992</v>
      </c>
      <c r="AA81" t="s">
        <v>1991</v>
      </c>
      <c r="AB81" t="s">
        <v>753</v>
      </c>
      <c r="AF81" t="s">
        <v>2016</v>
      </c>
      <c r="AG81" t="s">
        <v>1991</v>
      </c>
      <c r="AH81">
        <v>60</v>
      </c>
      <c r="AI81">
        <v>30</v>
      </c>
      <c r="AJ81" t="s">
        <v>765</v>
      </c>
      <c r="AK81">
        <v>14</v>
      </c>
      <c r="AL81">
        <v>641071</v>
      </c>
      <c r="AM81" t="s">
        <v>2298</v>
      </c>
      <c r="AN81" t="s">
        <v>1053</v>
      </c>
      <c r="AO81" t="s">
        <v>1053</v>
      </c>
      <c r="AP81" t="s">
        <v>1053</v>
      </c>
      <c r="AQ81" t="s">
        <v>1053</v>
      </c>
      <c r="AR81" t="s">
        <v>1053</v>
      </c>
      <c r="AS81" t="s">
        <v>516</v>
      </c>
      <c r="AT81" t="s">
        <v>517</v>
      </c>
      <c r="AU81" t="s">
        <v>1053</v>
      </c>
      <c r="AV81" t="s">
        <v>1053</v>
      </c>
      <c r="AW81" t="s">
        <v>1053</v>
      </c>
      <c r="AX81" t="s">
        <v>1053</v>
      </c>
      <c r="AY81" t="s">
        <v>1053</v>
      </c>
      <c r="AZ81" t="s">
        <v>516</v>
      </c>
      <c r="BA81" t="s">
        <v>523</v>
      </c>
      <c r="BB81" t="s">
        <v>1053</v>
      </c>
      <c r="BC81" t="s">
        <v>1053</v>
      </c>
      <c r="BD81" t="s">
        <v>1053</v>
      </c>
      <c r="BE81" t="s">
        <v>1053</v>
      </c>
      <c r="BF81" t="s">
        <v>1053</v>
      </c>
      <c r="BG81" t="s">
        <v>518</v>
      </c>
      <c r="BH81" t="s">
        <v>766</v>
      </c>
      <c r="BI81" t="s">
        <v>1053</v>
      </c>
      <c r="BJ81" t="s">
        <v>1053</v>
      </c>
      <c r="BK81" t="s">
        <v>1053</v>
      </c>
      <c r="BL81" t="s">
        <v>1053</v>
      </c>
      <c r="BM81" t="s">
        <v>516</v>
      </c>
      <c r="BN81" t="s">
        <v>517</v>
      </c>
      <c r="BO81" t="s">
        <v>1053</v>
      </c>
      <c r="BP81" t="s">
        <v>521</v>
      </c>
      <c r="BQ81" t="s">
        <v>522</v>
      </c>
      <c r="BR81" t="s">
        <v>1053</v>
      </c>
      <c r="BS81" t="s">
        <v>1053</v>
      </c>
      <c r="BT81" t="s">
        <v>1053</v>
      </c>
      <c r="BU81" t="s">
        <v>1053</v>
      </c>
      <c r="BV81" t="s">
        <v>520</v>
      </c>
      <c r="BW81" t="s">
        <v>523</v>
      </c>
      <c r="BX81" t="str">
        <f>"SMTWTFS 0000-2359"</f>
        <v>SMTWTFS 0000-2359</v>
      </c>
      <c r="BY81" t="str">
        <f>"SMTWTFS 0630-2330"</f>
        <v>SMTWTFS 0630-2330</v>
      </c>
      <c r="BZ81" t="str">
        <f>"SMTWTFS 0500-2359"</f>
        <v>SMTWTFS 0500-2359</v>
      </c>
      <c r="CA81" t="str">
        <f>"S-----S 0545-2200; -MTWTF- 0445-2200"</f>
        <v>S-----S 0545-2200; -MTWTF- 0445-2200</v>
      </c>
      <c r="CB81" t="str">
        <f>""</f>
        <v/>
      </c>
      <c r="CC81" t="str">
        <f>"SMTWTFS 0000-2359"</f>
        <v>SMTWTFS 0000-2359</v>
      </c>
      <c r="CD81" t="str">
        <f>""</f>
        <v/>
      </c>
      <c r="CE81" t="str">
        <f>"SMTWTFS 0530-2130"</f>
        <v>SMTWTFS 0530-2130</v>
      </c>
      <c r="CF81" t="str">
        <f>"SMTWTFS 0700-2000"</f>
        <v>SMTWTFS 0700-2000</v>
      </c>
      <c r="CG81" t="str">
        <f>""</f>
        <v/>
      </c>
      <c r="CH81" t="str">
        <f>"SMTWTFS 0000-2359"</f>
        <v>SMTWTFS 0000-2359</v>
      </c>
    </row>
    <row r="82" spans="1:86" x14ac:dyDescent="0.25">
      <c r="A82" t="s">
        <v>767</v>
      </c>
      <c r="B82" t="s">
        <v>768</v>
      </c>
      <c r="C82" t="s">
        <v>1992</v>
      </c>
      <c r="D82" t="s">
        <v>2010</v>
      </c>
      <c r="E82" t="s">
        <v>769</v>
      </c>
      <c r="H82" t="s">
        <v>770</v>
      </c>
      <c r="I82" t="s">
        <v>680</v>
      </c>
      <c r="J82" t="str">
        <f>"05301-3389"</f>
        <v>05301-3389</v>
      </c>
      <c r="K82" t="s">
        <v>1998</v>
      </c>
      <c r="L82" t="s">
        <v>2033</v>
      </c>
      <c r="M82" t="s">
        <v>771</v>
      </c>
      <c r="N82" t="s">
        <v>1992</v>
      </c>
      <c r="O82" t="s">
        <v>1992</v>
      </c>
      <c r="P82" t="s">
        <v>1992</v>
      </c>
      <c r="Q82" t="s">
        <v>1992</v>
      </c>
      <c r="R82" t="s">
        <v>1992</v>
      </c>
      <c r="S82" t="s">
        <v>1992</v>
      </c>
      <c r="T82" t="s">
        <v>1992</v>
      </c>
      <c r="U82" t="s">
        <v>1992</v>
      </c>
      <c r="V82" t="s">
        <v>1991</v>
      </c>
      <c r="W82" t="s">
        <v>1991</v>
      </c>
      <c r="X82" t="s">
        <v>1992</v>
      </c>
      <c r="Y82" t="s">
        <v>1992</v>
      </c>
      <c r="Z82" t="s">
        <v>1992</v>
      </c>
      <c r="AF82" t="s">
        <v>2016</v>
      </c>
      <c r="AG82" t="s">
        <v>1991</v>
      </c>
      <c r="AH82">
        <v>30</v>
      </c>
      <c r="AI82">
        <v>30</v>
      </c>
      <c r="AJ82" t="s">
        <v>772</v>
      </c>
      <c r="AK82">
        <v>235</v>
      </c>
      <c r="AL82">
        <v>8289</v>
      </c>
      <c r="AN82" t="s">
        <v>2066</v>
      </c>
      <c r="AO82" t="s">
        <v>2063</v>
      </c>
      <c r="AU82" t="s">
        <v>773</v>
      </c>
      <c r="AV82" t="s">
        <v>1053</v>
      </c>
      <c r="BF82" t="s">
        <v>1053</v>
      </c>
      <c r="BG82" t="s">
        <v>684</v>
      </c>
      <c r="BH82" t="s">
        <v>250</v>
      </c>
      <c r="BI82" t="s">
        <v>1053</v>
      </c>
      <c r="BJ82" t="s">
        <v>1053</v>
      </c>
      <c r="BK82" t="s">
        <v>1053</v>
      </c>
      <c r="BL82" t="s">
        <v>1053</v>
      </c>
      <c r="BM82" t="s">
        <v>251</v>
      </c>
      <c r="BN82" t="s">
        <v>252</v>
      </c>
      <c r="BO82" t="s">
        <v>1053</v>
      </c>
      <c r="BP82" t="s">
        <v>467</v>
      </c>
      <c r="BQ82" t="s">
        <v>254</v>
      </c>
      <c r="BR82" t="s">
        <v>1053</v>
      </c>
      <c r="BS82" t="s">
        <v>1053</v>
      </c>
      <c r="BT82" t="s">
        <v>1053</v>
      </c>
      <c r="BU82" t="s">
        <v>1053</v>
      </c>
      <c r="BV82" t="s">
        <v>255</v>
      </c>
      <c r="BW82" t="s">
        <v>256</v>
      </c>
      <c r="BX82" t="str">
        <f>"SMTWTFS 1130-1330 1600-1800"</f>
        <v>SMTWTFS 1130-1330 1600-1800</v>
      </c>
      <c r="BY82" t="str">
        <f>""</f>
        <v/>
      </c>
      <c r="BZ82" t="str">
        <f>""</f>
        <v/>
      </c>
      <c r="CA82" t="str">
        <f>""</f>
        <v/>
      </c>
      <c r="CB82" t="str">
        <f>""</f>
        <v/>
      </c>
      <c r="CC82" t="str">
        <f>""</f>
        <v/>
      </c>
      <c r="CD82" t="str">
        <f>""</f>
        <v/>
      </c>
      <c r="CE82" t="str">
        <f>""</f>
        <v/>
      </c>
      <c r="CF82" t="str">
        <f>""</f>
        <v/>
      </c>
      <c r="CG82" t="str">
        <f>""</f>
        <v/>
      </c>
      <c r="CH82" t="str">
        <f>""</f>
        <v/>
      </c>
    </row>
    <row r="83" spans="1:86" x14ac:dyDescent="0.25">
      <c r="A83" t="s">
        <v>774</v>
      </c>
      <c r="B83" t="s">
        <v>775</v>
      </c>
      <c r="C83" t="s">
        <v>1992</v>
      </c>
      <c r="D83" t="s">
        <v>2010</v>
      </c>
      <c r="E83" t="s">
        <v>776</v>
      </c>
      <c r="F83" t="s">
        <v>777</v>
      </c>
      <c r="H83" t="s">
        <v>778</v>
      </c>
      <c r="I83" t="s">
        <v>779</v>
      </c>
      <c r="J83" t="str">
        <f>"39601-3839"</f>
        <v>39601-3839</v>
      </c>
      <c r="K83" t="s">
        <v>1998</v>
      </c>
      <c r="L83" t="s">
        <v>408</v>
      </c>
      <c r="M83" t="s">
        <v>2063</v>
      </c>
      <c r="N83" t="s">
        <v>1992</v>
      </c>
      <c r="O83" t="s">
        <v>1992</v>
      </c>
      <c r="P83" t="s">
        <v>1992</v>
      </c>
      <c r="Q83" t="s">
        <v>1992</v>
      </c>
      <c r="R83" t="s">
        <v>1992</v>
      </c>
      <c r="S83" t="s">
        <v>1992</v>
      </c>
      <c r="T83" t="s">
        <v>1992</v>
      </c>
      <c r="U83" t="s">
        <v>1992</v>
      </c>
      <c r="V83" t="s">
        <v>1991</v>
      </c>
      <c r="W83" t="s">
        <v>1991</v>
      </c>
      <c r="X83" t="s">
        <v>1992</v>
      </c>
      <c r="Y83" t="s">
        <v>1992</v>
      </c>
      <c r="Z83" t="s">
        <v>1992</v>
      </c>
      <c r="AF83" t="s">
        <v>2001</v>
      </c>
      <c r="AG83" t="s">
        <v>1991</v>
      </c>
      <c r="AH83">
        <v>30</v>
      </c>
      <c r="AI83">
        <v>30</v>
      </c>
      <c r="AJ83" t="s">
        <v>780</v>
      </c>
      <c r="AK83">
        <v>484</v>
      </c>
      <c r="AL83">
        <v>9983</v>
      </c>
      <c r="AN83" t="s">
        <v>2066</v>
      </c>
      <c r="AO83" t="s">
        <v>2063</v>
      </c>
      <c r="BF83" t="s">
        <v>1053</v>
      </c>
      <c r="BG83" t="s">
        <v>2097</v>
      </c>
      <c r="BH83" t="s">
        <v>781</v>
      </c>
      <c r="BI83" t="s">
        <v>1053</v>
      </c>
      <c r="BJ83" t="s">
        <v>1053</v>
      </c>
      <c r="BK83" t="s">
        <v>1053</v>
      </c>
      <c r="BL83" t="s">
        <v>1053</v>
      </c>
      <c r="BM83" t="s">
        <v>416</v>
      </c>
      <c r="BN83" t="s">
        <v>782</v>
      </c>
      <c r="BO83" t="s">
        <v>1053</v>
      </c>
      <c r="BP83" t="s">
        <v>653</v>
      </c>
      <c r="BQ83" t="s">
        <v>783</v>
      </c>
      <c r="BR83" t="s">
        <v>1053</v>
      </c>
      <c r="BS83" t="s">
        <v>1053</v>
      </c>
      <c r="BT83" t="s">
        <v>1053</v>
      </c>
      <c r="BU83" t="s">
        <v>1053</v>
      </c>
      <c r="BV83" t="s">
        <v>416</v>
      </c>
      <c r="BW83" t="s">
        <v>782</v>
      </c>
      <c r="BX83" t="str">
        <f>"SMTWTFS 1130-1230 1530-1630"</f>
        <v>SMTWTFS 1130-1230 1530-1630</v>
      </c>
      <c r="BY83" t="str">
        <f>""</f>
        <v/>
      </c>
      <c r="BZ83" t="str">
        <f>""</f>
        <v/>
      </c>
      <c r="CA83" t="str">
        <f>""</f>
        <v/>
      </c>
      <c r="CB83" t="str">
        <f>""</f>
        <v/>
      </c>
      <c r="CC83" t="str">
        <f>""</f>
        <v/>
      </c>
      <c r="CD83" t="str">
        <f>""</f>
        <v/>
      </c>
      <c r="CE83" t="str">
        <f>""</f>
        <v/>
      </c>
      <c r="CF83" t="str">
        <f>""</f>
        <v/>
      </c>
      <c r="CG83" t="str">
        <f>""</f>
        <v/>
      </c>
      <c r="CH83" t="str">
        <f>""</f>
        <v/>
      </c>
    </row>
    <row r="84" spans="1:86" x14ac:dyDescent="0.25">
      <c r="A84" t="s">
        <v>784</v>
      </c>
      <c r="B84" t="s">
        <v>785</v>
      </c>
      <c r="C84" t="s">
        <v>1992</v>
      </c>
      <c r="D84" t="s">
        <v>1993</v>
      </c>
      <c r="E84" t="s">
        <v>786</v>
      </c>
      <c r="F84" t="s">
        <v>787</v>
      </c>
      <c r="H84" t="s">
        <v>788</v>
      </c>
      <c r="I84" t="s">
        <v>2287</v>
      </c>
      <c r="J84" t="str">
        <f>"04011"</f>
        <v>04011</v>
      </c>
      <c r="K84" t="s">
        <v>1998</v>
      </c>
      <c r="L84" t="s">
        <v>2033</v>
      </c>
      <c r="M84" t="s">
        <v>789</v>
      </c>
      <c r="N84" t="s">
        <v>1992</v>
      </c>
      <c r="O84" t="s">
        <v>1992</v>
      </c>
      <c r="P84" t="s">
        <v>1992</v>
      </c>
      <c r="Q84" t="s">
        <v>1992</v>
      </c>
      <c r="R84" t="s">
        <v>1992</v>
      </c>
      <c r="S84" t="s">
        <v>1992</v>
      </c>
      <c r="T84" t="s">
        <v>1992</v>
      </c>
      <c r="U84" t="s">
        <v>1992</v>
      </c>
      <c r="V84" t="s">
        <v>1991</v>
      </c>
      <c r="W84" t="s">
        <v>1992</v>
      </c>
      <c r="X84" t="s">
        <v>1992</v>
      </c>
      <c r="Y84" t="s">
        <v>1991</v>
      </c>
      <c r="Z84" t="s">
        <v>1991</v>
      </c>
      <c r="AA84" t="s">
        <v>1992</v>
      </c>
      <c r="AE84" t="s">
        <v>473</v>
      </c>
      <c r="AF84" t="s">
        <v>2016</v>
      </c>
      <c r="AG84" t="s">
        <v>1991</v>
      </c>
      <c r="AH84">
        <v>30</v>
      </c>
      <c r="AI84">
        <v>30</v>
      </c>
      <c r="AJ84" t="s">
        <v>790</v>
      </c>
      <c r="AK84">
        <v>131</v>
      </c>
      <c r="AL84">
        <v>14816</v>
      </c>
      <c r="AM84" t="s">
        <v>2298</v>
      </c>
      <c r="AN84" t="s">
        <v>791</v>
      </c>
      <c r="AO84" t="s">
        <v>1053</v>
      </c>
      <c r="BF84" t="s">
        <v>1053</v>
      </c>
      <c r="BG84" t="s">
        <v>476</v>
      </c>
      <c r="BH84" t="s">
        <v>477</v>
      </c>
      <c r="BI84" t="s">
        <v>1053</v>
      </c>
      <c r="BK84" t="s">
        <v>1053</v>
      </c>
      <c r="BX84" t="str">
        <f>"S------ 0600-2200; -MTW--- 0550-2200; ----TFS 0530-2300"</f>
        <v>S------ 0600-2200; -MTW--- 0550-2200; ----TFS 0530-2300</v>
      </c>
      <c r="BY84" t="str">
        <f>""</f>
        <v/>
      </c>
      <c r="BZ84" t="str">
        <f>""</f>
        <v/>
      </c>
      <c r="CA84" t="str">
        <f>""</f>
        <v/>
      </c>
      <c r="CB84" t="str">
        <f>""</f>
        <v/>
      </c>
      <c r="CC84" t="str">
        <f>""</f>
        <v/>
      </c>
      <c r="CD84" t="str">
        <f>""</f>
        <v/>
      </c>
      <c r="CE84" t="str">
        <f>""</f>
        <v/>
      </c>
      <c r="CF84" t="str">
        <f>""</f>
        <v/>
      </c>
      <c r="CG84" t="str">
        <f>""</f>
        <v/>
      </c>
      <c r="CH84" t="str">
        <f>""</f>
        <v/>
      </c>
    </row>
    <row r="85" spans="1:86" x14ac:dyDescent="0.25">
      <c r="A85" t="s">
        <v>792</v>
      </c>
      <c r="B85" t="s">
        <v>793</v>
      </c>
      <c r="C85" t="s">
        <v>1992</v>
      </c>
      <c r="D85" t="s">
        <v>2010</v>
      </c>
      <c r="E85" t="s">
        <v>794</v>
      </c>
      <c r="H85" t="s">
        <v>699</v>
      </c>
      <c r="I85" t="s">
        <v>795</v>
      </c>
      <c r="J85" t="str">
        <f>"52601"</f>
        <v>52601</v>
      </c>
      <c r="K85" t="s">
        <v>1998</v>
      </c>
      <c r="L85" t="s">
        <v>1999</v>
      </c>
      <c r="M85" t="s">
        <v>2063</v>
      </c>
      <c r="N85" t="s">
        <v>1992</v>
      </c>
      <c r="O85" t="s">
        <v>1992</v>
      </c>
      <c r="P85" t="s">
        <v>1992</v>
      </c>
      <c r="Q85" t="s">
        <v>1992</v>
      </c>
      <c r="R85" t="s">
        <v>1992</v>
      </c>
      <c r="S85" t="s">
        <v>1992</v>
      </c>
      <c r="T85" t="s">
        <v>1992</v>
      </c>
      <c r="U85" t="s">
        <v>1992</v>
      </c>
      <c r="V85" t="s">
        <v>1991</v>
      </c>
      <c r="W85" t="s">
        <v>1991</v>
      </c>
      <c r="X85" t="s">
        <v>1992</v>
      </c>
      <c r="Y85" t="s">
        <v>1992</v>
      </c>
      <c r="Z85" t="s">
        <v>1992</v>
      </c>
      <c r="AF85" t="s">
        <v>2001</v>
      </c>
      <c r="AG85" t="s">
        <v>1991</v>
      </c>
      <c r="AH85">
        <v>30</v>
      </c>
      <c r="AI85">
        <v>30</v>
      </c>
      <c r="AJ85" t="s">
        <v>796</v>
      </c>
      <c r="AK85">
        <v>538</v>
      </c>
      <c r="AL85">
        <v>27208</v>
      </c>
      <c r="AN85" t="s">
        <v>797</v>
      </c>
      <c r="AO85" t="s">
        <v>2063</v>
      </c>
      <c r="BF85" t="s">
        <v>1053</v>
      </c>
      <c r="BG85" t="s">
        <v>2097</v>
      </c>
      <c r="BH85" t="s">
        <v>798</v>
      </c>
      <c r="BI85" t="s">
        <v>1053</v>
      </c>
      <c r="BK85" t="s">
        <v>1053</v>
      </c>
      <c r="BL85" t="s">
        <v>1053</v>
      </c>
      <c r="BO85" t="s">
        <v>1053</v>
      </c>
      <c r="BP85" t="s">
        <v>653</v>
      </c>
      <c r="BQ85" t="s">
        <v>2376</v>
      </c>
      <c r="BR85" t="s">
        <v>1053</v>
      </c>
      <c r="BX85" t="str">
        <f>"SMTWTFS 0000-2359"</f>
        <v>SMTWTFS 0000-2359</v>
      </c>
      <c r="BY85" t="str">
        <f>""</f>
        <v/>
      </c>
      <c r="BZ85" t="str">
        <f>""</f>
        <v/>
      </c>
      <c r="CA85" t="str">
        <f>""</f>
        <v/>
      </c>
      <c r="CB85" t="str">
        <f>""</f>
        <v/>
      </c>
      <c r="CC85" t="str">
        <f>""</f>
        <v/>
      </c>
      <c r="CD85" t="str">
        <f>""</f>
        <v/>
      </c>
      <c r="CE85" t="str">
        <f>""</f>
        <v/>
      </c>
      <c r="CF85" t="str">
        <f>""</f>
        <v/>
      </c>
      <c r="CG85" t="str">
        <f>""</f>
        <v/>
      </c>
      <c r="CH85" t="str">
        <f>""</f>
        <v/>
      </c>
    </row>
    <row r="86" spans="1:86" x14ac:dyDescent="0.25">
      <c r="A86" t="s">
        <v>799</v>
      </c>
      <c r="B86" t="s">
        <v>800</v>
      </c>
      <c r="C86" t="s">
        <v>1992</v>
      </c>
      <c r="D86" t="s">
        <v>2010</v>
      </c>
      <c r="E86" t="s">
        <v>801</v>
      </c>
      <c r="H86" t="s">
        <v>802</v>
      </c>
      <c r="I86" t="s">
        <v>803</v>
      </c>
      <c r="J86" t="str">
        <f>"59417"</f>
        <v>59417</v>
      </c>
      <c r="K86" t="s">
        <v>1998</v>
      </c>
      <c r="L86" t="s">
        <v>231</v>
      </c>
      <c r="M86" t="s">
        <v>2063</v>
      </c>
      <c r="N86" t="s">
        <v>1992</v>
      </c>
      <c r="O86" t="s">
        <v>1992</v>
      </c>
      <c r="P86" t="s">
        <v>1992</v>
      </c>
      <c r="Q86" t="s">
        <v>1992</v>
      </c>
      <c r="R86" t="s">
        <v>1992</v>
      </c>
      <c r="S86" t="s">
        <v>1992</v>
      </c>
      <c r="T86" t="s">
        <v>1992</v>
      </c>
      <c r="U86" t="s">
        <v>1992</v>
      </c>
      <c r="V86" t="s">
        <v>1991</v>
      </c>
      <c r="W86" t="s">
        <v>1991</v>
      </c>
      <c r="X86" t="s">
        <v>1992</v>
      </c>
      <c r="Y86" t="s">
        <v>1992</v>
      </c>
      <c r="Z86" t="s">
        <v>1992</v>
      </c>
      <c r="AA86" t="s">
        <v>1992</v>
      </c>
      <c r="AB86" t="s">
        <v>804</v>
      </c>
      <c r="AF86" t="s">
        <v>2048</v>
      </c>
      <c r="AG86" t="s">
        <v>1991</v>
      </c>
      <c r="AH86">
        <v>30</v>
      </c>
      <c r="AI86">
        <v>30</v>
      </c>
      <c r="AJ86" t="s">
        <v>805</v>
      </c>
      <c r="AK86">
        <v>4484</v>
      </c>
      <c r="AL86">
        <v>1065</v>
      </c>
      <c r="AM86" t="s">
        <v>806</v>
      </c>
      <c r="AN86" t="s">
        <v>2066</v>
      </c>
      <c r="AO86" t="s">
        <v>2063</v>
      </c>
      <c r="AU86" t="s">
        <v>1053</v>
      </c>
      <c r="AV86" t="s">
        <v>1053</v>
      </c>
      <c r="BF86" t="s">
        <v>1053</v>
      </c>
      <c r="BG86" t="s">
        <v>2019</v>
      </c>
      <c r="BH86" t="s">
        <v>240</v>
      </c>
      <c r="BI86" t="s">
        <v>1053</v>
      </c>
      <c r="BJ86" t="s">
        <v>1053</v>
      </c>
      <c r="BK86" t="s">
        <v>1053</v>
      </c>
      <c r="BM86" t="s">
        <v>241</v>
      </c>
      <c r="BN86" t="s">
        <v>242</v>
      </c>
      <c r="BO86" t="s">
        <v>1053</v>
      </c>
      <c r="BP86" t="s">
        <v>239</v>
      </c>
      <c r="BQ86" t="s">
        <v>240</v>
      </c>
      <c r="BR86" t="s">
        <v>1053</v>
      </c>
      <c r="BS86" t="s">
        <v>1053</v>
      </c>
      <c r="BT86" t="s">
        <v>1053</v>
      </c>
      <c r="BU86" t="s">
        <v>1053</v>
      </c>
      <c r="BV86" t="s">
        <v>241</v>
      </c>
      <c r="BW86" t="s">
        <v>242</v>
      </c>
      <c r="BX86" t="str">
        <f>""</f>
        <v/>
      </c>
      <c r="BY86" t="str">
        <f>""</f>
        <v/>
      </c>
      <c r="BZ86" t="str">
        <f>""</f>
        <v/>
      </c>
      <c r="CA86" t="str">
        <f>""</f>
        <v/>
      </c>
      <c r="CB86" t="str">
        <f>""</f>
        <v/>
      </c>
      <c r="CC86" t="str">
        <f>""</f>
        <v/>
      </c>
      <c r="CD86" t="str">
        <f>""</f>
        <v/>
      </c>
      <c r="CE86" t="str">
        <f>""</f>
        <v/>
      </c>
      <c r="CF86" t="str">
        <f>""</f>
        <v/>
      </c>
      <c r="CG86" t="str">
        <f>""</f>
        <v/>
      </c>
      <c r="CH86" t="str">
        <f>"SMTWTFS 0000-2359"</f>
        <v>SMTWTFS 0000-2359</v>
      </c>
    </row>
    <row r="87" spans="1:86" x14ac:dyDescent="0.25">
      <c r="A87" t="s">
        <v>807</v>
      </c>
      <c r="B87" t="s">
        <v>808</v>
      </c>
      <c r="C87" t="s">
        <v>1992</v>
      </c>
      <c r="D87" t="s">
        <v>2010</v>
      </c>
      <c r="E87" t="s">
        <v>809</v>
      </c>
      <c r="F87" t="s">
        <v>810</v>
      </c>
      <c r="H87" t="s">
        <v>811</v>
      </c>
      <c r="I87" t="s">
        <v>592</v>
      </c>
      <c r="J87" t="str">
        <f>"06604-4315"</f>
        <v>06604-4315</v>
      </c>
      <c r="K87" t="s">
        <v>1998</v>
      </c>
      <c r="L87" t="s">
        <v>2033</v>
      </c>
      <c r="M87" t="s">
        <v>812</v>
      </c>
      <c r="N87" t="s">
        <v>1992</v>
      </c>
      <c r="O87" t="s">
        <v>1991</v>
      </c>
      <c r="P87" t="s">
        <v>1992</v>
      </c>
      <c r="Q87" t="s">
        <v>1992</v>
      </c>
      <c r="R87" t="s">
        <v>1992</v>
      </c>
      <c r="S87" t="s">
        <v>1992</v>
      </c>
      <c r="T87" t="s">
        <v>1992</v>
      </c>
      <c r="U87" t="s">
        <v>1992</v>
      </c>
      <c r="V87" t="s">
        <v>1991</v>
      </c>
      <c r="W87" t="s">
        <v>1991</v>
      </c>
      <c r="X87" t="s">
        <v>1991</v>
      </c>
      <c r="Y87" t="s">
        <v>1992</v>
      </c>
      <c r="Z87" t="s">
        <v>1992</v>
      </c>
      <c r="AE87" t="s">
        <v>813</v>
      </c>
      <c r="AF87" t="s">
        <v>2016</v>
      </c>
      <c r="AG87" t="s">
        <v>1991</v>
      </c>
      <c r="AH87">
        <v>30</v>
      </c>
      <c r="AI87">
        <v>30</v>
      </c>
      <c r="AJ87" t="s">
        <v>814</v>
      </c>
      <c r="AK87">
        <v>37</v>
      </c>
      <c r="AL87">
        <v>142546</v>
      </c>
      <c r="AN87" t="s">
        <v>815</v>
      </c>
      <c r="AO87" t="s">
        <v>2063</v>
      </c>
      <c r="BF87" t="s">
        <v>1053</v>
      </c>
      <c r="BG87" t="s">
        <v>597</v>
      </c>
      <c r="BH87" t="s">
        <v>816</v>
      </c>
      <c r="BI87" t="s">
        <v>1053</v>
      </c>
      <c r="BJ87" t="s">
        <v>1053</v>
      </c>
      <c r="BK87" t="s">
        <v>1053</v>
      </c>
      <c r="BL87" t="s">
        <v>1053</v>
      </c>
      <c r="BM87" t="s">
        <v>255</v>
      </c>
      <c r="BN87" t="s">
        <v>256</v>
      </c>
      <c r="BO87" t="s">
        <v>1053</v>
      </c>
      <c r="BP87" t="s">
        <v>2067</v>
      </c>
      <c r="BQ87" t="s">
        <v>816</v>
      </c>
      <c r="BR87" t="s">
        <v>1053</v>
      </c>
      <c r="BS87" t="s">
        <v>1053</v>
      </c>
      <c r="BT87" t="s">
        <v>1053</v>
      </c>
      <c r="BU87" t="s">
        <v>1053</v>
      </c>
      <c r="BV87" t="s">
        <v>255</v>
      </c>
      <c r="BW87" t="s">
        <v>256</v>
      </c>
      <c r="BX87" t="str">
        <f>"SMTWTFS 0500-2359"</f>
        <v>SMTWTFS 0500-2359</v>
      </c>
      <c r="BY87" t="str">
        <f>""</f>
        <v/>
      </c>
      <c r="BZ87" t="str">
        <f>""</f>
        <v/>
      </c>
      <c r="CA87" t="str">
        <f>""</f>
        <v/>
      </c>
      <c r="CB87" t="str">
        <f>""</f>
        <v/>
      </c>
      <c r="CC87" t="str">
        <f>"SMTWTFS 0500-2359"</f>
        <v>SMTWTFS 0500-2359</v>
      </c>
      <c r="CD87" t="str">
        <f>""</f>
        <v/>
      </c>
      <c r="CE87" t="str">
        <f>""</f>
        <v/>
      </c>
      <c r="CF87" t="str">
        <f>""</f>
        <v/>
      </c>
      <c r="CG87" t="str">
        <f>""</f>
        <v/>
      </c>
      <c r="CH87" t="str">
        <f>""</f>
        <v/>
      </c>
    </row>
    <row r="88" spans="1:86" x14ac:dyDescent="0.25">
      <c r="A88" t="s">
        <v>817</v>
      </c>
      <c r="B88" t="s">
        <v>818</v>
      </c>
      <c r="C88" t="s">
        <v>1991</v>
      </c>
      <c r="D88" t="s">
        <v>2010</v>
      </c>
      <c r="E88" t="s">
        <v>819</v>
      </c>
      <c r="H88" t="s">
        <v>820</v>
      </c>
      <c r="I88" t="s">
        <v>2352</v>
      </c>
      <c r="J88" t="str">
        <f>"49017-3521"</f>
        <v>49017-3521</v>
      </c>
      <c r="K88" t="s">
        <v>1998</v>
      </c>
      <c r="L88" t="s">
        <v>1999</v>
      </c>
      <c r="M88" t="s">
        <v>821</v>
      </c>
      <c r="N88" t="s">
        <v>1991</v>
      </c>
      <c r="O88" t="s">
        <v>1991</v>
      </c>
      <c r="P88" t="s">
        <v>1992</v>
      </c>
      <c r="Q88" t="s">
        <v>1992</v>
      </c>
      <c r="R88" t="s">
        <v>1992</v>
      </c>
      <c r="S88" t="s">
        <v>1992</v>
      </c>
      <c r="T88" t="s">
        <v>1992</v>
      </c>
      <c r="U88" t="s">
        <v>1991</v>
      </c>
      <c r="V88" t="s">
        <v>1991</v>
      </c>
      <c r="W88" t="s">
        <v>1991</v>
      </c>
      <c r="X88" t="s">
        <v>1992</v>
      </c>
      <c r="Y88" t="s">
        <v>1992</v>
      </c>
      <c r="Z88" t="s">
        <v>1991</v>
      </c>
      <c r="AE88" t="s">
        <v>2047</v>
      </c>
      <c r="AF88" t="s">
        <v>2016</v>
      </c>
      <c r="AG88" t="s">
        <v>1991</v>
      </c>
      <c r="AH88">
        <v>30</v>
      </c>
      <c r="AI88">
        <v>30</v>
      </c>
      <c r="AJ88" t="s">
        <v>822</v>
      </c>
      <c r="AK88">
        <v>822</v>
      </c>
      <c r="AL88">
        <v>92144</v>
      </c>
      <c r="AM88" t="s">
        <v>823</v>
      </c>
      <c r="AN88" t="s">
        <v>1053</v>
      </c>
      <c r="AO88" t="s">
        <v>1053</v>
      </c>
      <c r="AQ88" t="s">
        <v>1053</v>
      </c>
      <c r="AS88" t="s">
        <v>817</v>
      </c>
      <c r="AT88" t="s">
        <v>824</v>
      </c>
      <c r="AU88" t="s">
        <v>1053</v>
      </c>
      <c r="AV88" t="s">
        <v>1053</v>
      </c>
      <c r="AX88" t="s">
        <v>1053</v>
      </c>
      <c r="AZ88" t="s">
        <v>817</v>
      </c>
      <c r="BA88" t="s">
        <v>824</v>
      </c>
      <c r="BB88" t="s">
        <v>1053</v>
      </c>
      <c r="BD88" t="s">
        <v>1053</v>
      </c>
      <c r="BF88" t="s">
        <v>1053</v>
      </c>
      <c r="BG88" t="s">
        <v>467</v>
      </c>
      <c r="BH88" t="s">
        <v>2312</v>
      </c>
      <c r="BI88" t="s">
        <v>1053</v>
      </c>
      <c r="BK88" t="s">
        <v>1053</v>
      </c>
      <c r="BM88" t="s">
        <v>2313</v>
      </c>
      <c r="BN88" t="s">
        <v>2314</v>
      </c>
      <c r="BO88" t="s">
        <v>1053</v>
      </c>
      <c r="BP88" t="s">
        <v>2315</v>
      </c>
      <c r="BQ88" t="s">
        <v>2316</v>
      </c>
      <c r="BR88" t="s">
        <v>1053</v>
      </c>
      <c r="BT88" t="s">
        <v>1053</v>
      </c>
      <c r="BX88" t="str">
        <f>"SMTWTFS 0800-2300"</f>
        <v>SMTWTFS 0800-2300</v>
      </c>
      <c r="BY88" t="str">
        <f>""</f>
        <v/>
      </c>
      <c r="BZ88" t="str">
        <f>"SMTWTFS 0800-2300"</f>
        <v>SMTWTFS 0800-2300</v>
      </c>
      <c r="CA88" t="str">
        <f>"SMTWTFS 0800-2300"</f>
        <v>SMTWTFS 0800-2300</v>
      </c>
      <c r="CB88" t="str">
        <f>""</f>
        <v/>
      </c>
      <c r="CC88" t="str">
        <f>"SMTWTFS 0800-2300"</f>
        <v>SMTWTFS 0800-2300</v>
      </c>
      <c r="CD88" t="str">
        <f>""</f>
        <v/>
      </c>
      <c r="CE88" t="str">
        <f>""</f>
        <v/>
      </c>
      <c r="CF88" t="str">
        <f>""</f>
        <v/>
      </c>
      <c r="CG88" t="str">
        <f>""</f>
        <v/>
      </c>
      <c r="CH88" t="str">
        <f>""</f>
        <v/>
      </c>
    </row>
    <row r="89" spans="1:86" x14ac:dyDescent="0.25">
      <c r="A89" t="s">
        <v>825</v>
      </c>
      <c r="B89" t="s">
        <v>826</v>
      </c>
      <c r="C89" t="s">
        <v>1992</v>
      </c>
      <c r="D89" t="s">
        <v>1993</v>
      </c>
      <c r="E89" t="s">
        <v>827</v>
      </c>
      <c r="F89" t="s">
        <v>828</v>
      </c>
      <c r="H89" t="s">
        <v>829</v>
      </c>
      <c r="I89" t="s">
        <v>830</v>
      </c>
      <c r="J89" t="str">
        <f>"70802"</f>
        <v>70802</v>
      </c>
      <c r="K89" t="s">
        <v>1998</v>
      </c>
      <c r="L89" t="s">
        <v>408</v>
      </c>
      <c r="M89" t="s">
        <v>2063</v>
      </c>
      <c r="N89" t="s">
        <v>1992</v>
      </c>
      <c r="O89" t="s">
        <v>1992</v>
      </c>
      <c r="P89" t="s">
        <v>1992</v>
      </c>
      <c r="Q89" t="s">
        <v>1992</v>
      </c>
      <c r="R89" t="s">
        <v>1992</v>
      </c>
      <c r="S89" t="s">
        <v>1992</v>
      </c>
      <c r="T89" t="s">
        <v>1992</v>
      </c>
      <c r="U89" t="s">
        <v>1992</v>
      </c>
      <c r="V89" t="s">
        <v>1991</v>
      </c>
      <c r="W89" t="s">
        <v>1992</v>
      </c>
      <c r="X89" t="s">
        <v>1992</v>
      </c>
      <c r="Y89" t="s">
        <v>1992</v>
      </c>
      <c r="Z89" t="s">
        <v>1991</v>
      </c>
      <c r="AA89" t="s">
        <v>1991</v>
      </c>
      <c r="AF89" t="s">
        <v>2001</v>
      </c>
      <c r="AG89" t="s">
        <v>1991</v>
      </c>
      <c r="AH89">
        <v>30</v>
      </c>
      <c r="AI89">
        <v>30</v>
      </c>
      <c r="AJ89" t="s">
        <v>831</v>
      </c>
      <c r="AK89">
        <v>53</v>
      </c>
      <c r="AL89">
        <v>229553</v>
      </c>
      <c r="BX89" t="str">
        <f>"SMTWTFS 1900-2000"</f>
        <v>SMTWTFS 1900-2000</v>
      </c>
      <c r="BY89" t="str">
        <f>""</f>
        <v/>
      </c>
      <c r="BZ89" t="str">
        <f>""</f>
        <v/>
      </c>
      <c r="CA89" t="str">
        <f>""</f>
        <v/>
      </c>
      <c r="CB89" t="str">
        <f>""</f>
        <v/>
      </c>
      <c r="CC89" t="str">
        <f>""</f>
        <v/>
      </c>
      <c r="CD89" t="str">
        <f>""</f>
        <v/>
      </c>
      <c r="CE89" t="str">
        <f>""</f>
        <v/>
      </c>
      <c r="CF89" t="str">
        <f>""</f>
        <v/>
      </c>
      <c r="CG89" t="str">
        <f>""</f>
        <v/>
      </c>
      <c r="CH89" t="str">
        <f>""</f>
        <v/>
      </c>
    </row>
    <row r="90" spans="1:86" x14ac:dyDescent="0.25">
      <c r="A90" t="s">
        <v>832</v>
      </c>
      <c r="B90" t="s">
        <v>833</v>
      </c>
      <c r="C90" t="s">
        <v>1991</v>
      </c>
      <c r="D90" t="s">
        <v>2010</v>
      </c>
      <c r="E90" t="s">
        <v>834</v>
      </c>
      <c r="H90" t="s">
        <v>835</v>
      </c>
      <c r="I90" t="s">
        <v>2321</v>
      </c>
      <c r="J90" t="str">
        <f>"14043"</f>
        <v>14043</v>
      </c>
      <c r="K90" t="s">
        <v>1998</v>
      </c>
      <c r="L90" t="s">
        <v>2033</v>
      </c>
      <c r="M90" t="s">
        <v>836</v>
      </c>
      <c r="N90" t="s">
        <v>1991</v>
      </c>
      <c r="O90" t="s">
        <v>1991</v>
      </c>
      <c r="P90" t="s">
        <v>1992</v>
      </c>
      <c r="Q90" t="s">
        <v>1991</v>
      </c>
      <c r="R90" t="s">
        <v>1991</v>
      </c>
      <c r="S90" t="s">
        <v>1992</v>
      </c>
      <c r="T90" t="s">
        <v>1992</v>
      </c>
      <c r="U90" t="s">
        <v>1991</v>
      </c>
      <c r="V90" t="s">
        <v>1991</v>
      </c>
      <c r="W90" t="s">
        <v>1991</v>
      </c>
      <c r="X90" t="s">
        <v>1992</v>
      </c>
      <c r="Y90" t="s">
        <v>1992</v>
      </c>
      <c r="Z90" t="s">
        <v>1992</v>
      </c>
      <c r="AA90" t="s">
        <v>1991</v>
      </c>
      <c r="AB90" t="s">
        <v>628</v>
      </c>
      <c r="AE90" t="s">
        <v>2047</v>
      </c>
      <c r="AF90" t="s">
        <v>2016</v>
      </c>
      <c r="AG90" t="s">
        <v>1991</v>
      </c>
      <c r="AH90">
        <v>60</v>
      </c>
      <c r="AI90">
        <v>30</v>
      </c>
      <c r="AJ90" t="s">
        <v>837</v>
      </c>
      <c r="AK90">
        <v>674</v>
      </c>
      <c r="AL90">
        <v>313000</v>
      </c>
      <c r="AN90" t="s">
        <v>1053</v>
      </c>
      <c r="AO90" t="s">
        <v>1053</v>
      </c>
      <c r="AP90" t="s">
        <v>2069</v>
      </c>
      <c r="AQ90" t="s">
        <v>1053</v>
      </c>
      <c r="AR90" t="s">
        <v>2069</v>
      </c>
      <c r="AS90" t="s">
        <v>832</v>
      </c>
      <c r="AT90" t="s">
        <v>633</v>
      </c>
      <c r="AU90" t="s">
        <v>1053</v>
      </c>
      <c r="AV90" t="s">
        <v>1053</v>
      </c>
      <c r="AW90" t="s">
        <v>2069</v>
      </c>
      <c r="AX90" t="s">
        <v>1053</v>
      </c>
      <c r="AY90" t="s">
        <v>2069</v>
      </c>
      <c r="AZ90" t="s">
        <v>832</v>
      </c>
      <c r="BA90" t="s">
        <v>633</v>
      </c>
      <c r="BB90" t="s">
        <v>1053</v>
      </c>
      <c r="BC90" t="s">
        <v>2069</v>
      </c>
      <c r="BD90" t="s">
        <v>1053</v>
      </c>
      <c r="BE90" t="s">
        <v>2069</v>
      </c>
      <c r="BF90" t="s">
        <v>1053</v>
      </c>
      <c r="BG90" t="s">
        <v>2067</v>
      </c>
      <c r="BH90" t="s">
        <v>631</v>
      </c>
      <c r="BI90" t="s">
        <v>1053</v>
      </c>
      <c r="BJ90" t="s">
        <v>2069</v>
      </c>
      <c r="BK90" t="s">
        <v>1053</v>
      </c>
      <c r="BL90" t="s">
        <v>2069</v>
      </c>
      <c r="BM90" t="s">
        <v>632</v>
      </c>
      <c r="BN90" t="s">
        <v>633</v>
      </c>
      <c r="BO90" t="s">
        <v>1053</v>
      </c>
      <c r="BP90" t="s">
        <v>634</v>
      </c>
      <c r="BQ90" t="s">
        <v>635</v>
      </c>
      <c r="BR90" t="s">
        <v>1053</v>
      </c>
      <c r="BT90" t="s">
        <v>1053</v>
      </c>
      <c r="BV90" t="s">
        <v>2324</v>
      </c>
      <c r="BX90" t="str">
        <f>"SMTWTFS 0000-2359"</f>
        <v>SMTWTFS 0000-2359</v>
      </c>
      <c r="BY90" t="str">
        <f>"SMTWTFS 0000-2359"</f>
        <v>SMTWTFS 0000-2359</v>
      </c>
      <c r="BZ90" t="str">
        <f>"SMTWTFS 0000-2359"</f>
        <v>SMTWTFS 0000-2359</v>
      </c>
      <c r="CA90" t="str">
        <f>"SMTWTFS 0000-2359"</f>
        <v>SMTWTFS 0000-2359</v>
      </c>
      <c r="CB90" t="str">
        <f>""</f>
        <v/>
      </c>
      <c r="CC90" t="str">
        <f>"SMTWTFS 0000-2359"</f>
        <v>SMTWTFS 0000-2359</v>
      </c>
      <c r="CD90" t="str">
        <f>""</f>
        <v/>
      </c>
      <c r="CE90" t="str">
        <f>""</f>
        <v/>
      </c>
      <c r="CF90" t="str">
        <f>"SMTWTFS 0000-2359"</f>
        <v>SMTWTFS 0000-2359</v>
      </c>
      <c r="CG90" t="str">
        <f>""</f>
        <v/>
      </c>
      <c r="CH90" t="str">
        <f>""</f>
        <v/>
      </c>
    </row>
    <row r="91" spans="1:86" x14ac:dyDescent="0.25">
      <c r="A91" t="s">
        <v>838</v>
      </c>
      <c r="B91" t="s">
        <v>839</v>
      </c>
      <c r="C91" t="s">
        <v>1992</v>
      </c>
      <c r="D91" t="s">
        <v>1993</v>
      </c>
      <c r="E91" t="s">
        <v>840</v>
      </c>
      <c r="F91" t="s">
        <v>841</v>
      </c>
      <c r="H91" t="s">
        <v>842</v>
      </c>
      <c r="I91" t="s">
        <v>2061</v>
      </c>
      <c r="J91" t="str">
        <f>"93427"</f>
        <v>93427</v>
      </c>
      <c r="K91" t="s">
        <v>1998</v>
      </c>
      <c r="L91" t="s">
        <v>2062</v>
      </c>
      <c r="M91" t="s">
        <v>2063</v>
      </c>
      <c r="N91" t="s">
        <v>1992</v>
      </c>
      <c r="O91" t="s">
        <v>1992</v>
      </c>
      <c r="P91" t="s">
        <v>1992</v>
      </c>
      <c r="Q91" t="s">
        <v>1992</v>
      </c>
      <c r="R91" t="s">
        <v>1992</v>
      </c>
      <c r="S91" t="s">
        <v>1992</v>
      </c>
      <c r="T91" t="s">
        <v>1992</v>
      </c>
      <c r="U91" t="s">
        <v>1992</v>
      </c>
      <c r="V91" t="s">
        <v>1991</v>
      </c>
      <c r="W91" t="s">
        <v>1992</v>
      </c>
      <c r="X91" t="s">
        <v>1992</v>
      </c>
      <c r="Y91" t="s">
        <v>1991</v>
      </c>
      <c r="Z91" t="s">
        <v>1991</v>
      </c>
      <c r="AF91" t="s">
        <v>2064</v>
      </c>
      <c r="AG91" t="s">
        <v>1991</v>
      </c>
      <c r="AH91">
        <v>30</v>
      </c>
      <c r="AI91">
        <v>30</v>
      </c>
      <c r="AJ91" t="s">
        <v>843</v>
      </c>
      <c r="AK91">
        <v>358</v>
      </c>
      <c r="AL91">
        <v>4278</v>
      </c>
      <c r="AM91" t="s">
        <v>2298</v>
      </c>
      <c r="AN91" t="s">
        <v>1053</v>
      </c>
      <c r="AO91" t="s">
        <v>1053</v>
      </c>
      <c r="BF91" t="s">
        <v>1053</v>
      </c>
      <c r="BG91" t="s">
        <v>844</v>
      </c>
      <c r="BH91" t="s">
        <v>2301</v>
      </c>
      <c r="BI91" t="s">
        <v>1053</v>
      </c>
      <c r="BK91" t="s">
        <v>1053</v>
      </c>
      <c r="BO91" t="s">
        <v>1053</v>
      </c>
      <c r="BP91" t="s">
        <v>310</v>
      </c>
      <c r="BQ91" t="s">
        <v>311</v>
      </c>
      <c r="BR91" t="s">
        <v>1053</v>
      </c>
      <c r="BS91" t="s">
        <v>1053</v>
      </c>
      <c r="BT91" t="s">
        <v>1053</v>
      </c>
      <c r="BU91" t="s">
        <v>1053</v>
      </c>
      <c r="BX91" t="str">
        <f>""</f>
        <v/>
      </c>
      <c r="BY91" t="str">
        <f>""</f>
        <v/>
      </c>
      <c r="BZ91" t="str">
        <f>""</f>
        <v/>
      </c>
      <c r="CA91" t="str">
        <f>""</f>
        <v/>
      </c>
      <c r="CB91" t="str">
        <f>""</f>
        <v/>
      </c>
      <c r="CC91" t="str">
        <f>""</f>
        <v/>
      </c>
      <c r="CD91" t="str">
        <f>""</f>
        <v/>
      </c>
      <c r="CE91" t="str">
        <f>""</f>
        <v/>
      </c>
      <c r="CF91" t="str">
        <f>""</f>
        <v/>
      </c>
      <c r="CG91" t="str">
        <f>""</f>
        <v/>
      </c>
      <c r="CH91" t="str">
        <f>""</f>
        <v/>
      </c>
    </row>
    <row r="92" spans="1:86" x14ac:dyDescent="0.25">
      <c r="A92" t="s">
        <v>845</v>
      </c>
      <c r="B92" t="s">
        <v>846</v>
      </c>
      <c r="C92" t="s">
        <v>1992</v>
      </c>
      <c r="D92" t="s">
        <v>2028</v>
      </c>
      <c r="E92" t="s">
        <v>847</v>
      </c>
      <c r="H92" t="s">
        <v>848</v>
      </c>
      <c r="I92" t="s">
        <v>2061</v>
      </c>
      <c r="J92" t="str">
        <f>"91505"</f>
        <v>91505</v>
      </c>
      <c r="K92" t="s">
        <v>1998</v>
      </c>
      <c r="L92" t="s">
        <v>2045</v>
      </c>
      <c r="M92" t="s">
        <v>2063</v>
      </c>
      <c r="N92" t="s">
        <v>1992</v>
      </c>
      <c r="O92" t="s">
        <v>1992</v>
      </c>
      <c r="P92" t="s">
        <v>1991</v>
      </c>
      <c r="Q92" t="s">
        <v>1992</v>
      </c>
      <c r="R92" t="s">
        <v>1992</v>
      </c>
      <c r="S92" t="s">
        <v>1992</v>
      </c>
      <c r="T92" t="s">
        <v>1992</v>
      </c>
      <c r="U92" t="s">
        <v>1992</v>
      </c>
      <c r="V92" t="s">
        <v>1991</v>
      </c>
      <c r="W92" t="s">
        <v>1991</v>
      </c>
      <c r="X92" t="s">
        <v>1991</v>
      </c>
      <c r="Y92" t="s">
        <v>1991</v>
      </c>
      <c r="Z92" t="s">
        <v>1992</v>
      </c>
      <c r="AA92" t="s">
        <v>1992</v>
      </c>
      <c r="AF92" t="s">
        <v>2064</v>
      </c>
      <c r="AG92" t="s">
        <v>1991</v>
      </c>
      <c r="AH92">
        <v>30</v>
      </c>
      <c r="AI92">
        <v>30</v>
      </c>
      <c r="AJ92" t="s">
        <v>849</v>
      </c>
      <c r="AK92">
        <v>689</v>
      </c>
      <c r="AL92">
        <v>95000</v>
      </c>
      <c r="AM92" t="s">
        <v>850</v>
      </c>
      <c r="AN92" t="s">
        <v>2066</v>
      </c>
      <c r="AO92" t="s">
        <v>2063</v>
      </c>
      <c r="BF92" t="s">
        <v>1053</v>
      </c>
      <c r="BG92" t="s">
        <v>2067</v>
      </c>
      <c r="BH92" t="s">
        <v>851</v>
      </c>
      <c r="BI92" t="s">
        <v>1053</v>
      </c>
      <c r="BJ92" t="s">
        <v>2069</v>
      </c>
      <c r="BK92" t="s">
        <v>1053</v>
      </c>
      <c r="BL92" t="s">
        <v>2069</v>
      </c>
      <c r="BM92" t="s">
        <v>852</v>
      </c>
      <c r="BN92" t="s">
        <v>277</v>
      </c>
      <c r="BO92" t="s">
        <v>1053</v>
      </c>
      <c r="BP92" t="s">
        <v>2067</v>
      </c>
      <c r="BQ92" t="s">
        <v>275</v>
      </c>
      <c r="BR92" t="s">
        <v>1053</v>
      </c>
      <c r="BX92" t="str">
        <f>""</f>
        <v/>
      </c>
      <c r="BY92" t="str">
        <f>""</f>
        <v/>
      </c>
      <c r="BZ92" t="str">
        <f>""</f>
        <v/>
      </c>
      <c r="CA92" t="str">
        <f>""</f>
        <v/>
      </c>
      <c r="CB92" t="str">
        <f>""</f>
        <v/>
      </c>
      <c r="CC92" t="str">
        <f>""</f>
        <v/>
      </c>
      <c r="CD92" t="str">
        <f>"SMTWTFS 0000-2359"</f>
        <v>SMTWTFS 0000-2359</v>
      </c>
      <c r="CE92" t="str">
        <f>""</f>
        <v/>
      </c>
      <c r="CF92" t="str">
        <f>""</f>
        <v/>
      </c>
      <c r="CG92" t="str">
        <f>""</f>
        <v/>
      </c>
      <c r="CH92" t="str">
        <f>""</f>
        <v/>
      </c>
    </row>
    <row r="93" spans="1:86" x14ac:dyDescent="0.25">
      <c r="A93" t="s">
        <v>853</v>
      </c>
      <c r="B93" t="s">
        <v>854</v>
      </c>
      <c r="C93" t="s">
        <v>1992</v>
      </c>
      <c r="D93" t="s">
        <v>1993</v>
      </c>
      <c r="E93" t="s">
        <v>855</v>
      </c>
      <c r="F93" t="s">
        <v>856</v>
      </c>
      <c r="H93" t="s">
        <v>857</v>
      </c>
      <c r="I93" t="s">
        <v>1997</v>
      </c>
      <c r="J93" t="str">
        <f>"53916"</f>
        <v>53916</v>
      </c>
      <c r="K93" t="s">
        <v>1998</v>
      </c>
      <c r="L93" t="s">
        <v>1999</v>
      </c>
      <c r="M93" t="s">
        <v>2000</v>
      </c>
      <c r="N93" t="s">
        <v>1992</v>
      </c>
      <c r="O93" t="s">
        <v>1992</v>
      </c>
      <c r="P93" t="s">
        <v>1992</v>
      </c>
      <c r="Q93" t="s">
        <v>1992</v>
      </c>
      <c r="R93" t="s">
        <v>1992</v>
      </c>
      <c r="S93" t="s">
        <v>1992</v>
      </c>
      <c r="T93" t="s">
        <v>1992</v>
      </c>
      <c r="U93" t="s">
        <v>1992</v>
      </c>
      <c r="V93" t="s">
        <v>1991</v>
      </c>
      <c r="Z93" t="s">
        <v>1991</v>
      </c>
      <c r="AF93" t="s">
        <v>2001</v>
      </c>
      <c r="AG93" t="s">
        <v>1991</v>
      </c>
      <c r="AH93">
        <v>15</v>
      </c>
      <c r="AI93">
        <v>15</v>
      </c>
      <c r="AJ93" t="s">
        <v>858</v>
      </c>
      <c r="AK93">
        <v>891</v>
      </c>
      <c r="BX93" t="str">
        <f>""</f>
        <v/>
      </c>
      <c r="BY93" t="str">
        <f>""</f>
        <v/>
      </c>
      <c r="BZ93" t="str">
        <f>""</f>
        <v/>
      </c>
      <c r="CA93" t="str">
        <f>""</f>
        <v/>
      </c>
      <c r="CB93" t="str">
        <f>""</f>
        <v/>
      </c>
      <c r="CC93" t="str">
        <f>""</f>
        <v/>
      </c>
      <c r="CD93" t="str">
        <f>""</f>
        <v/>
      </c>
      <c r="CE93" t="str">
        <f>""</f>
        <v/>
      </c>
      <c r="CF93" t="str">
        <f>""</f>
        <v/>
      </c>
      <c r="CG93" t="str">
        <f>""</f>
        <v/>
      </c>
      <c r="CH93" t="str">
        <f>""</f>
        <v/>
      </c>
    </row>
    <row r="94" spans="1:86" x14ac:dyDescent="0.25">
      <c r="A94" t="s">
        <v>859</v>
      </c>
      <c r="B94" t="s">
        <v>860</v>
      </c>
      <c r="C94" t="s">
        <v>1992</v>
      </c>
      <c r="D94" t="s">
        <v>1993</v>
      </c>
      <c r="E94" t="s">
        <v>861</v>
      </c>
      <c r="H94" t="s">
        <v>788</v>
      </c>
      <c r="I94" t="s">
        <v>2287</v>
      </c>
      <c r="J94" t="str">
        <f>"04011"</f>
        <v>04011</v>
      </c>
      <c r="K94" t="s">
        <v>1998</v>
      </c>
      <c r="L94" t="s">
        <v>2033</v>
      </c>
      <c r="M94" t="s">
        <v>862</v>
      </c>
      <c r="N94" t="s">
        <v>1992</v>
      </c>
      <c r="O94" t="s">
        <v>1992</v>
      </c>
      <c r="P94" t="s">
        <v>1992</v>
      </c>
      <c r="Q94" t="s">
        <v>1992</v>
      </c>
      <c r="R94" t="s">
        <v>1992</v>
      </c>
      <c r="S94" t="s">
        <v>1992</v>
      </c>
      <c r="T94" t="s">
        <v>1992</v>
      </c>
      <c r="U94" t="s">
        <v>1992</v>
      </c>
      <c r="V94" t="s">
        <v>1991</v>
      </c>
      <c r="W94" t="s">
        <v>1992</v>
      </c>
      <c r="X94" t="s">
        <v>1992</v>
      </c>
      <c r="Y94" t="s">
        <v>1991</v>
      </c>
      <c r="Z94" t="s">
        <v>1991</v>
      </c>
      <c r="AA94" t="s">
        <v>1992</v>
      </c>
      <c r="AF94" t="s">
        <v>2016</v>
      </c>
      <c r="AG94" t="s">
        <v>1991</v>
      </c>
      <c r="AH94">
        <v>30</v>
      </c>
      <c r="AI94">
        <v>30</v>
      </c>
      <c r="AJ94" t="s">
        <v>863</v>
      </c>
      <c r="AK94">
        <v>72</v>
      </c>
      <c r="AL94">
        <v>14816</v>
      </c>
      <c r="AM94" t="s">
        <v>864</v>
      </c>
      <c r="AN94" t="s">
        <v>865</v>
      </c>
      <c r="AO94" t="s">
        <v>2063</v>
      </c>
      <c r="BF94" t="s">
        <v>1053</v>
      </c>
      <c r="BG94" t="s">
        <v>476</v>
      </c>
      <c r="BH94" t="s">
        <v>477</v>
      </c>
      <c r="BI94" t="s">
        <v>1053</v>
      </c>
      <c r="BK94" t="s">
        <v>1053</v>
      </c>
      <c r="BX94" t="str">
        <f>""</f>
        <v/>
      </c>
      <c r="BY94" t="str">
        <f>""</f>
        <v/>
      </c>
      <c r="BZ94" t="str">
        <f>""</f>
        <v/>
      </c>
      <c r="CA94" t="str">
        <f>""</f>
        <v/>
      </c>
      <c r="CB94" t="str">
        <f>""</f>
        <v/>
      </c>
      <c r="CC94" t="str">
        <f>""</f>
        <v/>
      </c>
      <c r="CD94" t="str">
        <f>""</f>
        <v/>
      </c>
      <c r="CE94" t="str">
        <f>""</f>
        <v/>
      </c>
      <c r="CF94" t="str">
        <f>""</f>
        <v/>
      </c>
      <c r="CG94" t="str">
        <f>""</f>
        <v/>
      </c>
      <c r="CH94" t="str">
        <f>""</f>
        <v/>
      </c>
    </row>
    <row r="95" spans="1:86" x14ac:dyDescent="0.25">
      <c r="A95" t="s">
        <v>866</v>
      </c>
      <c r="B95" t="s">
        <v>867</v>
      </c>
      <c r="D95" t="s">
        <v>2089</v>
      </c>
      <c r="E95" t="s">
        <v>868</v>
      </c>
      <c r="F95" t="s">
        <v>869</v>
      </c>
      <c r="H95" t="s">
        <v>870</v>
      </c>
      <c r="I95" t="s">
        <v>2014</v>
      </c>
      <c r="J95" t="str">
        <f>"20715"</f>
        <v>20715</v>
      </c>
      <c r="L95" t="s">
        <v>499</v>
      </c>
      <c r="M95" t="s">
        <v>500</v>
      </c>
      <c r="O95" t="s">
        <v>1992</v>
      </c>
      <c r="AF95" t="s">
        <v>2016</v>
      </c>
      <c r="AG95" t="s">
        <v>1991</v>
      </c>
      <c r="AJ95" t="s">
        <v>2090</v>
      </c>
      <c r="AM95" t="s">
        <v>501</v>
      </c>
      <c r="BX95" t="str">
        <f>""</f>
        <v/>
      </c>
      <c r="BY95" t="str">
        <f>""</f>
        <v/>
      </c>
      <c r="BZ95" t="str">
        <f>""</f>
        <v/>
      </c>
      <c r="CA95" t="str">
        <f>""</f>
        <v/>
      </c>
      <c r="CB95" t="str">
        <f>""</f>
        <v/>
      </c>
      <c r="CC95" t="str">
        <f>""</f>
        <v/>
      </c>
      <c r="CD95" t="str">
        <f>""</f>
        <v/>
      </c>
      <c r="CE95" t="str">
        <f>""</f>
        <v/>
      </c>
      <c r="CF95" t="str">
        <f>""</f>
        <v/>
      </c>
      <c r="CG95" t="str">
        <f>""</f>
        <v/>
      </c>
      <c r="CH95" t="str">
        <f>""</f>
        <v/>
      </c>
    </row>
    <row r="96" spans="1:86" x14ac:dyDescent="0.25">
      <c r="A96" t="s">
        <v>871</v>
      </c>
      <c r="B96" t="s">
        <v>872</v>
      </c>
      <c r="C96" t="s">
        <v>1991</v>
      </c>
      <c r="D96" t="s">
        <v>2010</v>
      </c>
      <c r="E96" t="s">
        <v>873</v>
      </c>
      <c r="F96" t="s">
        <v>2012</v>
      </c>
      <c r="H96" t="s">
        <v>874</v>
      </c>
      <c r="I96" t="s">
        <v>2014</v>
      </c>
      <c r="J96" t="str">
        <f>"21240-0642"</f>
        <v>21240-0642</v>
      </c>
      <c r="K96" t="s">
        <v>1998</v>
      </c>
      <c r="L96" t="s">
        <v>2015</v>
      </c>
      <c r="M96" t="s">
        <v>875</v>
      </c>
      <c r="N96" t="s">
        <v>1991</v>
      </c>
      <c r="O96" t="s">
        <v>1991</v>
      </c>
      <c r="P96" t="s">
        <v>1992</v>
      </c>
      <c r="Q96" t="s">
        <v>1992</v>
      </c>
      <c r="R96" t="s">
        <v>1992</v>
      </c>
      <c r="S96" t="s">
        <v>1992</v>
      </c>
      <c r="T96" t="s">
        <v>1992</v>
      </c>
      <c r="U96" t="s">
        <v>1991</v>
      </c>
      <c r="V96" t="s">
        <v>1991</v>
      </c>
      <c r="W96" t="s">
        <v>1991</v>
      </c>
      <c r="X96" t="s">
        <v>1991</v>
      </c>
      <c r="Y96" t="s">
        <v>1992</v>
      </c>
      <c r="Z96" t="s">
        <v>1992</v>
      </c>
      <c r="AA96" t="s">
        <v>1992</v>
      </c>
      <c r="AE96" t="s">
        <v>456</v>
      </c>
      <c r="AF96" t="s">
        <v>2016</v>
      </c>
      <c r="AG96" t="s">
        <v>1991</v>
      </c>
      <c r="AH96">
        <v>30</v>
      </c>
      <c r="AI96">
        <v>30</v>
      </c>
      <c r="AJ96" t="s">
        <v>876</v>
      </c>
      <c r="AK96">
        <v>63</v>
      </c>
      <c r="AL96">
        <v>50000</v>
      </c>
      <c r="AM96" t="s">
        <v>877</v>
      </c>
      <c r="AN96" t="s">
        <v>1053</v>
      </c>
      <c r="AO96" t="s">
        <v>1053</v>
      </c>
      <c r="AP96" t="s">
        <v>1053</v>
      </c>
      <c r="AQ96" t="s">
        <v>1053</v>
      </c>
      <c r="AR96" t="s">
        <v>1053</v>
      </c>
      <c r="AS96" t="s">
        <v>871</v>
      </c>
      <c r="AT96" t="s">
        <v>878</v>
      </c>
      <c r="AU96" t="s">
        <v>1053</v>
      </c>
      <c r="AV96" t="s">
        <v>1053</v>
      </c>
      <c r="AW96" t="s">
        <v>1053</v>
      </c>
      <c r="AX96" t="s">
        <v>1053</v>
      </c>
      <c r="AY96" t="s">
        <v>1053</v>
      </c>
      <c r="AZ96" t="s">
        <v>871</v>
      </c>
      <c r="BA96" t="s">
        <v>878</v>
      </c>
      <c r="BB96" t="s">
        <v>1053</v>
      </c>
      <c r="BC96" t="s">
        <v>1053</v>
      </c>
      <c r="BD96" t="s">
        <v>1053</v>
      </c>
      <c r="BE96" t="s">
        <v>1053</v>
      </c>
      <c r="BF96" t="s">
        <v>1053</v>
      </c>
      <c r="BG96" t="s">
        <v>2019</v>
      </c>
      <c r="BH96" t="s">
        <v>879</v>
      </c>
      <c r="BI96" t="s">
        <v>1053</v>
      </c>
      <c r="BJ96" t="s">
        <v>1053</v>
      </c>
      <c r="BK96" t="s">
        <v>1053</v>
      </c>
      <c r="BL96" t="s">
        <v>1053</v>
      </c>
      <c r="BM96" t="s">
        <v>2021</v>
      </c>
      <c r="BN96" t="s">
        <v>2022</v>
      </c>
      <c r="BO96" t="s">
        <v>1053</v>
      </c>
      <c r="BP96" t="s">
        <v>2023</v>
      </c>
      <c r="BQ96" t="s">
        <v>460</v>
      </c>
      <c r="BR96" t="s">
        <v>1053</v>
      </c>
      <c r="BS96" t="s">
        <v>1053</v>
      </c>
      <c r="BT96" t="s">
        <v>1053</v>
      </c>
      <c r="BU96" t="s">
        <v>1053</v>
      </c>
      <c r="BV96" t="s">
        <v>461</v>
      </c>
      <c r="BX96" t="str">
        <f>"S-----S 0515-2245; -MTWTF- 0500-2245"</f>
        <v>S-----S 0515-2245; -MTWTF- 0500-2245</v>
      </c>
      <c r="BY96" t="str">
        <f>""</f>
        <v/>
      </c>
      <c r="BZ96" t="str">
        <f>"SMTWTFS 0515-2245"</f>
        <v>SMTWTFS 0515-2245</v>
      </c>
      <c r="CA96" t="str">
        <f>"S-----S 0515-2245; -MTWTF- 0500-2245"</f>
        <v>S-----S 0515-2245; -MTWTF- 0500-2245</v>
      </c>
      <c r="CB96" t="str">
        <f>""</f>
        <v/>
      </c>
      <c r="CC96" t="str">
        <f>"S-----S 0515-2245; -MTWTF- 0500-2245"</f>
        <v>S-----S 0515-2245; -MTWTF- 0500-2245</v>
      </c>
      <c r="CD96" t="str">
        <f>""</f>
        <v/>
      </c>
      <c r="CE96" t="str">
        <f>""</f>
        <v/>
      </c>
      <c r="CF96" t="str">
        <f>""</f>
        <v/>
      </c>
      <c r="CG96" t="str">
        <f>""</f>
        <v/>
      </c>
      <c r="CH96" t="str">
        <f>"SMTWTFS 0000-2359"</f>
        <v>SMTWTFS 0000-2359</v>
      </c>
    </row>
    <row r="97" spans="1:86" x14ac:dyDescent="0.25">
      <c r="A97" t="s">
        <v>880</v>
      </c>
      <c r="B97" t="s">
        <v>881</v>
      </c>
      <c r="D97" t="s">
        <v>2089</v>
      </c>
      <c r="E97" t="s">
        <v>882</v>
      </c>
      <c r="F97" t="s">
        <v>497</v>
      </c>
      <c r="H97" t="s">
        <v>788</v>
      </c>
      <c r="I97" t="s">
        <v>2014</v>
      </c>
      <c r="J97" t="str">
        <f>"21716-1147"</f>
        <v>21716-1147</v>
      </c>
      <c r="K97" t="s">
        <v>1998</v>
      </c>
      <c r="L97" t="s">
        <v>499</v>
      </c>
      <c r="M97" t="s">
        <v>500</v>
      </c>
      <c r="O97" t="s">
        <v>1991</v>
      </c>
      <c r="AF97" t="s">
        <v>2016</v>
      </c>
      <c r="AG97" t="s">
        <v>1991</v>
      </c>
      <c r="AJ97" t="s">
        <v>2090</v>
      </c>
      <c r="AM97" t="s">
        <v>501</v>
      </c>
      <c r="BX97" t="str">
        <f>""</f>
        <v/>
      </c>
      <c r="BY97" t="str">
        <f>""</f>
        <v/>
      </c>
      <c r="BZ97" t="str">
        <f>""</f>
        <v/>
      </c>
      <c r="CA97" t="str">
        <f>""</f>
        <v/>
      </c>
      <c r="CB97" t="str">
        <f>""</f>
        <v/>
      </c>
      <c r="CC97" t="str">
        <f>""</f>
        <v/>
      </c>
      <c r="CD97" t="str">
        <f>""</f>
        <v/>
      </c>
      <c r="CE97" t="str">
        <f>""</f>
        <v/>
      </c>
      <c r="CF97" t="str">
        <f>""</f>
        <v/>
      </c>
      <c r="CG97" t="str">
        <f>""</f>
        <v/>
      </c>
      <c r="CH97" t="str">
        <f>""</f>
        <v/>
      </c>
    </row>
    <row r="98" spans="1:86" x14ac:dyDescent="0.25">
      <c r="A98" t="s">
        <v>883</v>
      </c>
      <c r="B98" t="s">
        <v>884</v>
      </c>
      <c r="C98" t="s">
        <v>1992</v>
      </c>
      <c r="D98" t="s">
        <v>1993</v>
      </c>
      <c r="E98" t="s">
        <v>885</v>
      </c>
      <c r="F98" t="s">
        <v>886</v>
      </c>
      <c r="H98" t="s">
        <v>887</v>
      </c>
      <c r="I98" t="s">
        <v>576</v>
      </c>
      <c r="J98" t="str">
        <f>"98812"</f>
        <v>98812</v>
      </c>
      <c r="K98" t="s">
        <v>1998</v>
      </c>
      <c r="L98" t="s">
        <v>2062</v>
      </c>
      <c r="M98" t="s">
        <v>2063</v>
      </c>
      <c r="N98" t="s">
        <v>1992</v>
      </c>
      <c r="O98" t="s">
        <v>1992</v>
      </c>
      <c r="P98" t="s">
        <v>1992</v>
      </c>
      <c r="Q98" t="s">
        <v>1992</v>
      </c>
      <c r="R98" t="s">
        <v>1992</v>
      </c>
      <c r="S98" t="s">
        <v>1992</v>
      </c>
      <c r="T98" t="s">
        <v>1992</v>
      </c>
      <c r="U98" t="s">
        <v>1992</v>
      </c>
      <c r="V98" t="s">
        <v>1991</v>
      </c>
      <c r="W98" t="s">
        <v>1992</v>
      </c>
      <c r="X98" t="s">
        <v>1992</v>
      </c>
      <c r="Y98" t="s">
        <v>1992</v>
      </c>
      <c r="Z98" t="s">
        <v>1991</v>
      </c>
      <c r="AF98" t="s">
        <v>2064</v>
      </c>
      <c r="AG98" t="s">
        <v>1991</v>
      </c>
      <c r="AH98">
        <v>30</v>
      </c>
      <c r="AI98">
        <v>30</v>
      </c>
      <c r="AJ98" t="s">
        <v>888</v>
      </c>
      <c r="AK98">
        <v>815</v>
      </c>
      <c r="AL98">
        <v>2600</v>
      </c>
      <c r="AM98" t="s">
        <v>2298</v>
      </c>
      <c r="AN98" t="s">
        <v>889</v>
      </c>
      <c r="AO98" t="s">
        <v>1053</v>
      </c>
      <c r="BF98" t="s">
        <v>1053</v>
      </c>
      <c r="BG98" t="s">
        <v>394</v>
      </c>
      <c r="BH98" t="s">
        <v>311</v>
      </c>
      <c r="BI98" t="s">
        <v>1053</v>
      </c>
      <c r="BJ98" t="s">
        <v>1053</v>
      </c>
      <c r="BK98" t="s">
        <v>1053</v>
      </c>
      <c r="BL98" t="s">
        <v>1053</v>
      </c>
      <c r="BX98" t="str">
        <f>""</f>
        <v/>
      </c>
      <c r="BY98" t="str">
        <f>""</f>
        <v/>
      </c>
      <c r="BZ98" t="str">
        <f>""</f>
        <v/>
      </c>
      <c r="CA98" t="str">
        <f>""</f>
        <v/>
      </c>
      <c r="CB98" t="str">
        <f>""</f>
        <v/>
      </c>
      <c r="CC98" t="str">
        <f>""</f>
        <v/>
      </c>
      <c r="CD98" t="str">
        <f>""</f>
        <v/>
      </c>
      <c r="CE98" t="str">
        <f>""</f>
        <v/>
      </c>
      <c r="CF98" t="str">
        <f>""</f>
        <v/>
      </c>
      <c r="CG98" t="str">
        <f>""</f>
        <v/>
      </c>
      <c r="CH98" t="str">
        <f>""</f>
        <v/>
      </c>
    </row>
    <row r="99" spans="1:86" x14ac:dyDescent="0.25">
      <c r="A99" t="s">
        <v>890</v>
      </c>
      <c r="B99" t="s">
        <v>891</v>
      </c>
      <c r="D99" t="s">
        <v>2089</v>
      </c>
      <c r="E99" t="s">
        <v>892</v>
      </c>
      <c r="F99" t="s">
        <v>497</v>
      </c>
      <c r="H99" t="s">
        <v>893</v>
      </c>
      <c r="I99" t="s">
        <v>2014</v>
      </c>
      <c r="J99" t="str">
        <f>"20841"</f>
        <v>20841</v>
      </c>
      <c r="K99" t="s">
        <v>1998</v>
      </c>
      <c r="L99" t="s">
        <v>499</v>
      </c>
      <c r="M99" t="s">
        <v>500</v>
      </c>
      <c r="O99" t="s">
        <v>1992</v>
      </c>
      <c r="AF99" t="s">
        <v>2016</v>
      </c>
      <c r="AG99" t="s">
        <v>1991</v>
      </c>
      <c r="AJ99" t="s">
        <v>2090</v>
      </c>
      <c r="AM99" t="s">
        <v>501</v>
      </c>
      <c r="BX99" t="str">
        <f>""</f>
        <v/>
      </c>
      <c r="BY99" t="str">
        <f>""</f>
        <v/>
      </c>
      <c r="BZ99" t="str">
        <f>""</f>
        <v/>
      </c>
      <c r="CA99" t="str">
        <f>""</f>
        <v/>
      </c>
      <c r="CB99" t="str">
        <f>""</f>
        <v/>
      </c>
      <c r="CC99" t="str">
        <f>""</f>
        <v/>
      </c>
      <c r="CD99" t="str">
        <f>""</f>
        <v/>
      </c>
      <c r="CE99" t="str">
        <f>""</f>
        <v/>
      </c>
      <c r="CF99" t="str">
        <f>""</f>
        <v/>
      </c>
      <c r="CG99" t="str">
        <f>""</f>
        <v/>
      </c>
      <c r="CH99" t="str">
        <f>""</f>
        <v/>
      </c>
    </row>
    <row r="100" spans="1:86" x14ac:dyDescent="0.25">
      <c r="A100" t="s">
        <v>894</v>
      </c>
      <c r="B100" t="s">
        <v>895</v>
      </c>
      <c r="C100" t="s">
        <v>1992</v>
      </c>
      <c r="D100" t="s">
        <v>1993</v>
      </c>
      <c r="E100" t="s">
        <v>896</v>
      </c>
      <c r="F100" t="s">
        <v>897</v>
      </c>
      <c r="H100" t="s">
        <v>898</v>
      </c>
      <c r="I100" t="s">
        <v>2352</v>
      </c>
      <c r="J100" t="str">
        <f>"49713"</f>
        <v>49713</v>
      </c>
      <c r="K100" t="s">
        <v>1998</v>
      </c>
      <c r="L100" t="s">
        <v>1999</v>
      </c>
      <c r="M100" t="s">
        <v>899</v>
      </c>
      <c r="N100" t="s">
        <v>1992</v>
      </c>
      <c r="O100" t="s">
        <v>1992</v>
      </c>
      <c r="P100" t="s">
        <v>1992</v>
      </c>
      <c r="Q100" t="s">
        <v>1992</v>
      </c>
      <c r="R100" t="s">
        <v>1992</v>
      </c>
      <c r="S100" t="s">
        <v>1992</v>
      </c>
      <c r="T100" t="s">
        <v>1992</v>
      </c>
      <c r="U100" t="s">
        <v>1992</v>
      </c>
      <c r="V100" t="s">
        <v>1991</v>
      </c>
      <c r="W100" t="s">
        <v>1992</v>
      </c>
      <c r="X100" t="s">
        <v>1992</v>
      </c>
      <c r="Y100" t="s">
        <v>1992</v>
      </c>
      <c r="Z100" t="s">
        <v>1991</v>
      </c>
      <c r="AF100" t="s">
        <v>2016</v>
      </c>
      <c r="AG100" t="s">
        <v>1991</v>
      </c>
      <c r="AH100">
        <v>30</v>
      </c>
      <c r="AI100">
        <v>30</v>
      </c>
      <c r="AJ100" t="s">
        <v>900</v>
      </c>
      <c r="AK100">
        <v>710</v>
      </c>
      <c r="AL100">
        <v>340</v>
      </c>
      <c r="AN100" t="s">
        <v>445</v>
      </c>
      <c r="AO100" t="s">
        <v>2311</v>
      </c>
      <c r="BF100" t="s">
        <v>1053</v>
      </c>
      <c r="BG100" t="s">
        <v>2355</v>
      </c>
      <c r="BH100" t="s">
        <v>901</v>
      </c>
      <c r="BI100" t="s">
        <v>1053</v>
      </c>
      <c r="BK100" t="s">
        <v>1053</v>
      </c>
      <c r="BM100" t="s">
        <v>2313</v>
      </c>
      <c r="BN100" t="s">
        <v>2314</v>
      </c>
      <c r="BO100" t="s">
        <v>1053</v>
      </c>
      <c r="BP100" t="s">
        <v>2356</v>
      </c>
      <c r="BQ100" t="s">
        <v>2316</v>
      </c>
      <c r="BR100" t="s">
        <v>1053</v>
      </c>
      <c r="BT100" t="s">
        <v>1053</v>
      </c>
      <c r="BX100" t="str">
        <f>""</f>
        <v/>
      </c>
      <c r="BY100" t="str">
        <f>""</f>
        <v/>
      </c>
      <c r="BZ100" t="str">
        <f>""</f>
        <v/>
      </c>
      <c r="CA100" t="str">
        <f>""</f>
        <v/>
      </c>
      <c r="CB100" t="str">
        <f>""</f>
        <v/>
      </c>
      <c r="CC100" t="str">
        <f>""</f>
        <v/>
      </c>
      <c r="CD100" t="str">
        <f>""</f>
        <v/>
      </c>
      <c r="CE100" t="str">
        <f>""</f>
        <v/>
      </c>
      <c r="CF100" t="str">
        <f>""</f>
        <v/>
      </c>
      <c r="CG100" t="str">
        <f>""</f>
        <v/>
      </c>
      <c r="CH100" t="str">
        <f>""</f>
        <v/>
      </c>
    </row>
    <row r="101" spans="1:86" x14ac:dyDescent="0.25">
      <c r="A101" t="s">
        <v>902</v>
      </c>
      <c r="B101" t="s">
        <v>903</v>
      </c>
      <c r="C101" t="s">
        <v>1992</v>
      </c>
      <c r="D101" t="s">
        <v>2010</v>
      </c>
      <c r="E101" t="s">
        <v>904</v>
      </c>
      <c r="H101" t="s">
        <v>905</v>
      </c>
      <c r="I101" t="s">
        <v>2334</v>
      </c>
      <c r="J101" t="str">
        <f>"43506"</f>
        <v>43506</v>
      </c>
      <c r="K101" t="s">
        <v>1998</v>
      </c>
      <c r="L101" t="s">
        <v>1999</v>
      </c>
      <c r="M101" t="s">
        <v>2063</v>
      </c>
      <c r="N101" t="s">
        <v>1992</v>
      </c>
      <c r="O101" t="s">
        <v>1992</v>
      </c>
      <c r="P101" t="s">
        <v>1992</v>
      </c>
      <c r="Q101" t="s">
        <v>1992</v>
      </c>
      <c r="R101" t="s">
        <v>1992</v>
      </c>
      <c r="S101" t="s">
        <v>1992</v>
      </c>
      <c r="T101" t="s">
        <v>1992</v>
      </c>
      <c r="U101" t="s">
        <v>1992</v>
      </c>
      <c r="V101" t="s">
        <v>1991</v>
      </c>
      <c r="W101" t="s">
        <v>1991</v>
      </c>
      <c r="X101" t="s">
        <v>1992</v>
      </c>
      <c r="Y101" t="s">
        <v>1992</v>
      </c>
      <c r="Z101" t="s">
        <v>1992</v>
      </c>
      <c r="AF101" t="s">
        <v>2016</v>
      </c>
      <c r="AG101" t="s">
        <v>1991</v>
      </c>
      <c r="AH101">
        <v>30</v>
      </c>
      <c r="AI101">
        <v>30</v>
      </c>
      <c r="AJ101" t="s">
        <v>906</v>
      </c>
      <c r="AK101">
        <v>769</v>
      </c>
      <c r="AL101">
        <v>8348</v>
      </c>
      <c r="AN101" t="s">
        <v>425</v>
      </c>
      <c r="AO101" t="s">
        <v>2063</v>
      </c>
      <c r="BF101" t="s">
        <v>1053</v>
      </c>
      <c r="BG101" t="s">
        <v>2097</v>
      </c>
      <c r="BH101" t="s">
        <v>2312</v>
      </c>
      <c r="BI101" t="s">
        <v>1053</v>
      </c>
      <c r="BJ101" t="s">
        <v>2069</v>
      </c>
      <c r="BK101" t="s">
        <v>1053</v>
      </c>
      <c r="BL101" t="s">
        <v>2069</v>
      </c>
      <c r="BM101" t="s">
        <v>2313</v>
      </c>
      <c r="BN101" t="s">
        <v>2314</v>
      </c>
      <c r="BO101" t="s">
        <v>1053</v>
      </c>
      <c r="BP101" t="s">
        <v>907</v>
      </c>
      <c r="BQ101" t="s">
        <v>2316</v>
      </c>
      <c r="BR101" t="s">
        <v>1053</v>
      </c>
      <c r="BT101" t="s">
        <v>1053</v>
      </c>
      <c r="BX101" t="str">
        <f>"SMTWTFS 0130-0230 0630-0800"</f>
        <v>SMTWTFS 0130-0230 0630-0800</v>
      </c>
      <c r="BY101" t="str">
        <f>""</f>
        <v/>
      </c>
      <c r="BZ101" t="str">
        <f>""</f>
        <v/>
      </c>
      <c r="CA101" t="str">
        <f>""</f>
        <v/>
      </c>
      <c r="CB101" t="str">
        <f>""</f>
        <v/>
      </c>
      <c r="CC101" t="str">
        <f>""</f>
        <v/>
      </c>
      <c r="CD101" t="str">
        <f>""</f>
        <v/>
      </c>
      <c r="CE101" t="str">
        <f>""</f>
        <v/>
      </c>
      <c r="CF101" t="str">
        <f>""</f>
        <v/>
      </c>
      <c r="CG101" t="str">
        <f>""</f>
        <v/>
      </c>
      <c r="CH101" t="str">
        <f>""</f>
        <v/>
      </c>
    </row>
    <row r="102" spans="1:86" x14ac:dyDescent="0.25">
      <c r="A102" t="s">
        <v>908</v>
      </c>
      <c r="B102" t="s">
        <v>909</v>
      </c>
      <c r="D102" t="s">
        <v>2089</v>
      </c>
      <c r="V102" t="s">
        <v>1991</v>
      </c>
      <c r="AJ102" t="s">
        <v>2090</v>
      </c>
      <c r="BX102" t="str">
        <f>""</f>
        <v/>
      </c>
      <c r="BY102" t="str">
        <f>""</f>
        <v/>
      </c>
      <c r="BZ102" t="str">
        <f>""</f>
        <v/>
      </c>
      <c r="CA102" t="str">
        <f>"SMTWTFS 0000-2359"</f>
        <v>SMTWTFS 0000-2359</v>
      </c>
      <c r="CB102" t="str">
        <f>""</f>
        <v/>
      </c>
      <c r="CC102" t="str">
        <f>""</f>
        <v/>
      </c>
      <c r="CD102" t="str">
        <f>""</f>
        <v/>
      </c>
      <c r="CE102" t="str">
        <f>""</f>
        <v/>
      </c>
      <c r="CF102" t="str">
        <f>""</f>
        <v/>
      </c>
      <c r="CG102" t="str">
        <f>""</f>
        <v/>
      </c>
      <c r="CH102" t="str">
        <f>""</f>
        <v/>
      </c>
    </row>
    <row r="103" spans="1:86" x14ac:dyDescent="0.25">
      <c r="A103" t="s">
        <v>910</v>
      </c>
      <c r="B103" t="s">
        <v>911</v>
      </c>
      <c r="C103" t="s">
        <v>1992</v>
      </c>
      <c r="D103" t="s">
        <v>2010</v>
      </c>
      <c r="E103" t="s">
        <v>912</v>
      </c>
      <c r="H103" t="s">
        <v>913</v>
      </c>
      <c r="I103" t="s">
        <v>914</v>
      </c>
      <c r="J103" t="str">
        <f>"29020"</f>
        <v>29020</v>
      </c>
      <c r="K103" t="s">
        <v>1998</v>
      </c>
      <c r="L103" t="s">
        <v>408</v>
      </c>
      <c r="M103" t="s">
        <v>2063</v>
      </c>
      <c r="N103" t="s">
        <v>1992</v>
      </c>
      <c r="O103" t="s">
        <v>1992</v>
      </c>
      <c r="P103" t="s">
        <v>1992</v>
      </c>
      <c r="Q103" t="s">
        <v>1992</v>
      </c>
      <c r="R103" t="s">
        <v>1992</v>
      </c>
      <c r="S103" t="s">
        <v>1992</v>
      </c>
      <c r="T103" t="s">
        <v>1992</v>
      </c>
      <c r="U103" t="s">
        <v>1992</v>
      </c>
      <c r="V103" t="s">
        <v>1991</v>
      </c>
      <c r="W103" t="s">
        <v>1991</v>
      </c>
      <c r="X103" t="s">
        <v>1992</v>
      </c>
      <c r="Y103" t="s">
        <v>1992</v>
      </c>
      <c r="Z103" t="s">
        <v>1992</v>
      </c>
      <c r="AF103" t="s">
        <v>2016</v>
      </c>
      <c r="AG103" t="s">
        <v>1991</v>
      </c>
      <c r="AH103">
        <v>30</v>
      </c>
      <c r="AI103">
        <v>30</v>
      </c>
      <c r="AJ103" t="s">
        <v>915</v>
      </c>
      <c r="AK103">
        <v>174</v>
      </c>
      <c r="AL103">
        <v>6700</v>
      </c>
      <c r="AN103" t="s">
        <v>916</v>
      </c>
      <c r="AO103" t="s">
        <v>2063</v>
      </c>
      <c r="AP103" t="s">
        <v>2083</v>
      </c>
      <c r="AQ103" t="s">
        <v>2063</v>
      </c>
      <c r="AR103" t="s">
        <v>2083</v>
      </c>
      <c r="AU103" t="s">
        <v>1053</v>
      </c>
      <c r="AV103" t="s">
        <v>1053</v>
      </c>
      <c r="AW103" t="s">
        <v>2083</v>
      </c>
      <c r="AX103" t="s">
        <v>2063</v>
      </c>
      <c r="AY103" t="s">
        <v>2083</v>
      </c>
      <c r="BB103" t="s">
        <v>2063</v>
      </c>
      <c r="BC103" t="s">
        <v>2083</v>
      </c>
      <c r="BD103" t="s">
        <v>2063</v>
      </c>
      <c r="BE103" t="s">
        <v>2083</v>
      </c>
      <c r="BF103" t="s">
        <v>1053</v>
      </c>
      <c r="BG103" t="s">
        <v>703</v>
      </c>
      <c r="BH103" t="s">
        <v>917</v>
      </c>
      <c r="BI103" t="s">
        <v>1053</v>
      </c>
      <c r="BJ103" t="s">
        <v>1053</v>
      </c>
      <c r="BK103" t="s">
        <v>1053</v>
      </c>
      <c r="BL103" t="s">
        <v>1053</v>
      </c>
      <c r="BM103" t="s">
        <v>414</v>
      </c>
      <c r="BN103" t="s">
        <v>412</v>
      </c>
      <c r="BO103" t="s">
        <v>1053</v>
      </c>
      <c r="BP103" t="s">
        <v>653</v>
      </c>
      <c r="BQ103" t="s">
        <v>918</v>
      </c>
      <c r="BR103" t="s">
        <v>1053</v>
      </c>
      <c r="BS103" t="s">
        <v>1053</v>
      </c>
      <c r="BT103" t="s">
        <v>1053</v>
      </c>
      <c r="BU103" t="s">
        <v>1053</v>
      </c>
      <c r="BV103" t="s">
        <v>416</v>
      </c>
      <c r="BW103" t="s">
        <v>417</v>
      </c>
      <c r="BX103" t="str">
        <f>"SMTWTFS 0000-0150 0350-0550 2350-2359"</f>
        <v>SMTWTFS 0000-0150 0350-0550 2350-2359</v>
      </c>
      <c r="BY103" t="str">
        <f>""</f>
        <v/>
      </c>
      <c r="BZ103" t="str">
        <f>""</f>
        <v/>
      </c>
      <c r="CA103" t="str">
        <f>""</f>
        <v/>
      </c>
      <c r="CB103" t="str">
        <f>""</f>
        <v/>
      </c>
      <c r="CC103" t="str">
        <f>""</f>
        <v/>
      </c>
      <c r="CD103" t="str">
        <f>""</f>
        <v/>
      </c>
      <c r="CE103" t="str">
        <f>""</f>
        <v/>
      </c>
      <c r="CF103" t="str">
        <f>""</f>
        <v/>
      </c>
      <c r="CG103" t="str">
        <f>""</f>
        <v/>
      </c>
      <c r="CH103" t="str">
        <f>""</f>
        <v/>
      </c>
    </row>
    <row r="104" spans="1:86" x14ac:dyDescent="0.25">
      <c r="A104" t="s">
        <v>919</v>
      </c>
      <c r="B104" t="s">
        <v>920</v>
      </c>
      <c r="C104" t="s">
        <v>1992</v>
      </c>
      <c r="D104" t="s">
        <v>1993</v>
      </c>
      <c r="E104" t="s">
        <v>921</v>
      </c>
      <c r="F104" t="s">
        <v>922</v>
      </c>
      <c r="H104" t="s">
        <v>923</v>
      </c>
      <c r="I104" t="s">
        <v>660</v>
      </c>
      <c r="J104" t="str">
        <f>"03818"</f>
        <v>03818</v>
      </c>
      <c r="K104" t="s">
        <v>1998</v>
      </c>
      <c r="L104" t="s">
        <v>2033</v>
      </c>
      <c r="M104" t="s">
        <v>2000</v>
      </c>
      <c r="N104" t="s">
        <v>1992</v>
      </c>
      <c r="O104" t="s">
        <v>1992</v>
      </c>
      <c r="P104" t="s">
        <v>1992</v>
      </c>
      <c r="Q104" t="s">
        <v>1992</v>
      </c>
      <c r="R104" t="s">
        <v>1992</v>
      </c>
      <c r="S104" t="s">
        <v>1992</v>
      </c>
      <c r="T104" t="s">
        <v>1992</v>
      </c>
      <c r="U104" t="s">
        <v>1992</v>
      </c>
      <c r="V104" t="s">
        <v>1991</v>
      </c>
      <c r="W104" t="s">
        <v>1992</v>
      </c>
      <c r="X104" t="s">
        <v>1992</v>
      </c>
      <c r="Y104" t="s">
        <v>1992</v>
      </c>
      <c r="Z104" t="s">
        <v>1991</v>
      </c>
      <c r="AF104" t="s">
        <v>2016</v>
      </c>
      <c r="AG104" t="s">
        <v>1991</v>
      </c>
      <c r="AH104">
        <v>30</v>
      </c>
      <c r="AI104">
        <v>30</v>
      </c>
      <c r="AJ104" t="s">
        <v>924</v>
      </c>
      <c r="AK104">
        <v>460</v>
      </c>
      <c r="AL104">
        <v>1692</v>
      </c>
      <c r="AM104" t="s">
        <v>2298</v>
      </c>
      <c r="BX104" t="str">
        <f>""</f>
        <v/>
      </c>
      <c r="BY104" t="str">
        <f>""</f>
        <v/>
      </c>
      <c r="BZ104" t="str">
        <f>""</f>
        <v/>
      </c>
      <c r="CA104" t="str">
        <f>""</f>
        <v/>
      </c>
      <c r="CB104" t="str">
        <f>""</f>
        <v/>
      </c>
      <c r="CC104" t="str">
        <f>""</f>
        <v/>
      </c>
      <c r="CD104" t="str">
        <f>""</f>
        <v/>
      </c>
      <c r="CE104" t="str">
        <f>""</f>
        <v/>
      </c>
      <c r="CF104" t="str">
        <f>""</f>
        <v/>
      </c>
      <c r="CG104" t="str">
        <f>""</f>
        <v/>
      </c>
      <c r="CH104" t="str">
        <f>""</f>
        <v/>
      </c>
    </row>
    <row r="105" spans="1:86" x14ac:dyDescent="0.25">
      <c r="A105" t="s">
        <v>925</v>
      </c>
      <c r="B105" t="s">
        <v>926</v>
      </c>
      <c r="D105" t="s">
        <v>2089</v>
      </c>
      <c r="V105" t="s">
        <v>1992</v>
      </c>
      <c r="AF105" t="s">
        <v>2016</v>
      </c>
      <c r="AG105" t="s">
        <v>1991</v>
      </c>
      <c r="AJ105" t="s">
        <v>927</v>
      </c>
      <c r="AK105">
        <v>299</v>
      </c>
      <c r="BX105" t="str">
        <f>""</f>
        <v/>
      </c>
      <c r="BY105" t="str">
        <f>""</f>
        <v/>
      </c>
      <c r="BZ105" t="str">
        <f>""</f>
        <v/>
      </c>
      <c r="CA105" t="str">
        <f>""</f>
        <v/>
      </c>
      <c r="CB105" t="str">
        <f>""</f>
        <v/>
      </c>
      <c r="CC105" t="str">
        <f>""</f>
        <v/>
      </c>
      <c r="CD105" t="str">
        <f>""</f>
        <v/>
      </c>
      <c r="CE105" t="str">
        <f>""</f>
        <v/>
      </c>
      <c r="CF105" t="str">
        <f>""</f>
        <v/>
      </c>
      <c r="CG105" t="str">
        <f>""</f>
        <v/>
      </c>
      <c r="CH105" t="str">
        <f>""</f>
        <v/>
      </c>
    </row>
    <row r="106" spans="1:86" x14ac:dyDescent="0.25">
      <c r="A106" t="s">
        <v>928</v>
      </c>
      <c r="B106" t="s">
        <v>929</v>
      </c>
      <c r="C106" t="s">
        <v>1992</v>
      </c>
      <c r="D106" t="s">
        <v>1993</v>
      </c>
      <c r="E106" t="s">
        <v>930</v>
      </c>
      <c r="F106" t="s">
        <v>931</v>
      </c>
      <c r="H106" t="s">
        <v>932</v>
      </c>
      <c r="I106" t="s">
        <v>2295</v>
      </c>
      <c r="J106" t="str">
        <f>"97110"</f>
        <v>97110</v>
      </c>
      <c r="K106" t="s">
        <v>1998</v>
      </c>
      <c r="L106" t="s">
        <v>231</v>
      </c>
      <c r="M106" t="s">
        <v>933</v>
      </c>
      <c r="N106" t="s">
        <v>1992</v>
      </c>
      <c r="O106" t="s">
        <v>1992</v>
      </c>
      <c r="P106" t="s">
        <v>1992</v>
      </c>
      <c r="Q106" t="s">
        <v>1992</v>
      </c>
      <c r="R106" t="s">
        <v>1992</v>
      </c>
      <c r="S106" t="s">
        <v>1992</v>
      </c>
      <c r="T106" t="s">
        <v>1992</v>
      </c>
      <c r="U106" t="s">
        <v>1992</v>
      </c>
      <c r="V106" t="s">
        <v>1991</v>
      </c>
      <c r="W106" t="s">
        <v>1992</v>
      </c>
      <c r="X106" t="s">
        <v>1992</v>
      </c>
      <c r="Y106" t="s">
        <v>1991</v>
      </c>
      <c r="Z106" t="s">
        <v>1992</v>
      </c>
      <c r="AE106" t="s">
        <v>934</v>
      </c>
      <c r="AF106" t="s">
        <v>2064</v>
      </c>
      <c r="AG106" t="s">
        <v>1991</v>
      </c>
      <c r="AH106">
        <v>30</v>
      </c>
      <c r="AI106">
        <v>30</v>
      </c>
      <c r="AJ106" t="s">
        <v>935</v>
      </c>
      <c r="AK106">
        <v>30</v>
      </c>
      <c r="AL106">
        <v>1500</v>
      </c>
      <c r="AM106" t="s">
        <v>2298</v>
      </c>
      <c r="AN106" t="s">
        <v>450</v>
      </c>
      <c r="AO106" t="s">
        <v>2063</v>
      </c>
      <c r="BF106" t="s">
        <v>1053</v>
      </c>
      <c r="BG106" t="s">
        <v>330</v>
      </c>
      <c r="BH106" t="s">
        <v>236</v>
      </c>
      <c r="BI106" t="s">
        <v>1053</v>
      </c>
      <c r="BJ106" t="s">
        <v>1053</v>
      </c>
      <c r="BK106" t="s">
        <v>1053</v>
      </c>
      <c r="BL106" t="s">
        <v>1053</v>
      </c>
      <c r="BX106" t="str">
        <f>""</f>
        <v/>
      </c>
      <c r="BY106" t="str">
        <f>""</f>
        <v/>
      </c>
      <c r="BZ106" t="str">
        <f>""</f>
        <v/>
      </c>
      <c r="CA106" t="str">
        <f>""</f>
        <v/>
      </c>
      <c r="CB106" t="str">
        <f>""</f>
        <v/>
      </c>
      <c r="CC106" t="str">
        <f>""</f>
        <v/>
      </c>
      <c r="CD106" t="str">
        <f>""</f>
        <v/>
      </c>
      <c r="CE106" t="str">
        <f>""</f>
        <v/>
      </c>
      <c r="CF106" t="str">
        <f>""</f>
        <v/>
      </c>
      <c r="CG106" t="str">
        <f>""</f>
        <v/>
      </c>
      <c r="CH106" t="str">
        <f>""</f>
        <v/>
      </c>
    </row>
    <row r="107" spans="1:86" x14ac:dyDescent="0.25">
      <c r="A107" t="s">
        <v>936</v>
      </c>
      <c r="B107" t="s">
        <v>937</v>
      </c>
      <c r="C107" t="s">
        <v>1992</v>
      </c>
      <c r="D107" t="s">
        <v>2010</v>
      </c>
      <c r="E107" t="s">
        <v>938</v>
      </c>
      <c r="F107" t="s">
        <v>939</v>
      </c>
      <c r="H107" t="s">
        <v>940</v>
      </c>
      <c r="I107" t="s">
        <v>2381</v>
      </c>
      <c r="J107" t="str">
        <f>"76031-4236"</f>
        <v>76031-4236</v>
      </c>
      <c r="K107" t="s">
        <v>1998</v>
      </c>
      <c r="L107" t="s">
        <v>2045</v>
      </c>
      <c r="M107" t="s">
        <v>2063</v>
      </c>
      <c r="N107" t="s">
        <v>1992</v>
      </c>
      <c r="O107" t="s">
        <v>1992</v>
      </c>
      <c r="P107" t="s">
        <v>1992</v>
      </c>
      <c r="Q107" t="s">
        <v>1992</v>
      </c>
      <c r="R107" t="s">
        <v>1992</v>
      </c>
      <c r="S107" t="s">
        <v>1992</v>
      </c>
      <c r="T107" t="s">
        <v>1992</v>
      </c>
      <c r="U107" t="s">
        <v>1992</v>
      </c>
      <c r="V107" t="s">
        <v>1991</v>
      </c>
      <c r="W107" t="s">
        <v>1991</v>
      </c>
      <c r="X107" t="s">
        <v>1992</v>
      </c>
      <c r="Y107" t="s">
        <v>1992</v>
      </c>
      <c r="Z107" t="s">
        <v>1992</v>
      </c>
      <c r="AF107" t="s">
        <v>2001</v>
      </c>
      <c r="AG107" t="s">
        <v>1991</v>
      </c>
      <c r="AH107">
        <v>30</v>
      </c>
      <c r="AI107">
        <v>30</v>
      </c>
      <c r="AJ107" t="s">
        <v>941</v>
      </c>
      <c r="AK107">
        <v>764</v>
      </c>
      <c r="AL107">
        <v>29689</v>
      </c>
      <c r="AN107" t="s">
        <v>2066</v>
      </c>
      <c r="AO107" t="s">
        <v>2063</v>
      </c>
      <c r="BF107" t="s">
        <v>1053</v>
      </c>
      <c r="BG107" t="s">
        <v>235</v>
      </c>
      <c r="BH107" t="s">
        <v>2098</v>
      </c>
      <c r="BI107" t="s">
        <v>1053</v>
      </c>
      <c r="BJ107" t="s">
        <v>2069</v>
      </c>
      <c r="BK107" t="s">
        <v>1053</v>
      </c>
      <c r="BL107" t="s">
        <v>2069</v>
      </c>
      <c r="BM107" t="s">
        <v>2099</v>
      </c>
      <c r="BN107" t="s">
        <v>2100</v>
      </c>
      <c r="BO107" t="s">
        <v>1053</v>
      </c>
      <c r="BP107" t="s">
        <v>2101</v>
      </c>
      <c r="BQ107" t="s">
        <v>2055</v>
      </c>
      <c r="BR107" t="s">
        <v>1053</v>
      </c>
      <c r="BS107" t="s">
        <v>1053</v>
      </c>
      <c r="BT107" t="s">
        <v>1053</v>
      </c>
      <c r="BU107" t="s">
        <v>1053</v>
      </c>
      <c r="BV107" t="s">
        <v>2056</v>
      </c>
      <c r="BX107" t="str">
        <f>"-MTWTF- 0700-1700"</f>
        <v>-MTWTF- 0700-1700</v>
      </c>
      <c r="BY107" t="str">
        <f>""</f>
        <v/>
      </c>
      <c r="BZ107" t="str">
        <f>""</f>
        <v/>
      </c>
      <c r="CA107" t="str">
        <f>""</f>
        <v/>
      </c>
      <c r="CB107" t="str">
        <f>""</f>
        <v/>
      </c>
      <c r="CC107" t="str">
        <f>""</f>
        <v/>
      </c>
      <c r="CD107" t="str">
        <f>""</f>
        <v/>
      </c>
      <c r="CE107" t="str">
        <f>""</f>
        <v/>
      </c>
      <c r="CF107" t="str">
        <f>""</f>
        <v/>
      </c>
      <c r="CG107" t="str">
        <f>""</f>
        <v/>
      </c>
      <c r="CH107" t="str">
        <f>""</f>
        <v/>
      </c>
    </row>
    <row r="108" spans="1:86" x14ac:dyDescent="0.25">
      <c r="A108" t="s">
        <v>942</v>
      </c>
      <c r="B108" t="s">
        <v>943</v>
      </c>
      <c r="C108" t="s">
        <v>1991</v>
      </c>
      <c r="D108" t="s">
        <v>2010</v>
      </c>
      <c r="E108" t="s">
        <v>944</v>
      </c>
      <c r="H108" t="s">
        <v>945</v>
      </c>
      <c r="I108" t="s">
        <v>1997</v>
      </c>
      <c r="J108" t="str">
        <f>"53925"</f>
        <v>53925</v>
      </c>
      <c r="K108" t="s">
        <v>1998</v>
      </c>
      <c r="L108" t="s">
        <v>1999</v>
      </c>
      <c r="M108" t="s">
        <v>946</v>
      </c>
      <c r="N108" t="s">
        <v>1991</v>
      </c>
      <c r="O108" t="s">
        <v>1992</v>
      </c>
      <c r="P108" t="s">
        <v>1992</v>
      </c>
      <c r="Q108" t="s">
        <v>1991</v>
      </c>
      <c r="R108" t="s">
        <v>1991</v>
      </c>
      <c r="S108" t="s">
        <v>1992</v>
      </c>
      <c r="T108" t="s">
        <v>1992</v>
      </c>
      <c r="U108" t="s">
        <v>1991</v>
      </c>
      <c r="V108" t="s">
        <v>1991</v>
      </c>
      <c r="W108" t="s">
        <v>1991</v>
      </c>
      <c r="X108" t="s">
        <v>1992</v>
      </c>
      <c r="Y108" t="s">
        <v>1992</v>
      </c>
      <c r="Z108" t="s">
        <v>1992</v>
      </c>
      <c r="AA108" t="s">
        <v>1992</v>
      </c>
      <c r="AE108" t="s">
        <v>2047</v>
      </c>
      <c r="AF108" t="s">
        <v>2001</v>
      </c>
      <c r="AG108" t="s">
        <v>1991</v>
      </c>
      <c r="AH108">
        <v>60</v>
      </c>
      <c r="AI108">
        <v>30</v>
      </c>
      <c r="AJ108" t="s">
        <v>947</v>
      </c>
      <c r="AK108">
        <v>845</v>
      </c>
      <c r="AL108">
        <v>5093</v>
      </c>
      <c r="AN108" t="s">
        <v>1053</v>
      </c>
      <c r="AO108" t="s">
        <v>1053</v>
      </c>
      <c r="AP108" t="s">
        <v>2069</v>
      </c>
      <c r="AQ108" t="s">
        <v>1053</v>
      </c>
      <c r="AR108" t="s">
        <v>2069</v>
      </c>
      <c r="AS108" t="s">
        <v>942</v>
      </c>
      <c r="AT108" t="s">
        <v>948</v>
      </c>
      <c r="AU108" t="s">
        <v>1053</v>
      </c>
      <c r="AV108" t="s">
        <v>1053</v>
      </c>
      <c r="AW108" t="s">
        <v>2069</v>
      </c>
      <c r="AX108" t="s">
        <v>1053</v>
      </c>
      <c r="AY108" t="s">
        <v>2069</v>
      </c>
      <c r="AZ108" t="s">
        <v>942</v>
      </c>
      <c r="BA108" t="s">
        <v>948</v>
      </c>
      <c r="BB108" t="s">
        <v>1053</v>
      </c>
      <c r="BC108" t="s">
        <v>2069</v>
      </c>
      <c r="BD108" t="s">
        <v>1053</v>
      </c>
      <c r="BE108" t="s">
        <v>2069</v>
      </c>
      <c r="BF108" t="s">
        <v>1053</v>
      </c>
      <c r="BG108" t="s">
        <v>703</v>
      </c>
      <c r="BH108" t="s">
        <v>949</v>
      </c>
      <c r="BI108" t="s">
        <v>1053</v>
      </c>
      <c r="BJ108" t="s">
        <v>2069</v>
      </c>
      <c r="BK108" t="s">
        <v>1053</v>
      </c>
      <c r="BL108" t="s">
        <v>2069</v>
      </c>
      <c r="BM108" t="s">
        <v>287</v>
      </c>
      <c r="BN108" t="s">
        <v>288</v>
      </c>
      <c r="BO108" t="s">
        <v>1053</v>
      </c>
      <c r="BP108" t="s">
        <v>950</v>
      </c>
      <c r="BQ108" t="s">
        <v>2006</v>
      </c>
      <c r="BR108" t="s">
        <v>1053</v>
      </c>
      <c r="BS108" t="s">
        <v>1053</v>
      </c>
      <c r="BT108" t="s">
        <v>1053</v>
      </c>
      <c r="BU108" t="s">
        <v>1053</v>
      </c>
      <c r="BV108" t="s">
        <v>951</v>
      </c>
      <c r="BW108" t="s">
        <v>952</v>
      </c>
      <c r="BX108" t="str">
        <f>"SMTWTFS 1030-1830"</f>
        <v>SMTWTFS 1030-1830</v>
      </c>
      <c r="BY108" t="str">
        <f>"SMTWTFS 1030-1830"</f>
        <v>SMTWTFS 1030-1830</v>
      </c>
      <c r="BZ108" t="str">
        <f>""</f>
        <v/>
      </c>
      <c r="CA108" t="str">
        <f>"SMTWTFS 1030-1830"</f>
        <v>SMTWTFS 1030-1830</v>
      </c>
      <c r="CB108" t="str">
        <f>""</f>
        <v/>
      </c>
      <c r="CC108" t="str">
        <f>""</f>
        <v/>
      </c>
      <c r="CD108" t="str">
        <f>""</f>
        <v/>
      </c>
      <c r="CE108" t="str">
        <f>""</f>
        <v/>
      </c>
      <c r="CF108" t="str">
        <f>"SMTWTFS 1030-1830"</f>
        <v>SMTWTFS 1030-1830</v>
      </c>
      <c r="CG108" t="str">
        <f>""</f>
        <v/>
      </c>
      <c r="CH108" t="str">
        <f>""</f>
        <v/>
      </c>
    </row>
    <row r="109" spans="1:86" x14ac:dyDescent="0.25">
      <c r="A109" t="s">
        <v>953</v>
      </c>
      <c r="B109" t="s">
        <v>954</v>
      </c>
      <c r="C109" t="s">
        <v>1992</v>
      </c>
      <c r="D109" t="s">
        <v>1993</v>
      </c>
      <c r="E109" t="s">
        <v>955</v>
      </c>
      <c r="F109" t="s">
        <v>956</v>
      </c>
      <c r="H109" t="s">
        <v>957</v>
      </c>
      <c r="I109" t="s">
        <v>2295</v>
      </c>
      <c r="J109" t="str">
        <f>"97420-2335"</f>
        <v>97420-2335</v>
      </c>
      <c r="K109" t="s">
        <v>1998</v>
      </c>
      <c r="L109" t="s">
        <v>231</v>
      </c>
      <c r="M109" t="s">
        <v>958</v>
      </c>
      <c r="N109" t="s">
        <v>1992</v>
      </c>
      <c r="O109" t="s">
        <v>1992</v>
      </c>
      <c r="P109" t="s">
        <v>1992</v>
      </c>
      <c r="Q109" t="s">
        <v>1992</v>
      </c>
      <c r="R109" t="s">
        <v>1992</v>
      </c>
      <c r="S109" t="s">
        <v>1992</v>
      </c>
      <c r="T109" t="s">
        <v>1992</v>
      </c>
      <c r="U109" t="s">
        <v>1992</v>
      </c>
      <c r="V109" t="s">
        <v>1991</v>
      </c>
      <c r="W109" t="s">
        <v>1992</v>
      </c>
      <c r="X109" t="s">
        <v>1992</v>
      </c>
      <c r="Y109" t="s">
        <v>1992</v>
      </c>
      <c r="Z109" t="s">
        <v>1991</v>
      </c>
      <c r="AE109" t="s">
        <v>959</v>
      </c>
      <c r="AF109" t="s">
        <v>2064</v>
      </c>
      <c r="AG109" t="s">
        <v>1991</v>
      </c>
      <c r="AH109">
        <v>30</v>
      </c>
      <c r="AI109">
        <v>30</v>
      </c>
      <c r="AJ109" t="s">
        <v>960</v>
      </c>
      <c r="AK109">
        <v>23</v>
      </c>
      <c r="AL109">
        <v>16000</v>
      </c>
      <c r="AM109" t="s">
        <v>2298</v>
      </c>
      <c r="AN109" t="s">
        <v>450</v>
      </c>
      <c r="AO109" t="s">
        <v>2063</v>
      </c>
      <c r="BF109" t="s">
        <v>1053</v>
      </c>
      <c r="BG109" t="s">
        <v>394</v>
      </c>
      <c r="BH109" t="s">
        <v>311</v>
      </c>
      <c r="BI109" t="s">
        <v>1053</v>
      </c>
      <c r="BJ109" t="s">
        <v>1053</v>
      </c>
      <c r="BK109" t="s">
        <v>1053</v>
      </c>
      <c r="BL109" t="s">
        <v>1053</v>
      </c>
      <c r="BX109" t="str">
        <f>""</f>
        <v/>
      </c>
      <c r="BY109" t="str">
        <f>""</f>
        <v/>
      </c>
      <c r="BZ109" t="str">
        <f>""</f>
        <v/>
      </c>
      <c r="CA109" t="str">
        <f>""</f>
        <v/>
      </c>
      <c r="CB109" t="str">
        <f>""</f>
        <v/>
      </c>
      <c r="CC109" t="str">
        <f>""</f>
        <v/>
      </c>
      <c r="CD109" t="str">
        <f>""</f>
        <v/>
      </c>
      <c r="CE109" t="str">
        <f>""</f>
        <v/>
      </c>
      <c r="CF109" t="str">
        <f>""</f>
        <v/>
      </c>
      <c r="CG109" t="str">
        <f>""</f>
        <v/>
      </c>
      <c r="CH109" t="str">
        <f>""</f>
        <v/>
      </c>
    </row>
    <row r="110" spans="1:86" x14ac:dyDescent="0.25">
      <c r="A110" t="s">
        <v>961</v>
      </c>
      <c r="B110" t="s">
        <v>962</v>
      </c>
      <c r="C110" t="s">
        <v>1992</v>
      </c>
      <c r="D110" t="s">
        <v>1993</v>
      </c>
      <c r="E110" t="s">
        <v>963</v>
      </c>
      <c r="F110" t="s">
        <v>964</v>
      </c>
      <c r="H110" t="s">
        <v>965</v>
      </c>
      <c r="I110" t="s">
        <v>2061</v>
      </c>
      <c r="J110" t="str">
        <f>"92230"</f>
        <v>92230</v>
      </c>
      <c r="K110" t="s">
        <v>1998</v>
      </c>
      <c r="L110" t="s">
        <v>2045</v>
      </c>
      <c r="M110" t="s">
        <v>2000</v>
      </c>
      <c r="N110" t="s">
        <v>1992</v>
      </c>
      <c r="O110" t="s">
        <v>1992</v>
      </c>
      <c r="P110" t="s">
        <v>1992</v>
      </c>
      <c r="Q110" t="s">
        <v>1992</v>
      </c>
      <c r="R110" t="s">
        <v>1992</v>
      </c>
      <c r="S110" t="s">
        <v>1992</v>
      </c>
      <c r="T110" t="s">
        <v>1992</v>
      </c>
      <c r="U110" t="s">
        <v>1992</v>
      </c>
      <c r="V110" t="s">
        <v>1991</v>
      </c>
      <c r="Y110" t="s">
        <v>1991</v>
      </c>
      <c r="AF110" t="s">
        <v>2064</v>
      </c>
      <c r="AG110" t="s">
        <v>1991</v>
      </c>
      <c r="AH110">
        <v>15</v>
      </c>
      <c r="AI110">
        <v>15</v>
      </c>
      <c r="AJ110" t="s">
        <v>966</v>
      </c>
      <c r="AK110">
        <v>1953</v>
      </c>
      <c r="AM110" t="s">
        <v>967</v>
      </c>
      <c r="BF110" t="s">
        <v>1053</v>
      </c>
      <c r="BG110" t="s">
        <v>968</v>
      </c>
      <c r="BH110" t="s">
        <v>969</v>
      </c>
      <c r="BI110" t="s">
        <v>1053</v>
      </c>
      <c r="BK110" t="s">
        <v>1053</v>
      </c>
      <c r="BO110" t="s">
        <v>1053</v>
      </c>
      <c r="BP110" t="s">
        <v>712</v>
      </c>
      <c r="BQ110" t="s">
        <v>970</v>
      </c>
      <c r="BR110" t="s">
        <v>1053</v>
      </c>
      <c r="BS110" t="s">
        <v>1053</v>
      </c>
      <c r="BT110" t="s">
        <v>1053</v>
      </c>
      <c r="BU110" t="s">
        <v>1053</v>
      </c>
      <c r="BX110" t="str">
        <f>""</f>
        <v/>
      </c>
      <c r="BY110" t="str">
        <f>""</f>
        <v/>
      </c>
      <c r="BZ110" t="str">
        <f>""</f>
        <v/>
      </c>
      <c r="CA110" t="str">
        <f>""</f>
        <v/>
      </c>
      <c r="CB110" t="str">
        <f>""</f>
        <v/>
      </c>
      <c r="CC110" t="str">
        <f>""</f>
        <v/>
      </c>
      <c r="CD110" t="str">
        <f>""</f>
        <v/>
      </c>
      <c r="CE110" t="str">
        <f>""</f>
        <v/>
      </c>
      <c r="CF110" t="str">
        <f>""</f>
        <v/>
      </c>
      <c r="CG110" t="str">
        <f>""</f>
        <v/>
      </c>
      <c r="CH110" t="str">
        <f>""</f>
        <v/>
      </c>
    </row>
    <row r="111" spans="1:86" x14ac:dyDescent="0.25">
      <c r="A111" t="s">
        <v>971</v>
      </c>
      <c r="B111" t="s">
        <v>972</v>
      </c>
      <c r="C111" t="s">
        <v>1992</v>
      </c>
      <c r="D111" t="s">
        <v>1993</v>
      </c>
      <c r="E111" t="s">
        <v>973</v>
      </c>
      <c r="F111" t="s">
        <v>974</v>
      </c>
      <c r="H111" t="s">
        <v>975</v>
      </c>
      <c r="I111" t="s">
        <v>2014</v>
      </c>
      <c r="J111" t="str">
        <f>"21613"</f>
        <v>21613</v>
      </c>
      <c r="K111" t="s">
        <v>1998</v>
      </c>
      <c r="L111" t="s">
        <v>2015</v>
      </c>
      <c r="M111" t="s">
        <v>976</v>
      </c>
      <c r="N111" t="s">
        <v>1992</v>
      </c>
      <c r="O111" t="s">
        <v>1992</v>
      </c>
      <c r="P111" t="s">
        <v>1992</v>
      </c>
      <c r="Q111" t="s">
        <v>1992</v>
      </c>
      <c r="R111" t="s">
        <v>1992</v>
      </c>
      <c r="S111" t="s">
        <v>1992</v>
      </c>
      <c r="T111" t="s">
        <v>1992</v>
      </c>
      <c r="U111" t="s">
        <v>1992</v>
      </c>
      <c r="V111" t="s">
        <v>1991</v>
      </c>
      <c r="Z111" t="s">
        <v>1991</v>
      </c>
      <c r="AF111" t="s">
        <v>2016</v>
      </c>
      <c r="AG111" t="s">
        <v>1991</v>
      </c>
      <c r="AH111">
        <v>15</v>
      </c>
      <c r="AI111">
        <v>15</v>
      </c>
      <c r="AJ111" t="s">
        <v>977</v>
      </c>
      <c r="AK111">
        <v>28</v>
      </c>
      <c r="BX111" t="str">
        <f>""</f>
        <v/>
      </c>
      <c r="BY111" t="str">
        <f>""</f>
        <v/>
      </c>
      <c r="BZ111" t="str">
        <f>""</f>
        <v/>
      </c>
      <c r="CA111" t="str">
        <f>""</f>
        <v/>
      </c>
      <c r="CB111" t="str">
        <f>""</f>
        <v/>
      </c>
      <c r="CC111" t="str">
        <f>""</f>
        <v/>
      </c>
      <c r="CD111" t="str">
        <f>""</f>
        <v/>
      </c>
      <c r="CE111" t="str">
        <f>""</f>
        <v/>
      </c>
      <c r="CF111" t="str">
        <f>""</f>
        <v/>
      </c>
      <c r="CG111" t="str">
        <f>""</f>
        <v/>
      </c>
      <c r="CH111" t="str">
        <f>""</f>
        <v/>
      </c>
    </row>
    <row r="112" spans="1:86" x14ac:dyDescent="0.25">
      <c r="A112" t="s">
        <v>978</v>
      </c>
      <c r="B112" t="s">
        <v>979</v>
      </c>
      <c r="C112" t="s">
        <v>1991</v>
      </c>
      <c r="D112" t="s">
        <v>2010</v>
      </c>
      <c r="E112" t="s">
        <v>980</v>
      </c>
      <c r="H112" t="s">
        <v>981</v>
      </c>
      <c r="I112" t="s">
        <v>2367</v>
      </c>
      <c r="J112" t="str">
        <f>"62901"</f>
        <v>62901</v>
      </c>
      <c r="K112" t="s">
        <v>1998</v>
      </c>
      <c r="L112" t="s">
        <v>1999</v>
      </c>
      <c r="M112" t="s">
        <v>982</v>
      </c>
      <c r="N112" t="s">
        <v>1991</v>
      </c>
      <c r="O112" t="s">
        <v>1991</v>
      </c>
      <c r="P112" t="s">
        <v>1992</v>
      </c>
      <c r="Q112" t="s">
        <v>1991</v>
      </c>
      <c r="R112" t="s">
        <v>1991</v>
      </c>
      <c r="S112" t="s">
        <v>1992</v>
      </c>
      <c r="T112" t="s">
        <v>1992</v>
      </c>
      <c r="U112" t="s">
        <v>1991</v>
      </c>
      <c r="V112" t="s">
        <v>1991</v>
      </c>
      <c r="W112" t="s">
        <v>1991</v>
      </c>
      <c r="X112" t="s">
        <v>1992</v>
      </c>
      <c r="Y112" t="s">
        <v>1992</v>
      </c>
      <c r="Z112" t="s">
        <v>1991</v>
      </c>
      <c r="AA112" t="s">
        <v>1992</v>
      </c>
      <c r="AE112" t="s">
        <v>2047</v>
      </c>
      <c r="AF112" t="s">
        <v>2001</v>
      </c>
      <c r="AG112" t="s">
        <v>1991</v>
      </c>
      <c r="AH112">
        <v>60</v>
      </c>
      <c r="AI112">
        <v>30</v>
      </c>
      <c r="AJ112" t="s">
        <v>983</v>
      </c>
      <c r="AK112">
        <v>416</v>
      </c>
      <c r="AL112">
        <v>20681</v>
      </c>
      <c r="AN112" t="s">
        <v>1053</v>
      </c>
      <c r="AO112" t="s">
        <v>1053</v>
      </c>
      <c r="AP112" t="s">
        <v>2069</v>
      </c>
      <c r="AQ112" t="s">
        <v>1053</v>
      </c>
      <c r="AR112" t="s">
        <v>2069</v>
      </c>
      <c r="AS112" t="s">
        <v>978</v>
      </c>
      <c r="AT112" t="s">
        <v>984</v>
      </c>
      <c r="AU112" t="s">
        <v>1053</v>
      </c>
      <c r="AV112" t="s">
        <v>1053</v>
      </c>
      <c r="AW112" t="s">
        <v>2069</v>
      </c>
      <c r="AX112" t="s">
        <v>1053</v>
      </c>
      <c r="AY112" t="s">
        <v>2069</v>
      </c>
      <c r="AZ112" t="s">
        <v>978</v>
      </c>
      <c r="BA112" t="s">
        <v>984</v>
      </c>
      <c r="BB112" t="s">
        <v>1053</v>
      </c>
      <c r="BC112" t="s">
        <v>2069</v>
      </c>
      <c r="BD112" t="s">
        <v>1053</v>
      </c>
      <c r="BE112" t="s">
        <v>2069</v>
      </c>
      <c r="BF112" t="s">
        <v>1053</v>
      </c>
      <c r="BG112" t="s">
        <v>2371</v>
      </c>
      <c r="BH112" t="s">
        <v>985</v>
      </c>
      <c r="BI112" t="s">
        <v>1053</v>
      </c>
      <c r="BJ112" t="s">
        <v>1053</v>
      </c>
      <c r="BK112" t="s">
        <v>1053</v>
      </c>
      <c r="BL112" t="s">
        <v>1053</v>
      </c>
      <c r="BM112" t="s">
        <v>2373</v>
      </c>
      <c r="BN112" t="s">
        <v>2374</v>
      </c>
      <c r="BO112" t="s">
        <v>1053</v>
      </c>
      <c r="BP112" t="s">
        <v>986</v>
      </c>
      <c r="BQ112" t="s">
        <v>2376</v>
      </c>
      <c r="BR112" t="s">
        <v>1053</v>
      </c>
      <c r="BS112" t="s">
        <v>1053</v>
      </c>
      <c r="BT112" t="s">
        <v>1053</v>
      </c>
      <c r="BU112" t="s">
        <v>1053</v>
      </c>
      <c r="BV112" t="s">
        <v>987</v>
      </c>
      <c r="BX112" t="str">
        <f>"SMTWTFS 0000-0400 0630-1200 1300-1605 2100-2359"</f>
        <v>SMTWTFS 0000-0400 0630-1200 1300-1605 2100-2359</v>
      </c>
      <c r="BY112" t="str">
        <f>"SMTWTFS 0000-0400 0630-1200 1300-1605 2100-2359"</f>
        <v>SMTWTFS 0000-0400 0630-1200 1300-1605 2100-2359</v>
      </c>
      <c r="BZ112" t="str">
        <f>"SMTWTFS 0000-0400 0630-1200 1300-1605 2100-2359"</f>
        <v>SMTWTFS 0000-0400 0630-1200 1300-1605 2100-2359</v>
      </c>
      <c r="CA112" t="str">
        <f>"SMTWTFS 0000-0400 0630-1200 1300-1605 2100-2359"</f>
        <v>SMTWTFS 0000-0400 0630-1200 1300-1605 2100-2359</v>
      </c>
      <c r="CB112" t="str">
        <f>""</f>
        <v/>
      </c>
      <c r="CC112" t="str">
        <f>"SMTWTFS 0000-0400 0630-1200 1300-1605 2100-2359"</f>
        <v>SMTWTFS 0000-0400 0630-1200 1300-1605 2100-2359</v>
      </c>
      <c r="CD112" t="str">
        <f>""</f>
        <v/>
      </c>
      <c r="CE112" t="str">
        <f>""</f>
        <v/>
      </c>
      <c r="CF112" t="str">
        <f>"SMTWTFS 0000-0400 0630-1200 1300-1605 2100-2359"</f>
        <v>SMTWTFS 0000-0400 0630-1200 1300-1605 2100-2359</v>
      </c>
      <c r="CG112" t="str">
        <f>""</f>
        <v/>
      </c>
      <c r="CH112" t="str">
        <f>""</f>
        <v/>
      </c>
    </row>
    <row r="113" spans="1:86" x14ac:dyDescent="0.25">
      <c r="A113" t="s">
        <v>988</v>
      </c>
      <c r="B113" t="s">
        <v>989</v>
      </c>
      <c r="C113" t="s">
        <v>1992</v>
      </c>
      <c r="D113" t="s">
        <v>1993</v>
      </c>
      <c r="E113" t="s">
        <v>990</v>
      </c>
      <c r="F113" t="s">
        <v>991</v>
      </c>
      <c r="H113" t="s">
        <v>992</v>
      </c>
      <c r="I113" t="s">
        <v>2287</v>
      </c>
      <c r="J113" t="str">
        <f>"04856"</f>
        <v>04856</v>
      </c>
      <c r="K113" t="s">
        <v>1998</v>
      </c>
      <c r="L113" t="s">
        <v>2033</v>
      </c>
      <c r="M113" t="s">
        <v>993</v>
      </c>
      <c r="N113" t="s">
        <v>1992</v>
      </c>
      <c r="O113" t="s">
        <v>1992</v>
      </c>
      <c r="P113" t="s">
        <v>1992</v>
      </c>
      <c r="Q113" t="s">
        <v>1992</v>
      </c>
      <c r="R113" t="s">
        <v>1992</v>
      </c>
      <c r="S113" t="s">
        <v>1992</v>
      </c>
      <c r="T113" t="s">
        <v>1992</v>
      </c>
      <c r="U113" t="s">
        <v>1992</v>
      </c>
      <c r="V113" t="s">
        <v>1991</v>
      </c>
      <c r="W113" t="s">
        <v>1992</v>
      </c>
      <c r="X113" t="s">
        <v>1992</v>
      </c>
      <c r="Y113" t="s">
        <v>1991</v>
      </c>
      <c r="Z113" t="s">
        <v>1991</v>
      </c>
      <c r="AF113" t="s">
        <v>2016</v>
      </c>
      <c r="AG113" t="s">
        <v>1991</v>
      </c>
      <c r="AH113">
        <v>30</v>
      </c>
      <c r="AI113">
        <v>30</v>
      </c>
      <c r="AJ113" t="s">
        <v>994</v>
      </c>
      <c r="AK113">
        <v>123</v>
      </c>
      <c r="AL113">
        <v>3934</v>
      </c>
      <c r="AM113" t="s">
        <v>2298</v>
      </c>
      <c r="AN113" t="s">
        <v>3662</v>
      </c>
      <c r="AO113" t="s">
        <v>1053</v>
      </c>
      <c r="BF113" t="s">
        <v>1053</v>
      </c>
      <c r="BG113" t="s">
        <v>476</v>
      </c>
      <c r="BH113" t="s">
        <v>477</v>
      </c>
      <c r="BI113" t="s">
        <v>1053</v>
      </c>
      <c r="BK113" t="s">
        <v>1053</v>
      </c>
      <c r="BX113" t="str">
        <f>""</f>
        <v/>
      </c>
      <c r="BY113" t="str">
        <f>""</f>
        <v/>
      </c>
      <c r="BZ113" t="str">
        <f>""</f>
        <v/>
      </c>
      <c r="CA113" t="str">
        <f>""</f>
        <v/>
      </c>
      <c r="CB113" t="str">
        <f>""</f>
        <v/>
      </c>
      <c r="CC113" t="str">
        <f>""</f>
        <v/>
      </c>
      <c r="CD113" t="str">
        <f>""</f>
        <v/>
      </c>
      <c r="CE113" t="str">
        <f>""</f>
        <v/>
      </c>
      <c r="CF113" t="str">
        <f>""</f>
        <v/>
      </c>
      <c r="CG113" t="str">
        <f>""</f>
        <v/>
      </c>
      <c r="CH113" t="str">
        <f>""</f>
        <v/>
      </c>
    </row>
    <row r="114" spans="1:86" x14ac:dyDescent="0.25">
      <c r="A114" t="s">
        <v>3663</v>
      </c>
      <c r="B114" t="s">
        <v>3664</v>
      </c>
      <c r="C114" t="s">
        <v>1992</v>
      </c>
      <c r="D114" t="s">
        <v>2010</v>
      </c>
      <c r="E114" t="s">
        <v>3665</v>
      </c>
      <c r="F114" t="s">
        <v>3666</v>
      </c>
      <c r="H114" t="s">
        <v>3667</v>
      </c>
      <c r="I114" t="s">
        <v>2367</v>
      </c>
      <c r="J114" t="str">
        <f>"62801-3526"</f>
        <v>62801-3526</v>
      </c>
      <c r="K114" t="s">
        <v>1998</v>
      </c>
      <c r="L114" t="s">
        <v>1999</v>
      </c>
      <c r="M114" t="s">
        <v>2063</v>
      </c>
      <c r="N114" t="s">
        <v>1992</v>
      </c>
      <c r="O114" t="s">
        <v>1992</v>
      </c>
      <c r="P114" t="s">
        <v>1992</v>
      </c>
      <c r="Q114" t="s">
        <v>1992</v>
      </c>
      <c r="R114" t="s">
        <v>1992</v>
      </c>
      <c r="S114" t="s">
        <v>1992</v>
      </c>
      <c r="T114" t="s">
        <v>1992</v>
      </c>
      <c r="U114" t="s">
        <v>1992</v>
      </c>
      <c r="V114" t="s">
        <v>1991</v>
      </c>
      <c r="W114" t="s">
        <v>1991</v>
      </c>
      <c r="X114" t="s">
        <v>1992</v>
      </c>
      <c r="Y114" t="s">
        <v>1992</v>
      </c>
      <c r="Z114" t="s">
        <v>1992</v>
      </c>
      <c r="AF114" t="s">
        <v>2001</v>
      </c>
      <c r="AG114" t="s">
        <v>1991</v>
      </c>
      <c r="AH114">
        <v>30</v>
      </c>
      <c r="AI114">
        <v>30</v>
      </c>
      <c r="AJ114" t="s">
        <v>3668</v>
      </c>
      <c r="AK114">
        <v>490</v>
      </c>
      <c r="AL114">
        <v>15000</v>
      </c>
      <c r="AN114" t="s">
        <v>2066</v>
      </c>
      <c r="AO114" t="s">
        <v>2063</v>
      </c>
      <c r="BF114" t="s">
        <v>1053</v>
      </c>
      <c r="BG114" t="s">
        <v>2371</v>
      </c>
      <c r="BH114" t="s">
        <v>3669</v>
      </c>
      <c r="BI114" t="s">
        <v>1053</v>
      </c>
      <c r="BJ114" t="s">
        <v>1053</v>
      </c>
      <c r="BK114" t="s">
        <v>1053</v>
      </c>
      <c r="BL114" t="s">
        <v>1053</v>
      </c>
      <c r="BM114" t="s">
        <v>2373</v>
      </c>
      <c r="BN114" t="s">
        <v>2374</v>
      </c>
      <c r="BO114" t="s">
        <v>1053</v>
      </c>
      <c r="BP114" t="s">
        <v>986</v>
      </c>
      <c r="BQ114" t="s">
        <v>2376</v>
      </c>
      <c r="BR114" t="s">
        <v>1053</v>
      </c>
      <c r="BS114" t="s">
        <v>1053</v>
      </c>
      <c r="BT114" t="s">
        <v>1053</v>
      </c>
      <c r="BU114" t="s">
        <v>1053</v>
      </c>
      <c r="BV114" t="s">
        <v>987</v>
      </c>
      <c r="BX114" t="str">
        <f>"SMTWTFS 0000-2359"</f>
        <v>SMTWTFS 0000-2359</v>
      </c>
      <c r="BY114" t="str">
        <f>""</f>
        <v/>
      </c>
      <c r="BZ114" t="str">
        <f>""</f>
        <v/>
      </c>
      <c r="CA114" t="str">
        <f>""</f>
        <v/>
      </c>
      <c r="CB114" t="str">
        <f>""</f>
        <v/>
      </c>
      <c r="CC114" t="str">
        <f>""</f>
        <v/>
      </c>
      <c r="CD114" t="str">
        <f>""</f>
        <v/>
      </c>
      <c r="CE114" t="str">
        <f>""</f>
        <v/>
      </c>
      <c r="CF114" t="str">
        <f>""</f>
        <v/>
      </c>
      <c r="CG114" t="str">
        <f>""</f>
        <v/>
      </c>
      <c r="CH114" t="str">
        <f>""</f>
        <v/>
      </c>
    </row>
    <row r="115" spans="1:86" x14ac:dyDescent="0.25">
      <c r="A115" t="s">
        <v>3670</v>
      </c>
      <c r="B115" t="s">
        <v>995</v>
      </c>
      <c r="C115" t="s">
        <v>1992</v>
      </c>
      <c r="D115" t="s">
        <v>1993</v>
      </c>
      <c r="E115" t="s">
        <v>996</v>
      </c>
      <c r="F115" t="s">
        <v>997</v>
      </c>
      <c r="H115" t="s">
        <v>998</v>
      </c>
      <c r="I115" t="s">
        <v>401</v>
      </c>
      <c r="J115" t="str">
        <f>"83814"</f>
        <v>83814</v>
      </c>
      <c r="K115" t="s">
        <v>1998</v>
      </c>
      <c r="L115" t="s">
        <v>231</v>
      </c>
      <c r="M115" t="s">
        <v>2000</v>
      </c>
      <c r="N115" t="s">
        <v>1992</v>
      </c>
      <c r="O115" t="s">
        <v>1992</v>
      </c>
      <c r="P115" t="s">
        <v>1992</v>
      </c>
      <c r="Q115" t="s">
        <v>1992</v>
      </c>
      <c r="R115" t="s">
        <v>1992</v>
      </c>
      <c r="S115" t="s">
        <v>1992</v>
      </c>
      <c r="T115" t="s">
        <v>1992</v>
      </c>
      <c r="U115" t="s">
        <v>1992</v>
      </c>
      <c r="V115" t="s">
        <v>1991</v>
      </c>
      <c r="Z115" t="s">
        <v>1991</v>
      </c>
      <c r="AF115" t="s">
        <v>2064</v>
      </c>
      <c r="AG115" t="s">
        <v>1991</v>
      </c>
      <c r="AH115">
        <v>15</v>
      </c>
      <c r="AI115">
        <v>15</v>
      </c>
      <c r="AJ115" t="s">
        <v>999</v>
      </c>
      <c r="AK115">
        <v>2208</v>
      </c>
      <c r="BX115" t="str">
        <f>""</f>
        <v/>
      </c>
      <c r="BY115" t="str">
        <f>""</f>
        <v/>
      </c>
      <c r="BZ115" t="str">
        <f>""</f>
        <v/>
      </c>
      <c r="CA115" t="str">
        <f>""</f>
        <v/>
      </c>
      <c r="CB115" t="str">
        <f>""</f>
        <v/>
      </c>
      <c r="CC115" t="str">
        <f>""</f>
        <v/>
      </c>
      <c r="CD115" t="str">
        <f>""</f>
        <v/>
      </c>
      <c r="CE115" t="str">
        <f>""</f>
        <v/>
      </c>
      <c r="CF115" t="str">
        <f>""</f>
        <v/>
      </c>
      <c r="CG115" t="str">
        <f>""</f>
        <v/>
      </c>
      <c r="CH115" t="str">
        <f>""</f>
        <v/>
      </c>
    </row>
    <row r="116" spans="1:86" x14ac:dyDescent="0.25">
      <c r="A116" t="s">
        <v>1000</v>
      </c>
      <c r="B116" t="s">
        <v>1001</v>
      </c>
      <c r="C116" t="s">
        <v>1992</v>
      </c>
      <c r="D116" t="s">
        <v>1993</v>
      </c>
      <c r="E116" t="s">
        <v>1002</v>
      </c>
      <c r="F116" t="s">
        <v>1003</v>
      </c>
      <c r="H116" t="s">
        <v>1004</v>
      </c>
      <c r="I116" t="s">
        <v>576</v>
      </c>
      <c r="J116" t="str">
        <f>"99111"</f>
        <v>99111</v>
      </c>
      <c r="K116" t="s">
        <v>1998</v>
      </c>
      <c r="L116" t="s">
        <v>231</v>
      </c>
      <c r="M116" t="s">
        <v>2063</v>
      </c>
      <c r="N116" t="s">
        <v>1992</v>
      </c>
      <c r="O116" t="s">
        <v>1992</v>
      </c>
      <c r="P116" t="s">
        <v>1992</v>
      </c>
      <c r="Q116" t="s">
        <v>1992</v>
      </c>
      <c r="R116" t="s">
        <v>1992</v>
      </c>
      <c r="S116" t="s">
        <v>1992</v>
      </c>
      <c r="T116" t="s">
        <v>1992</v>
      </c>
      <c r="U116" t="s">
        <v>1992</v>
      </c>
      <c r="V116" t="s">
        <v>1991</v>
      </c>
      <c r="W116" t="s">
        <v>1992</v>
      </c>
      <c r="X116" t="s">
        <v>1992</v>
      </c>
      <c r="Y116" t="s">
        <v>1992</v>
      </c>
      <c r="Z116" t="s">
        <v>1991</v>
      </c>
      <c r="AE116" t="s">
        <v>746</v>
      </c>
      <c r="AF116" t="s">
        <v>2064</v>
      </c>
      <c r="AG116" t="s">
        <v>1991</v>
      </c>
      <c r="AH116">
        <v>30</v>
      </c>
      <c r="AI116">
        <v>30</v>
      </c>
      <c r="AJ116" t="s">
        <v>1005</v>
      </c>
      <c r="AK116">
        <v>1989</v>
      </c>
      <c r="AM116" t="s">
        <v>2298</v>
      </c>
      <c r="AN116" t="s">
        <v>1006</v>
      </c>
      <c r="AO116" t="s">
        <v>1053</v>
      </c>
      <c r="BF116" t="s">
        <v>1053</v>
      </c>
      <c r="BG116" t="s">
        <v>394</v>
      </c>
      <c r="BH116" t="s">
        <v>311</v>
      </c>
      <c r="BI116" t="s">
        <v>1053</v>
      </c>
      <c r="BJ116" t="s">
        <v>1053</v>
      </c>
      <c r="BK116" t="s">
        <v>1053</v>
      </c>
      <c r="BL116" t="s">
        <v>1053</v>
      </c>
      <c r="BO116" t="s">
        <v>357</v>
      </c>
      <c r="BP116" t="s">
        <v>357</v>
      </c>
      <c r="BQ116" t="s">
        <v>357</v>
      </c>
      <c r="BR116" t="s">
        <v>2063</v>
      </c>
      <c r="BX116" t="str">
        <f>""</f>
        <v/>
      </c>
      <c r="BY116" t="str">
        <f>""</f>
        <v/>
      </c>
      <c r="BZ116" t="str">
        <f>""</f>
        <v/>
      </c>
      <c r="CA116" t="str">
        <f>""</f>
        <v/>
      </c>
      <c r="CB116" t="str">
        <f>""</f>
        <v/>
      </c>
      <c r="CC116" t="str">
        <f>""</f>
        <v/>
      </c>
      <c r="CD116" t="str">
        <f>""</f>
        <v/>
      </c>
      <c r="CE116" t="str">
        <f>""</f>
        <v/>
      </c>
      <c r="CF116" t="str">
        <f>""</f>
        <v/>
      </c>
      <c r="CG116" t="str">
        <f>""</f>
        <v/>
      </c>
      <c r="CH116" t="str">
        <f>""</f>
        <v/>
      </c>
    </row>
    <row r="117" spans="1:86" x14ac:dyDescent="0.25">
      <c r="A117" t="s">
        <v>1007</v>
      </c>
      <c r="B117" t="s">
        <v>1008</v>
      </c>
      <c r="D117" t="s">
        <v>2089</v>
      </c>
      <c r="AJ117" t="s">
        <v>2090</v>
      </c>
      <c r="BX117" t="str">
        <f>""</f>
        <v/>
      </c>
      <c r="BY117" t="str">
        <f>""</f>
        <v/>
      </c>
      <c r="BZ117" t="str">
        <f>""</f>
        <v/>
      </c>
      <c r="CA117" t="str">
        <f>""</f>
        <v/>
      </c>
      <c r="CB117" t="str">
        <f>""</f>
        <v/>
      </c>
      <c r="CC117" t="str">
        <f>""</f>
        <v/>
      </c>
      <c r="CD117" t="str">
        <f>""</f>
        <v/>
      </c>
      <c r="CE117" t="str">
        <f>""</f>
        <v/>
      </c>
      <c r="CF117" t="str">
        <f>""</f>
        <v/>
      </c>
      <c r="CG117" t="str">
        <f>""</f>
        <v/>
      </c>
      <c r="CH117" t="str">
        <f>""</f>
        <v/>
      </c>
    </row>
    <row r="118" spans="1:86" x14ac:dyDescent="0.25">
      <c r="A118" t="s">
        <v>1009</v>
      </c>
      <c r="B118" t="s">
        <v>1010</v>
      </c>
      <c r="C118" t="s">
        <v>1991</v>
      </c>
      <c r="D118" t="s">
        <v>2010</v>
      </c>
      <c r="E118" t="s">
        <v>1011</v>
      </c>
      <c r="H118" t="s">
        <v>1012</v>
      </c>
      <c r="I118" t="s">
        <v>2367</v>
      </c>
      <c r="J118" t="str">
        <f>"60606-5702"</f>
        <v>60606-5702</v>
      </c>
      <c r="K118" t="s">
        <v>1998</v>
      </c>
      <c r="L118" t="s">
        <v>1999</v>
      </c>
      <c r="M118" t="s">
        <v>1013</v>
      </c>
      <c r="N118" t="s">
        <v>1991</v>
      </c>
      <c r="O118" t="s">
        <v>1991</v>
      </c>
      <c r="P118" t="s">
        <v>1992</v>
      </c>
      <c r="Q118" t="s">
        <v>1991</v>
      </c>
      <c r="R118" t="s">
        <v>1991</v>
      </c>
      <c r="S118" t="s">
        <v>1992</v>
      </c>
      <c r="T118" t="s">
        <v>1991</v>
      </c>
      <c r="U118" t="s">
        <v>1991</v>
      </c>
      <c r="V118" t="s">
        <v>1991</v>
      </c>
      <c r="W118" t="s">
        <v>1991</v>
      </c>
      <c r="X118" t="s">
        <v>1991</v>
      </c>
      <c r="Y118" t="s">
        <v>1991</v>
      </c>
      <c r="Z118" t="s">
        <v>1991</v>
      </c>
      <c r="AE118" t="s">
        <v>1014</v>
      </c>
      <c r="AF118" t="s">
        <v>2001</v>
      </c>
      <c r="AG118" t="s">
        <v>1991</v>
      </c>
      <c r="AH118">
        <v>90</v>
      </c>
      <c r="AI118">
        <v>30</v>
      </c>
      <c r="AJ118" t="s">
        <v>1015</v>
      </c>
      <c r="AK118">
        <v>587</v>
      </c>
      <c r="AL118">
        <v>2833321</v>
      </c>
      <c r="AM118" t="s">
        <v>1016</v>
      </c>
      <c r="AN118" t="s">
        <v>1053</v>
      </c>
      <c r="AO118" t="s">
        <v>1053</v>
      </c>
      <c r="AP118" t="s">
        <v>1053</v>
      </c>
      <c r="AQ118" t="s">
        <v>1053</v>
      </c>
      <c r="AR118" t="s">
        <v>1053</v>
      </c>
      <c r="AS118" t="s">
        <v>1009</v>
      </c>
      <c r="AT118" t="s">
        <v>1017</v>
      </c>
      <c r="AU118" t="s">
        <v>1018</v>
      </c>
      <c r="AV118" t="s">
        <v>1053</v>
      </c>
      <c r="AW118" t="s">
        <v>1053</v>
      </c>
      <c r="AX118" t="s">
        <v>1053</v>
      </c>
      <c r="AY118" t="s">
        <v>1053</v>
      </c>
      <c r="AZ118" t="s">
        <v>1009</v>
      </c>
      <c r="BA118" t="s">
        <v>1019</v>
      </c>
      <c r="BB118" t="s">
        <v>1053</v>
      </c>
      <c r="BC118" t="s">
        <v>1053</v>
      </c>
      <c r="BD118" t="s">
        <v>1053</v>
      </c>
      <c r="BE118" t="s">
        <v>1053</v>
      </c>
      <c r="BF118" t="s">
        <v>1053</v>
      </c>
      <c r="BG118" t="s">
        <v>1020</v>
      </c>
      <c r="BH118" t="s">
        <v>1021</v>
      </c>
      <c r="BI118" t="s">
        <v>1053</v>
      </c>
      <c r="BJ118" t="s">
        <v>1053</v>
      </c>
      <c r="BK118" t="s">
        <v>1053</v>
      </c>
      <c r="BL118" t="s">
        <v>1053</v>
      </c>
      <c r="BM118" t="s">
        <v>1022</v>
      </c>
      <c r="BN118" t="s">
        <v>1019</v>
      </c>
      <c r="BO118" t="s">
        <v>1053</v>
      </c>
      <c r="BP118" t="s">
        <v>2375</v>
      </c>
      <c r="BQ118" t="s">
        <v>1021</v>
      </c>
      <c r="BR118" t="s">
        <v>1053</v>
      </c>
      <c r="BS118" t="s">
        <v>1053</v>
      </c>
      <c r="BT118" t="s">
        <v>1053</v>
      </c>
      <c r="BU118" t="s">
        <v>1053</v>
      </c>
      <c r="BV118" t="s">
        <v>987</v>
      </c>
      <c r="BW118" t="s">
        <v>1019</v>
      </c>
      <c r="BX118" t="str">
        <f>"SMTWTFS 0530-2359"</f>
        <v>SMTWTFS 0530-2359</v>
      </c>
      <c r="BY118" t="str">
        <f>"SMTWTFS 0800-2130"</f>
        <v>SMTWTFS 0800-2130</v>
      </c>
      <c r="BZ118" t="str">
        <f>"SMTWTFS 0630-2330"</f>
        <v>SMTWTFS 0630-2330</v>
      </c>
      <c r="CA118" t="str">
        <f>"SMTWTFS 0600-2120"</f>
        <v>SMTWTFS 0600-2120</v>
      </c>
      <c r="CB118" t="str">
        <f>""</f>
        <v/>
      </c>
      <c r="CC118" t="str">
        <f>"SMTWTFS 0530-2359"</f>
        <v>SMTWTFS 0530-2359</v>
      </c>
      <c r="CD118" t="str">
        <f>""</f>
        <v/>
      </c>
      <c r="CE118" t="str">
        <f>"SMTWTFS 0745-2130"</f>
        <v>SMTWTFS 0745-2130</v>
      </c>
      <c r="CF118" t="str">
        <f>"SMTWTFS 0830-2030"</f>
        <v>SMTWTFS 0830-2030</v>
      </c>
      <c r="CG118" t="str">
        <f>""</f>
        <v/>
      </c>
      <c r="CH118" t="str">
        <f>"SMTWTFS 0000-2359"</f>
        <v>SMTWTFS 0000-2359</v>
      </c>
    </row>
    <row r="119" spans="1:86" x14ac:dyDescent="0.25">
      <c r="A119" t="s">
        <v>1023</v>
      </c>
      <c r="B119" t="s">
        <v>1024</v>
      </c>
      <c r="C119" t="s">
        <v>1991</v>
      </c>
      <c r="D119" t="s">
        <v>2010</v>
      </c>
      <c r="E119" t="s">
        <v>1025</v>
      </c>
      <c r="F119" t="s">
        <v>1026</v>
      </c>
      <c r="H119" t="s">
        <v>1027</v>
      </c>
      <c r="I119" t="s">
        <v>2367</v>
      </c>
      <c r="J119" t="str">
        <f>"61820-4046"</f>
        <v>61820-4046</v>
      </c>
      <c r="K119" t="s">
        <v>1998</v>
      </c>
      <c r="L119" t="s">
        <v>1999</v>
      </c>
      <c r="M119" t="s">
        <v>1028</v>
      </c>
      <c r="N119" t="s">
        <v>1991</v>
      </c>
      <c r="O119" t="s">
        <v>1991</v>
      </c>
      <c r="P119" t="s">
        <v>1992</v>
      </c>
      <c r="Q119" t="s">
        <v>1991</v>
      </c>
      <c r="R119" t="s">
        <v>1991</v>
      </c>
      <c r="S119" t="s">
        <v>1992</v>
      </c>
      <c r="T119" t="s">
        <v>1992</v>
      </c>
      <c r="U119" t="s">
        <v>1991</v>
      </c>
      <c r="V119" t="s">
        <v>1991</v>
      </c>
      <c r="W119" t="s">
        <v>1991</v>
      </c>
      <c r="X119" t="s">
        <v>1992</v>
      </c>
      <c r="Y119" t="s">
        <v>1992</v>
      </c>
      <c r="Z119" t="s">
        <v>1991</v>
      </c>
      <c r="AA119" t="s">
        <v>1992</v>
      </c>
      <c r="AE119" t="s">
        <v>2047</v>
      </c>
      <c r="AF119" t="s">
        <v>2001</v>
      </c>
      <c r="AG119" t="s">
        <v>1991</v>
      </c>
      <c r="AH119">
        <v>60</v>
      </c>
      <c r="AI119">
        <v>30</v>
      </c>
      <c r="AJ119" t="s">
        <v>1029</v>
      </c>
      <c r="AK119">
        <v>737</v>
      </c>
      <c r="AL119">
        <v>73685</v>
      </c>
      <c r="AM119" t="s">
        <v>1030</v>
      </c>
      <c r="AN119" t="s">
        <v>1053</v>
      </c>
      <c r="AO119" t="s">
        <v>1053</v>
      </c>
      <c r="AP119" t="s">
        <v>2069</v>
      </c>
      <c r="AQ119" t="s">
        <v>1053</v>
      </c>
      <c r="AR119" t="s">
        <v>2069</v>
      </c>
      <c r="AS119" t="s">
        <v>1023</v>
      </c>
      <c r="AT119" t="s">
        <v>1031</v>
      </c>
      <c r="AU119" t="s">
        <v>1053</v>
      </c>
      <c r="AV119" t="s">
        <v>1053</v>
      </c>
      <c r="AW119" t="s">
        <v>2069</v>
      </c>
      <c r="AX119" t="s">
        <v>1053</v>
      </c>
      <c r="AY119" t="s">
        <v>2069</v>
      </c>
      <c r="AZ119" t="s">
        <v>1023</v>
      </c>
      <c r="BA119" t="s">
        <v>1031</v>
      </c>
      <c r="BB119" t="s">
        <v>1053</v>
      </c>
      <c r="BC119" t="s">
        <v>2069</v>
      </c>
      <c r="BD119" t="s">
        <v>1053</v>
      </c>
      <c r="BE119" t="s">
        <v>2069</v>
      </c>
      <c r="BF119" t="s">
        <v>1053</v>
      </c>
      <c r="BG119" t="s">
        <v>2371</v>
      </c>
      <c r="BH119" t="s">
        <v>3669</v>
      </c>
      <c r="BI119" t="s">
        <v>1053</v>
      </c>
      <c r="BJ119" t="s">
        <v>1053</v>
      </c>
      <c r="BK119" t="s">
        <v>1053</v>
      </c>
      <c r="BL119" t="s">
        <v>1053</v>
      </c>
      <c r="BM119" t="s">
        <v>2373</v>
      </c>
      <c r="BN119" t="s">
        <v>2374</v>
      </c>
      <c r="BO119" t="s">
        <v>1053</v>
      </c>
      <c r="BP119" t="s">
        <v>2375</v>
      </c>
      <c r="BQ119" t="s">
        <v>1032</v>
      </c>
      <c r="BR119" t="s">
        <v>1053</v>
      </c>
      <c r="BT119" t="s">
        <v>1053</v>
      </c>
      <c r="BX119" t="str">
        <f>"SMTWTFS 0515-2300"</f>
        <v>SMTWTFS 0515-2300</v>
      </c>
      <c r="BY119" t="str">
        <f>"SM----- 0530-1230 1600-2230; --TWTFS 0530-2230"</f>
        <v>SM----- 0530-1230 1600-2230; --TWTFS 0530-2230</v>
      </c>
      <c r="BZ119" t="str">
        <f>"SM----- 0530-1230 1600-2230; --TWTFS 0530-2230"</f>
        <v>SM----- 0530-1230 1600-2230; --TWTFS 0530-2230</v>
      </c>
      <c r="CA119" t="str">
        <f>"SM----- 0530-1230 1600-2230; --TWTFS 0530-2230"</f>
        <v>SM----- 0530-1230 1600-2230; --TWTFS 0530-2230</v>
      </c>
      <c r="CB119" t="str">
        <f>""</f>
        <v/>
      </c>
      <c r="CC119" t="str">
        <f>"SMTWTFS 0515-2300"</f>
        <v>SMTWTFS 0515-2300</v>
      </c>
      <c r="CD119" t="str">
        <f>""</f>
        <v/>
      </c>
      <c r="CE119" t="str">
        <f>""</f>
        <v/>
      </c>
      <c r="CF119" t="str">
        <f>"SM----- 0530-1230 1600-2230; --TWTFS 0530-2230"</f>
        <v>SM----- 0530-1230 1600-2230; --TWTFS 0530-2230</v>
      </c>
      <c r="CG119" t="str">
        <f>""</f>
        <v/>
      </c>
      <c r="CH119" t="str">
        <f>"SM----- 0530-1230 1600-2230; --TWTFS 0530-2230"</f>
        <v>SM----- 0530-1230 1600-2230; --TWTFS 0530-2230</v>
      </c>
    </row>
    <row r="120" spans="1:86" x14ac:dyDescent="0.25">
      <c r="A120" t="s">
        <v>1033</v>
      </c>
      <c r="B120" t="s">
        <v>1034</v>
      </c>
      <c r="C120" t="s">
        <v>1992</v>
      </c>
      <c r="D120" t="s">
        <v>1993</v>
      </c>
      <c r="E120" t="s">
        <v>1035</v>
      </c>
      <c r="F120" t="s">
        <v>1036</v>
      </c>
      <c r="H120" t="s">
        <v>1037</v>
      </c>
      <c r="I120" t="s">
        <v>1997</v>
      </c>
      <c r="J120" t="str">
        <f>"54729"</f>
        <v>54729</v>
      </c>
      <c r="K120" t="s">
        <v>1998</v>
      </c>
      <c r="L120" t="s">
        <v>1999</v>
      </c>
      <c r="M120" t="s">
        <v>2000</v>
      </c>
      <c r="N120" t="s">
        <v>1992</v>
      </c>
      <c r="O120" t="s">
        <v>1992</v>
      </c>
      <c r="P120" t="s">
        <v>1992</v>
      </c>
      <c r="Q120" t="s">
        <v>1992</v>
      </c>
      <c r="R120" t="s">
        <v>1992</v>
      </c>
      <c r="S120" t="s">
        <v>1992</v>
      </c>
      <c r="T120" t="s">
        <v>1992</v>
      </c>
      <c r="U120" t="s">
        <v>1992</v>
      </c>
      <c r="V120" t="s">
        <v>1991</v>
      </c>
      <c r="Z120" t="s">
        <v>1991</v>
      </c>
      <c r="AF120" t="s">
        <v>2001</v>
      </c>
      <c r="AG120" t="s">
        <v>1991</v>
      </c>
      <c r="AH120">
        <v>15</v>
      </c>
      <c r="AI120">
        <v>15</v>
      </c>
      <c r="AJ120" t="s">
        <v>1038</v>
      </c>
      <c r="AK120">
        <v>903</v>
      </c>
      <c r="BF120" t="s">
        <v>1053</v>
      </c>
      <c r="BG120" t="s">
        <v>1039</v>
      </c>
      <c r="BH120" t="s">
        <v>2004</v>
      </c>
      <c r="BI120" t="s">
        <v>1053</v>
      </c>
      <c r="BK120" t="s">
        <v>1053</v>
      </c>
      <c r="BM120" t="s">
        <v>287</v>
      </c>
      <c r="BO120" t="s">
        <v>1053</v>
      </c>
      <c r="BP120" t="s">
        <v>1040</v>
      </c>
      <c r="BQ120" t="s">
        <v>2006</v>
      </c>
      <c r="BR120" t="s">
        <v>1053</v>
      </c>
      <c r="BS120" t="s">
        <v>1053</v>
      </c>
      <c r="BT120" t="s">
        <v>1053</v>
      </c>
      <c r="BU120" t="s">
        <v>1053</v>
      </c>
      <c r="BX120" t="str">
        <f>""</f>
        <v/>
      </c>
      <c r="BY120" t="str">
        <f>""</f>
        <v/>
      </c>
      <c r="BZ120" t="str">
        <f>""</f>
        <v/>
      </c>
      <c r="CA120" t="str">
        <f>""</f>
        <v/>
      </c>
      <c r="CB120" t="str">
        <f>""</f>
        <v/>
      </c>
      <c r="CC120" t="str">
        <f>""</f>
        <v/>
      </c>
      <c r="CD120" t="str">
        <f>""</f>
        <v/>
      </c>
      <c r="CE120" t="str">
        <f>""</f>
        <v/>
      </c>
      <c r="CF120" t="str">
        <f>""</f>
        <v/>
      </c>
      <c r="CG120" t="str">
        <f>""</f>
        <v/>
      </c>
      <c r="CH120" t="str">
        <f>""</f>
        <v/>
      </c>
    </row>
    <row r="121" spans="1:86" x14ac:dyDescent="0.25">
      <c r="A121" t="s">
        <v>1041</v>
      </c>
      <c r="B121" t="s">
        <v>1042</v>
      </c>
      <c r="C121" t="s">
        <v>1991</v>
      </c>
      <c r="D121" t="s">
        <v>2010</v>
      </c>
      <c r="E121" t="s">
        <v>1043</v>
      </c>
      <c r="H121" t="s">
        <v>1044</v>
      </c>
      <c r="I121" t="s">
        <v>914</v>
      </c>
      <c r="J121" t="str">
        <f>"29405"</f>
        <v>29405</v>
      </c>
      <c r="K121" t="s">
        <v>1998</v>
      </c>
      <c r="L121" t="s">
        <v>408</v>
      </c>
      <c r="M121" t="s">
        <v>1045</v>
      </c>
      <c r="N121" t="s">
        <v>1991</v>
      </c>
      <c r="O121" t="s">
        <v>1991</v>
      </c>
      <c r="P121" t="s">
        <v>1992</v>
      </c>
      <c r="Q121" t="s">
        <v>1991</v>
      </c>
      <c r="R121" t="s">
        <v>1991</v>
      </c>
      <c r="S121" t="s">
        <v>1992</v>
      </c>
      <c r="T121" t="s">
        <v>1992</v>
      </c>
      <c r="U121" t="s">
        <v>1991</v>
      </c>
      <c r="V121" t="s">
        <v>1991</v>
      </c>
      <c r="W121" t="s">
        <v>1991</v>
      </c>
      <c r="X121" t="s">
        <v>1992</v>
      </c>
      <c r="Y121" t="s">
        <v>1992</v>
      </c>
      <c r="Z121" t="s">
        <v>1992</v>
      </c>
      <c r="AE121" t="s">
        <v>2047</v>
      </c>
      <c r="AF121" t="s">
        <v>2016</v>
      </c>
      <c r="AG121" t="s">
        <v>1991</v>
      </c>
      <c r="AH121">
        <v>60</v>
      </c>
      <c r="AI121">
        <v>30</v>
      </c>
      <c r="AJ121" t="s">
        <v>1046</v>
      </c>
      <c r="AK121">
        <v>20</v>
      </c>
      <c r="AL121">
        <v>549000</v>
      </c>
      <c r="AN121" t="s">
        <v>1053</v>
      </c>
      <c r="AO121" t="s">
        <v>1053</v>
      </c>
      <c r="AP121" t="s">
        <v>2069</v>
      </c>
      <c r="AQ121" t="s">
        <v>1053</v>
      </c>
      <c r="AR121" t="s">
        <v>2069</v>
      </c>
      <c r="AS121" t="s">
        <v>1041</v>
      </c>
      <c r="AT121" t="s">
        <v>1047</v>
      </c>
      <c r="AU121" t="s">
        <v>1053</v>
      </c>
      <c r="AV121" t="s">
        <v>1053</v>
      </c>
      <c r="AW121" t="s">
        <v>2069</v>
      </c>
      <c r="AX121" t="s">
        <v>1053</v>
      </c>
      <c r="AY121" t="s">
        <v>2069</v>
      </c>
      <c r="AZ121" t="s">
        <v>1041</v>
      </c>
      <c r="BA121" t="s">
        <v>1047</v>
      </c>
      <c r="BB121" t="s">
        <v>1053</v>
      </c>
      <c r="BC121" t="s">
        <v>2069</v>
      </c>
      <c r="BD121" t="s">
        <v>1053</v>
      </c>
      <c r="BE121" t="s">
        <v>2069</v>
      </c>
      <c r="BF121" t="s">
        <v>1053</v>
      </c>
      <c r="BG121" t="s">
        <v>703</v>
      </c>
      <c r="BH121" t="s">
        <v>1048</v>
      </c>
      <c r="BI121" t="s">
        <v>1053</v>
      </c>
      <c r="BJ121" t="s">
        <v>1053</v>
      </c>
      <c r="BK121" t="s">
        <v>1053</v>
      </c>
      <c r="BL121" t="s">
        <v>1053</v>
      </c>
      <c r="BM121" t="s">
        <v>1049</v>
      </c>
      <c r="BN121" t="s">
        <v>1050</v>
      </c>
      <c r="BO121" t="s">
        <v>1053</v>
      </c>
      <c r="BP121" t="s">
        <v>653</v>
      </c>
      <c r="BQ121" t="s">
        <v>1051</v>
      </c>
      <c r="BR121" t="s">
        <v>1053</v>
      </c>
      <c r="BS121" t="s">
        <v>1053</v>
      </c>
      <c r="BT121" t="s">
        <v>1053</v>
      </c>
      <c r="BU121" t="s">
        <v>1053</v>
      </c>
      <c r="BV121" t="s">
        <v>1052</v>
      </c>
      <c r="BW121" t="s">
        <v>3470</v>
      </c>
      <c r="BX121" t="str">
        <f>"SMT--FS 0330-1200 1500-2230; ---WT-- 0330-2230"</f>
        <v>SMT--FS 0330-1200 1500-2230; ---WT-- 0330-2230</v>
      </c>
      <c r="BY121" t="str">
        <f>"SMT--FS 0330-1200 1500-2230; ---WT-- 0330-2230"</f>
        <v>SMT--FS 0330-1200 1500-2230; ---WT-- 0330-2230</v>
      </c>
      <c r="BZ121" t="str">
        <f>"SMT--FS 0330-1200 1500-2230; ---WT-- 0330-2230"</f>
        <v>SMT--FS 0330-1200 1500-2230; ---WT-- 0330-2230</v>
      </c>
      <c r="CA121" t="str">
        <f>"SMT--FS 0330-1200 1500-2230; ---WT-- 0330-2230"</f>
        <v>SMT--FS 0330-1200 1500-2230; ---WT-- 0330-2230</v>
      </c>
      <c r="CB121" t="str">
        <f>""</f>
        <v/>
      </c>
      <c r="CC121" t="str">
        <f>"SMT--FS 0330-1200 1500-2230; ---WT-- 0330-2230"</f>
        <v>SMT--FS 0330-1200 1500-2230; ---WT-- 0330-2230</v>
      </c>
      <c r="CD121" t="str">
        <f>""</f>
        <v/>
      </c>
      <c r="CE121" t="str">
        <f>""</f>
        <v/>
      </c>
      <c r="CF121" t="str">
        <f>"SMT--FS 0330-1200 1500-2230; ---WT-- 0330-2230"</f>
        <v>SMT--FS 0330-1200 1500-2230; ---WT-- 0330-2230</v>
      </c>
      <c r="CG121" t="str">
        <f>""</f>
        <v/>
      </c>
      <c r="CH121" t="str">
        <f>"SMT--FS 0330-1200 1500-2230; ---WT-- 0330-2230"</f>
        <v>SMT--FS 0330-1200 1500-2230; ---WT-- 0330-2230</v>
      </c>
    </row>
    <row r="122" spans="1:86" x14ac:dyDescent="0.25">
      <c r="A122" t="s">
        <v>3471</v>
      </c>
      <c r="B122" t="s">
        <v>3472</v>
      </c>
      <c r="C122" t="s">
        <v>1991</v>
      </c>
      <c r="D122" t="s">
        <v>2010</v>
      </c>
      <c r="E122" t="s">
        <v>3473</v>
      </c>
      <c r="F122" t="s">
        <v>3474</v>
      </c>
      <c r="H122" t="s">
        <v>3475</v>
      </c>
      <c r="I122" t="s">
        <v>2340</v>
      </c>
      <c r="J122" t="str">
        <f>"25314"</f>
        <v>25314</v>
      </c>
      <c r="K122" t="s">
        <v>1998</v>
      </c>
      <c r="L122" t="s">
        <v>2015</v>
      </c>
      <c r="M122" t="s">
        <v>3476</v>
      </c>
      <c r="N122" t="s">
        <v>1991</v>
      </c>
      <c r="O122" t="s">
        <v>1992</v>
      </c>
      <c r="P122" t="s">
        <v>1992</v>
      </c>
      <c r="Q122" t="s">
        <v>1991</v>
      </c>
      <c r="R122" t="s">
        <v>1991</v>
      </c>
      <c r="S122" t="s">
        <v>1992</v>
      </c>
      <c r="T122" t="s">
        <v>1992</v>
      </c>
      <c r="U122" t="s">
        <v>1991</v>
      </c>
      <c r="V122" t="s">
        <v>1991</v>
      </c>
      <c r="W122" t="s">
        <v>1991</v>
      </c>
      <c r="X122" t="s">
        <v>1992</v>
      </c>
      <c r="Y122" t="s">
        <v>1992</v>
      </c>
      <c r="Z122" t="s">
        <v>1992</v>
      </c>
      <c r="AE122" t="s">
        <v>2047</v>
      </c>
      <c r="AF122" t="s">
        <v>2016</v>
      </c>
      <c r="AG122" t="s">
        <v>1991</v>
      </c>
      <c r="AH122">
        <v>45</v>
      </c>
      <c r="AI122">
        <v>30</v>
      </c>
      <c r="AJ122" t="s">
        <v>3477</v>
      </c>
      <c r="AK122">
        <v>606</v>
      </c>
      <c r="AL122">
        <v>51846</v>
      </c>
      <c r="AM122" t="s">
        <v>3478</v>
      </c>
      <c r="AN122" t="s">
        <v>1053</v>
      </c>
      <c r="AO122" t="s">
        <v>1053</v>
      </c>
      <c r="AP122" t="s">
        <v>2069</v>
      </c>
      <c r="AQ122" t="s">
        <v>1053</v>
      </c>
      <c r="AR122" t="s">
        <v>2069</v>
      </c>
      <c r="AS122" t="s">
        <v>3479</v>
      </c>
      <c r="AT122" t="s">
        <v>3480</v>
      </c>
      <c r="AU122" t="s">
        <v>1053</v>
      </c>
      <c r="AV122" t="s">
        <v>1053</v>
      </c>
      <c r="AW122" t="s">
        <v>2069</v>
      </c>
      <c r="AX122" t="s">
        <v>1053</v>
      </c>
      <c r="AY122" t="s">
        <v>2069</v>
      </c>
      <c r="AZ122" t="s">
        <v>3479</v>
      </c>
      <c r="BA122" t="s">
        <v>3480</v>
      </c>
      <c r="BB122" t="s">
        <v>1053</v>
      </c>
      <c r="BC122" t="s">
        <v>2069</v>
      </c>
      <c r="BD122" t="s">
        <v>1053</v>
      </c>
      <c r="BE122" t="s">
        <v>2069</v>
      </c>
      <c r="BF122" t="s">
        <v>1053</v>
      </c>
      <c r="BG122" t="s">
        <v>2097</v>
      </c>
      <c r="BH122" t="s">
        <v>3481</v>
      </c>
      <c r="BI122" t="s">
        <v>1053</v>
      </c>
      <c r="BJ122" t="s">
        <v>1053</v>
      </c>
      <c r="BK122" t="s">
        <v>1053</v>
      </c>
      <c r="BL122" t="s">
        <v>1053</v>
      </c>
      <c r="BM122" t="s">
        <v>2343</v>
      </c>
      <c r="BN122" t="s">
        <v>2344</v>
      </c>
      <c r="BO122" t="s">
        <v>1053</v>
      </c>
      <c r="BP122" t="s">
        <v>366</v>
      </c>
      <c r="BQ122" t="s">
        <v>367</v>
      </c>
      <c r="BR122" t="s">
        <v>1053</v>
      </c>
      <c r="BS122" t="s">
        <v>1053</v>
      </c>
      <c r="BT122" t="s">
        <v>1053</v>
      </c>
      <c r="BU122" t="s">
        <v>1053</v>
      </c>
      <c r="BV122" t="s">
        <v>2347</v>
      </c>
      <c r="BX122" t="str">
        <f>"S--W-F- 0700-1300 1530-2100"</f>
        <v>S--W-F- 0700-1300 1530-2100</v>
      </c>
      <c r="BY122" t="str">
        <f>"S--W-F- 0700-1300 1530-2100"</f>
        <v>S--W-F- 0700-1300 1530-2100</v>
      </c>
      <c r="BZ122" t="str">
        <f>"S--W-F- 0700-1300 1530-2100"</f>
        <v>S--W-F- 0700-1300 1530-2100</v>
      </c>
      <c r="CA122" t="str">
        <f>"S--W-F- 0700-1300 1530-2100"</f>
        <v>S--W-F- 0700-1300 1530-2100</v>
      </c>
      <c r="CB122" t="str">
        <f>"SMTWTFS 0700-1300 1530-2100"</f>
        <v>SMTWTFS 0700-1300 1530-2100</v>
      </c>
      <c r="CC122" t="str">
        <f>""</f>
        <v/>
      </c>
      <c r="CD122" t="str">
        <f>""</f>
        <v/>
      </c>
      <c r="CE122" t="str">
        <f>""</f>
        <v/>
      </c>
      <c r="CF122" t="str">
        <f>"S--W-F- 0700-1300 1530-2100"</f>
        <v>S--W-F- 0700-1300 1530-2100</v>
      </c>
      <c r="CG122" t="str">
        <f>""</f>
        <v/>
      </c>
      <c r="CH122" t="str">
        <f>"SMTWTFS 0000-2359"</f>
        <v>SMTWTFS 0000-2359</v>
      </c>
    </row>
    <row r="123" spans="1:86" x14ac:dyDescent="0.25">
      <c r="A123" t="s">
        <v>3482</v>
      </c>
      <c r="B123" t="s">
        <v>3483</v>
      </c>
      <c r="C123" t="s">
        <v>1992</v>
      </c>
      <c r="D123" t="s">
        <v>2331</v>
      </c>
      <c r="E123" t="s">
        <v>3484</v>
      </c>
      <c r="F123" t="s">
        <v>3485</v>
      </c>
      <c r="H123" t="s">
        <v>3486</v>
      </c>
      <c r="I123" t="s">
        <v>2061</v>
      </c>
      <c r="J123" t="str">
        <f>"95928-4602"</f>
        <v>95928-4602</v>
      </c>
      <c r="K123" t="s">
        <v>1998</v>
      </c>
      <c r="L123" t="s">
        <v>2062</v>
      </c>
      <c r="M123" t="s">
        <v>2000</v>
      </c>
      <c r="N123" t="s">
        <v>1992</v>
      </c>
      <c r="O123" t="s">
        <v>1992</v>
      </c>
      <c r="P123" t="s">
        <v>1992</v>
      </c>
      <c r="Q123" t="s">
        <v>1992</v>
      </c>
      <c r="R123" t="s">
        <v>1992</v>
      </c>
      <c r="S123" t="s">
        <v>1992</v>
      </c>
      <c r="T123" t="s">
        <v>1992</v>
      </c>
      <c r="U123" t="s">
        <v>1992</v>
      </c>
      <c r="V123" t="s">
        <v>1991</v>
      </c>
      <c r="W123" t="s">
        <v>1991</v>
      </c>
      <c r="X123" t="s">
        <v>1992</v>
      </c>
      <c r="Y123" t="s">
        <v>1991</v>
      </c>
      <c r="Z123" t="s">
        <v>1992</v>
      </c>
      <c r="AA123" t="s">
        <v>1992</v>
      </c>
      <c r="AF123" t="s">
        <v>2064</v>
      </c>
      <c r="AG123" t="s">
        <v>1991</v>
      </c>
      <c r="AH123">
        <v>30</v>
      </c>
      <c r="AI123">
        <v>30</v>
      </c>
      <c r="AJ123" t="s">
        <v>3487</v>
      </c>
      <c r="AK123">
        <v>188</v>
      </c>
      <c r="AL123">
        <v>35000</v>
      </c>
      <c r="AM123" t="s">
        <v>3488</v>
      </c>
      <c r="AN123" t="s">
        <v>2066</v>
      </c>
      <c r="AO123" t="s">
        <v>2063</v>
      </c>
      <c r="BF123" t="s">
        <v>1053</v>
      </c>
      <c r="BG123" t="s">
        <v>2067</v>
      </c>
      <c r="BH123" t="s">
        <v>3489</v>
      </c>
      <c r="BI123" t="s">
        <v>1053</v>
      </c>
      <c r="BK123" t="s">
        <v>1053</v>
      </c>
      <c r="BO123" t="s">
        <v>1053</v>
      </c>
      <c r="BP123" t="s">
        <v>675</v>
      </c>
      <c r="BQ123" t="s">
        <v>2073</v>
      </c>
      <c r="BR123" t="s">
        <v>1053</v>
      </c>
      <c r="BS123" t="s">
        <v>1053</v>
      </c>
      <c r="BX123" t="str">
        <f>"-MTWTFS 0900-1200 1830-1930"</f>
        <v>-MTWTFS 0900-1200 1830-1930</v>
      </c>
      <c r="BY123" t="str">
        <f>""</f>
        <v/>
      </c>
      <c r="BZ123" t="str">
        <f>""</f>
        <v/>
      </c>
      <c r="CA123" t="str">
        <f>""</f>
        <v/>
      </c>
      <c r="CB123" t="str">
        <f>""</f>
        <v/>
      </c>
      <c r="CC123" t="str">
        <f>""</f>
        <v/>
      </c>
      <c r="CD123" t="str">
        <f>""</f>
        <v/>
      </c>
      <c r="CE123" t="str">
        <f>""</f>
        <v/>
      </c>
      <c r="CF123" t="str">
        <f>""</f>
        <v/>
      </c>
      <c r="CG123" t="str">
        <f>""</f>
        <v/>
      </c>
      <c r="CH123" t="str">
        <f>""</f>
        <v/>
      </c>
    </row>
    <row r="124" spans="1:86" x14ac:dyDescent="0.25">
      <c r="A124" t="s">
        <v>3490</v>
      </c>
      <c r="B124" t="s">
        <v>3491</v>
      </c>
      <c r="C124" t="s">
        <v>1991</v>
      </c>
      <c r="D124" t="s">
        <v>2010</v>
      </c>
      <c r="E124" t="s">
        <v>3492</v>
      </c>
      <c r="F124" t="s">
        <v>3493</v>
      </c>
      <c r="H124" t="s">
        <v>3494</v>
      </c>
      <c r="I124" t="s">
        <v>2334</v>
      </c>
      <c r="J124" t="str">
        <f>"45203-1130"</f>
        <v>45203-1130</v>
      </c>
      <c r="K124" t="s">
        <v>1998</v>
      </c>
      <c r="L124" t="s">
        <v>1999</v>
      </c>
      <c r="M124" t="s">
        <v>3495</v>
      </c>
      <c r="N124" t="s">
        <v>1991</v>
      </c>
      <c r="O124" t="s">
        <v>1992</v>
      </c>
      <c r="P124" t="s">
        <v>1992</v>
      </c>
      <c r="Q124" t="s">
        <v>1991</v>
      </c>
      <c r="R124" t="s">
        <v>1992</v>
      </c>
      <c r="S124" t="s">
        <v>1992</v>
      </c>
      <c r="T124" t="s">
        <v>1992</v>
      </c>
      <c r="U124" t="s">
        <v>1992</v>
      </c>
      <c r="V124" t="s">
        <v>1991</v>
      </c>
      <c r="W124" t="s">
        <v>1991</v>
      </c>
      <c r="X124" t="s">
        <v>1992</v>
      </c>
      <c r="Y124" t="s">
        <v>1992</v>
      </c>
      <c r="Z124" t="s">
        <v>1992</v>
      </c>
      <c r="AA124" t="s">
        <v>1991</v>
      </c>
      <c r="AB124" t="s">
        <v>3496</v>
      </c>
      <c r="AE124" t="s">
        <v>2047</v>
      </c>
      <c r="AF124" t="s">
        <v>2016</v>
      </c>
      <c r="AG124" t="s">
        <v>1991</v>
      </c>
      <c r="AH124">
        <v>60</v>
      </c>
      <c r="AI124">
        <v>30</v>
      </c>
      <c r="AJ124" t="s">
        <v>3497</v>
      </c>
      <c r="AK124">
        <v>503</v>
      </c>
      <c r="AL124">
        <v>551891</v>
      </c>
      <c r="AN124" t="s">
        <v>1053</v>
      </c>
      <c r="AO124" t="s">
        <v>1053</v>
      </c>
      <c r="AP124" t="s">
        <v>2069</v>
      </c>
      <c r="AQ124" t="s">
        <v>1053</v>
      </c>
      <c r="AR124" t="s">
        <v>2069</v>
      </c>
      <c r="AS124" t="s">
        <v>3490</v>
      </c>
      <c r="AT124" t="s">
        <v>3498</v>
      </c>
      <c r="AU124" t="s">
        <v>1053</v>
      </c>
      <c r="AV124" t="s">
        <v>1053</v>
      </c>
      <c r="AW124" t="s">
        <v>2069</v>
      </c>
      <c r="AX124" t="s">
        <v>1053</v>
      </c>
      <c r="AY124" t="s">
        <v>2069</v>
      </c>
      <c r="AZ124" t="s">
        <v>3490</v>
      </c>
      <c r="BA124" t="s">
        <v>3498</v>
      </c>
      <c r="BB124" t="s">
        <v>1053</v>
      </c>
      <c r="BC124" t="s">
        <v>2069</v>
      </c>
      <c r="BD124" t="s">
        <v>1053</v>
      </c>
      <c r="BE124" t="s">
        <v>2069</v>
      </c>
      <c r="BF124" t="s">
        <v>1053</v>
      </c>
      <c r="BG124" t="s">
        <v>2097</v>
      </c>
      <c r="BH124" t="s">
        <v>644</v>
      </c>
      <c r="BI124" t="s">
        <v>1053</v>
      </c>
      <c r="BJ124" t="s">
        <v>2069</v>
      </c>
      <c r="BK124" t="s">
        <v>1053</v>
      </c>
      <c r="BL124" t="s">
        <v>2069</v>
      </c>
      <c r="BM124" t="s">
        <v>2313</v>
      </c>
      <c r="BN124" t="s">
        <v>2314</v>
      </c>
      <c r="BO124" t="s">
        <v>1053</v>
      </c>
      <c r="BP124" t="s">
        <v>301</v>
      </c>
      <c r="BQ124" t="s">
        <v>2316</v>
      </c>
      <c r="BR124" t="s">
        <v>1053</v>
      </c>
      <c r="BT124" t="s">
        <v>1053</v>
      </c>
      <c r="BX124" t="str">
        <f>"S--WTFS 0000-0630 2300-2359; -M----- 0000-0630; --T---- 2300-2359"</f>
        <v>S--WTFS 0000-0630 2300-2359; -M----- 0000-0630; --T---- 2300-2359</v>
      </c>
      <c r="BY124" t="str">
        <f>"S--WTFS 0000-0630 2300-2359; -M----- 0000-0630; --T---- 2300-2359"</f>
        <v>S--WTFS 0000-0630 2300-2359; -M----- 0000-0630; --T---- 2300-2359</v>
      </c>
      <c r="BZ124" t="str">
        <f>"S--WTFS 0000-0630 2300-2359; -M----- 0000-0630; --T---- 2300-2359"</f>
        <v>S--WTFS 0000-0630 2300-2359; -M----- 0000-0630; --T---- 2300-2359</v>
      </c>
      <c r="CA124" t="str">
        <f>"S--WTFS 0000-0630 2300-2359; -M----- 0000-0630; --T---- 2300-2359"</f>
        <v>S--WTFS 0000-0630 2300-2359; -M----- 0000-0630; --T---- 2300-2359</v>
      </c>
      <c r="CB124" t="str">
        <f>"S--WTFS 0000-0630 2300-2359; -M----- 0000-0630; --T---- 2300-2359"</f>
        <v>S--WTFS 0000-0630 2300-2359; -M----- 0000-0630; --T---- 2300-2359</v>
      </c>
      <c r="CC124" t="str">
        <f>""</f>
        <v/>
      </c>
      <c r="CD124" t="str">
        <f>""</f>
        <v/>
      </c>
      <c r="CE124" t="str">
        <f>""</f>
        <v/>
      </c>
      <c r="CF124" t="str">
        <f>""</f>
        <v/>
      </c>
      <c r="CG124" t="str">
        <f>""</f>
        <v/>
      </c>
      <c r="CH124" t="str">
        <f>"SMTWTFS 0000-2359"</f>
        <v>SMTWTFS 0000-2359</v>
      </c>
    </row>
    <row r="125" spans="1:86" x14ac:dyDescent="0.25">
      <c r="A125" t="s">
        <v>3499</v>
      </c>
      <c r="B125" t="s">
        <v>3500</v>
      </c>
      <c r="C125" t="s">
        <v>1992</v>
      </c>
      <c r="D125" t="s">
        <v>2331</v>
      </c>
      <c r="E125" t="s">
        <v>3501</v>
      </c>
      <c r="H125" t="s">
        <v>3502</v>
      </c>
      <c r="I125" t="s">
        <v>660</v>
      </c>
      <c r="J125" t="str">
        <f>"03743"</f>
        <v>03743</v>
      </c>
      <c r="K125" t="s">
        <v>1998</v>
      </c>
      <c r="L125" t="s">
        <v>2033</v>
      </c>
      <c r="M125" t="s">
        <v>2063</v>
      </c>
      <c r="N125" t="s">
        <v>1992</v>
      </c>
      <c r="O125" t="s">
        <v>1992</v>
      </c>
      <c r="P125" t="s">
        <v>1992</v>
      </c>
      <c r="Q125" t="s">
        <v>1992</v>
      </c>
      <c r="R125" t="s">
        <v>1992</v>
      </c>
      <c r="S125" t="s">
        <v>1992</v>
      </c>
      <c r="T125" t="s">
        <v>1992</v>
      </c>
      <c r="U125" t="s">
        <v>1992</v>
      </c>
      <c r="V125" t="s">
        <v>1991</v>
      </c>
      <c r="W125" t="s">
        <v>1991</v>
      </c>
      <c r="X125" t="s">
        <v>1992</v>
      </c>
      <c r="Y125" t="s">
        <v>1992</v>
      </c>
      <c r="Z125" t="s">
        <v>1992</v>
      </c>
      <c r="AF125" t="s">
        <v>2016</v>
      </c>
      <c r="AG125" t="s">
        <v>1991</v>
      </c>
      <c r="AH125">
        <v>30</v>
      </c>
      <c r="AI125">
        <v>30</v>
      </c>
      <c r="AJ125" t="s">
        <v>3503</v>
      </c>
      <c r="AK125">
        <v>466</v>
      </c>
      <c r="AL125">
        <v>13264</v>
      </c>
      <c r="AM125" t="s">
        <v>3504</v>
      </c>
      <c r="AN125" t="s">
        <v>3505</v>
      </c>
      <c r="AO125" t="s">
        <v>1053</v>
      </c>
      <c r="BF125" t="s">
        <v>1053</v>
      </c>
      <c r="BG125" t="s">
        <v>684</v>
      </c>
      <c r="BH125" t="s">
        <v>250</v>
      </c>
      <c r="BI125" t="s">
        <v>1053</v>
      </c>
      <c r="BJ125" t="s">
        <v>1053</v>
      </c>
      <c r="BK125" t="s">
        <v>1053</v>
      </c>
      <c r="BL125" t="s">
        <v>1053</v>
      </c>
      <c r="BM125" t="s">
        <v>251</v>
      </c>
      <c r="BN125" t="s">
        <v>252</v>
      </c>
      <c r="BO125" t="s">
        <v>1053</v>
      </c>
      <c r="BP125" t="s">
        <v>467</v>
      </c>
      <c r="BQ125" t="s">
        <v>254</v>
      </c>
      <c r="BR125" t="s">
        <v>1053</v>
      </c>
      <c r="BS125" t="s">
        <v>1053</v>
      </c>
      <c r="BT125" t="s">
        <v>1053</v>
      </c>
      <c r="BU125" t="s">
        <v>1053</v>
      </c>
      <c r="BV125" t="s">
        <v>255</v>
      </c>
      <c r="BW125" t="s">
        <v>256</v>
      </c>
      <c r="BX125" t="str">
        <f>""</f>
        <v/>
      </c>
      <c r="BY125" t="str">
        <f>""</f>
        <v/>
      </c>
      <c r="BZ125" t="str">
        <f>""</f>
        <v/>
      </c>
      <c r="CA125" t="str">
        <f>""</f>
        <v/>
      </c>
      <c r="CB125" t="str">
        <f>""</f>
        <v/>
      </c>
      <c r="CC125" t="str">
        <f>""</f>
        <v/>
      </c>
      <c r="CD125" t="str">
        <f>""</f>
        <v/>
      </c>
      <c r="CE125" t="str">
        <f>""</f>
        <v/>
      </c>
      <c r="CF125" t="str">
        <f>""</f>
        <v/>
      </c>
      <c r="CG125" t="str">
        <f>""</f>
        <v/>
      </c>
      <c r="CH125" t="str">
        <f>""</f>
        <v/>
      </c>
    </row>
    <row r="126" spans="1:86" x14ac:dyDescent="0.25">
      <c r="A126" t="s">
        <v>3506</v>
      </c>
      <c r="B126" t="s">
        <v>3507</v>
      </c>
      <c r="C126" t="s">
        <v>1991</v>
      </c>
      <c r="D126" t="s">
        <v>2010</v>
      </c>
      <c r="E126" t="s">
        <v>3508</v>
      </c>
      <c r="H126" t="s">
        <v>3509</v>
      </c>
      <c r="I126" t="s">
        <v>914</v>
      </c>
      <c r="J126" t="str">
        <f>"29201"</f>
        <v>29201</v>
      </c>
      <c r="K126" t="s">
        <v>1998</v>
      </c>
      <c r="L126" t="s">
        <v>408</v>
      </c>
      <c r="M126" t="s">
        <v>3510</v>
      </c>
      <c r="N126" t="s">
        <v>1991</v>
      </c>
      <c r="O126" t="s">
        <v>1991</v>
      </c>
      <c r="P126" t="s">
        <v>1992</v>
      </c>
      <c r="Q126" t="s">
        <v>1991</v>
      </c>
      <c r="R126" t="s">
        <v>1991</v>
      </c>
      <c r="S126" t="s">
        <v>1991</v>
      </c>
      <c r="T126" t="s">
        <v>1992</v>
      </c>
      <c r="U126" t="s">
        <v>1991</v>
      </c>
      <c r="V126" t="s">
        <v>1991</v>
      </c>
      <c r="W126" t="s">
        <v>1991</v>
      </c>
      <c r="X126" t="s">
        <v>1992</v>
      </c>
      <c r="Y126" t="s">
        <v>1992</v>
      </c>
      <c r="Z126" t="s">
        <v>1992</v>
      </c>
      <c r="AE126" t="s">
        <v>2047</v>
      </c>
      <c r="AF126" t="s">
        <v>2016</v>
      </c>
      <c r="AG126" t="s">
        <v>1991</v>
      </c>
      <c r="AH126">
        <v>60</v>
      </c>
      <c r="AI126">
        <v>30</v>
      </c>
      <c r="AJ126" t="s">
        <v>3511</v>
      </c>
      <c r="AK126">
        <v>193</v>
      </c>
      <c r="AL126">
        <v>113542</v>
      </c>
      <c r="AN126" t="s">
        <v>1053</v>
      </c>
      <c r="AO126" t="s">
        <v>1053</v>
      </c>
      <c r="AP126" t="s">
        <v>2069</v>
      </c>
      <c r="AQ126" t="s">
        <v>1053</v>
      </c>
      <c r="AR126" t="s">
        <v>2069</v>
      </c>
      <c r="AS126" t="s">
        <v>3506</v>
      </c>
      <c r="AT126" t="s">
        <v>3512</v>
      </c>
      <c r="AU126" t="s">
        <v>1053</v>
      </c>
      <c r="AV126" t="s">
        <v>1053</v>
      </c>
      <c r="AW126" t="s">
        <v>2069</v>
      </c>
      <c r="AX126" t="s">
        <v>1053</v>
      </c>
      <c r="AY126" t="s">
        <v>2069</v>
      </c>
      <c r="AZ126" t="s">
        <v>3506</v>
      </c>
      <c r="BA126" t="s">
        <v>3512</v>
      </c>
      <c r="BB126" t="s">
        <v>1053</v>
      </c>
      <c r="BC126" t="s">
        <v>2069</v>
      </c>
      <c r="BD126" t="s">
        <v>1053</v>
      </c>
      <c r="BE126" t="s">
        <v>2069</v>
      </c>
      <c r="BF126" t="s">
        <v>1053</v>
      </c>
      <c r="BG126" t="s">
        <v>703</v>
      </c>
      <c r="BH126" t="s">
        <v>3513</v>
      </c>
      <c r="BI126" t="s">
        <v>1053</v>
      </c>
      <c r="BJ126" t="s">
        <v>1053</v>
      </c>
      <c r="BK126" t="s">
        <v>1053</v>
      </c>
      <c r="BL126" t="s">
        <v>1053</v>
      </c>
      <c r="BM126" t="s">
        <v>414</v>
      </c>
      <c r="BN126" t="s">
        <v>412</v>
      </c>
      <c r="BO126" t="s">
        <v>1053</v>
      </c>
      <c r="BP126" t="s">
        <v>653</v>
      </c>
      <c r="BQ126" t="s">
        <v>564</v>
      </c>
      <c r="BR126" t="s">
        <v>1053</v>
      </c>
      <c r="BS126" t="s">
        <v>1053</v>
      </c>
      <c r="BT126" t="s">
        <v>1053</v>
      </c>
      <c r="BU126" t="s">
        <v>1053</v>
      </c>
      <c r="BV126" t="s">
        <v>1052</v>
      </c>
      <c r="BW126" t="s">
        <v>3514</v>
      </c>
      <c r="BX126" t="str">
        <f t="shared" ref="BX126:CC126" si="2">"SMTWTFS 0000-0530 2205-2359"</f>
        <v>SMTWTFS 0000-0530 2205-2359</v>
      </c>
      <c r="BY126" t="str">
        <f t="shared" si="2"/>
        <v>SMTWTFS 0000-0530 2205-2359</v>
      </c>
      <c r="BZ126" t="str">
        <f t="shared" si="2"/>
        <v>SMTWTFS 0000-0530 2205-2359</v>
      </c>
      <c r="CA126" t="str">
        <f t="shared" si="2"/>
        <v>SMTWTFS 0000-0530 2205-2359</v>
      </c>
      <c r="CB126" t="str">
        <f t="shared" si="2"/>
        <v>SMTWTFS 0000-0530 2205-2359</v>
      </c>
      <c r="CC126" t="str">
        <f t="shared" si="2"/>
        <v>SMTWTFS 0000-0530 2205-2359</v>
      </c>
      <c r="CD126" t="str">
        <f>""</f>
        <v/>
      </c>
      <c r="CE126" t="str">
        <f>""</f>
        <v/>
      </c>
      <c r="CF126" t="str">
        <f>"SMTWTFS 0000-0530 2205-2359"</f>
        <v>SMTWTFS 0000-0530 2205-2359</v>
      </c>
      <c r="CG126" t="str">
        <f>""</f>
        <v/>
      </c>
      <c r="CH126" t="str">
        <f>""</f>
        <v/>
      </c>
    </row>
    <row r="127" spans="1:86" x14ac:dyDescent="0.25">
      <c r="A127" t="s">
        <v>3515</v>
      </c>
      <c r="B127" t="s">
        <v>3516</v>
      </c>
      <c r="C127" t="s">
        <v>1992</v>
      </c>
      <c r="D127" t="s">
        <v>1993</v>
      </c>
      <c r="E127" t="s">
        <v>3517</v>
      </c>
      <c r="F127" t="s">
        <v>3518</v>
      </c>
      <c r="H127" t="s">
        <v>3519</v>
      </c>
      <c r="I127" t="s">
        <v>2352</v>
      </c>
      <c r="J127" t="str">
        <f>"49601-8624"</f>
        <v>49601-8624</v>
      </c>
      <c r="K127" t="s">
        <v>1998</v>
      </c>
      <c r="L127" t="s">
        <v>1999</v>
      </c>
      <c r="M127" t="s">
        <v>3520</v>
      </c>
      <c r="N127" t="s">
        <v>1992</v>
      </c>
      <c r="O127" t="s">
        <v>1992</v>
      </c>
      <c r="P127" t="s">
        <v>1992</v>
      </c>
      <c r="Q127" t="s">
        <v>1992</v>
      </c>
      <c r="R127" t="s">
        <v>1992</v>
      </c>
      <c r="S127" t="s">
        <v>1992</v>
      </c>
      <c r="T127" t="s">
        <v>1992</v>
      </c>
      <c r="U127" t="s">
        <v>1992</v>
      </c>
      <c r="V127" t="s">
        <v>1991</v>
      </c>
      <c r="W127" t="s">
        <v>1992</v>
      </c>
      <c r="X127" t="s">
        <v>1992</v>
      </c>
      <c r="Y127" t="s">
        <v>1992</v>
      </c>
      <c r="Z127" t="s">
        <v>1991</v>
      </c>
      <c r="AF127" t="s">
        <v>2016</v>
      </c>
      <c r="AG127" t="s">
        <v>1991</v>
      </c>
      <c r="AH127">
        <v>30</v>
      </c>
      <c r="AI127">
        <v>30</v>
      </c>
      <c r="AJ127" t="s">
        <v>3521</v>
      </c>
      <c r="AK127">
        <v>1318</v>
      </c>
      <c r="AL127">
        <v>10300</v>
      </c>
      <c r="AN127" t="s">
        <v>3522</v>
      </c>
      <c r="AO127" t="s">
        <v>1053</v>
      </c>
      <c r="BF127" t="s">
        <v>1053</v>
      </c>
      <c r="BG127" t="s">
        <v>643</v>
      </c>
      <c r="BH127" t="s">
        <v>644</v>
      </c>
      <c r="BI127" t="s">
        <v>1053</v>
      </c>
      <c r="BK127" t="s">
        <v>1053</v>
      </c>
      <c r="BM127" t="s">
        <v>2313</v>
      </c>
      <c r="BN127" t="s">
        <v>2314</v>
      </c>
      <c r="BO127" t="s">
        <v>1053</v>
      </c>
      <c r="BP127" t="s">
        <v>301</v>
      </c>
      <c r="BQ127" t="s">
        <v>2316</v>
      </c>
      <c r="BR127" t="s">
        <v>1053</v>
      </c>
      <c r="BT127" t="s">
        <v>1053</v>
      </c>
      <c r="BX127" t="str">
        <f>""</f>
        <v/>
      </c>
      <c r="BY127" t="str">
        <f>""</f>
        <v/>
      </c>
      <c r="BZ127" t="str">
        <f>""</f>
        <v/>
      </c>
      <c r="CA127" t="str">
        <f>""</f>
        <v/>
      </c>
      <c r="CB127" t="str">
        <f>"-MTWTF- 1000-1500"</f>
        <v>-MTWTF- 1000-1500</v>
      </c>
      <c r="CC127" t="str">
        <f>""</f>
        <v/>
      </c>
      <c r="CD127" t="str">
        <f>""</f>
        <v/>
      </c>
      <c r="CE127" t="str">
        <f>""</f>
        <v/>
      </c>
      <c r="CF127" t="str">
        <f>""</f>
        <v/>
      </c>
      <c r="CG127" t="str">
        <f>""</f>
        <v/>
      </c>
      <c r="CH127" t="str">
        <f>""</f>
        <v/>
      </c>
    </row>
    <row r="128" spans="1:86" x14ac:dyDescent="0.25">
      <c r="A128" t="s">
        <v>3523</v>
      </c>
      <c r="B128" t="s">
        <v>3524</v>
      </c>
      <c r="C128" t="s">
        <v>1991</v>
      </c>
      <c r="D128" t="s">
        <v>2010</v>
      </c>
      <c r="E128" t="s">
        <v>3525</v>
      </c>
      <c r="H128" t="s">
        <v>3526</v>
      </c>
      <c r="I128" t="s">
        <v>2334</v>
      </c>
      <c r="J128" t="str">
        <f>"44114"</f>
        <v>44114</v>
      </c>
      <c r="K128" t="s">
        <v>1998</v>
      </c>
      <c r="L128" t="s">
        <v>1999</v>
      </c>
      <c r="M128" t="s">
        <v>3527</v>
      </c>
      <c r="N128" t="s">
        <v>1991</v>
      </c>
      <c r="O128" t="s">
        <v>1991</v>
      </c>
      <c r="P128" t="s">
        <v>1992</v>
      </c>
      <c r="Q128" t="s">
        <v>1991</v>
      </c>
      <c r="R128" t="s">
        <v>1991</v>
      </c>
      <c r="S128" t="s">
        <v>1992</v>
      </c>
      <c r="T128" t="s">
        <v>1992</v>
      </c>
      <c r="U128" t="s">
        <v>1991</v>
      </c>
      <c r="V128" t="s">
        <v>1991</v>
      </c>
      <c r="W128" t="s">
        <v>1991</v>
      </c>
      <c r="X128" t="s">
        <v>1992</v>
      </c>
      <c r="Y128" t="s">
        <v>1992</v>
      </c>
      <c r="Z128" t="s">
        <v>1992</v>
      </c>
      <c r="AB128" t="s">
        <v>3528</v>
      </c>
      <c r="AE128" t="s">
        <v>2047</v>
      </c>
      <c r="AF128" t="s">
        <v>2016</v>
      </c>
      <c r="AG128" t="s">
        <v>1991</v>
      </c>
      <c r="AH128">
        <v>60</v>
      </c>
      <c r="AI128">
        <v>30</v>
      </c>
      <c r="AJ128" t="s">
        <v>3529</v>
      </c>
      <c r="AK128">
        <v>594</v>
      </c>
      <c r="AL128">
        <v>573822</v>
      </c>
      <c r="AN128" t="s">
        <v>1053</v>
      </c>
      <c r="AO128" t="s">
        <v>1053</v>
      </c>
      <c r="AP128" t="s">
        <v>2069</v>
      </c>
      <c r="AQ128" t="s">
        <v>1053</v>
      </c>
      <c r="AR128" t="s">
        <v>2069</v>
      </c>
      <c r="AS128" t="s">
        <v>3523</v>
      </c>
      <c r="AT128" t="s">
        <v>3530</v>
      </c>
      <c r="AU128" t="s">
        <v>1053</v>
      </c>
      <c r="AV128" t="s">
        <v>1053</v>
      </c>
      <c r="AW128" t="s">
        <v>2069</v>
      </c>
      <c r="AX128" t="s">
        <v>1053</v>
      </c>
      <c r="AY128" t="s">
        <v>2069</v>
      </c>
      <c r="AZ128" t="s">
        <v>3523</v>
      </c>
      <c r="BA128" t="s">
        <v>3530</v>
      </c>
      <c r="BB128" t="s">
        <v>1053</v>
      </c>
      <c r="BC128" t="s">
        <v>2069</v>
      </c>
      <c r="BD128" t="s">
        <v>1053</v>
      </c>
      <c r="BE128" t="s">
        <v>2069</v>
      </c>
      <c r="BF128" t="s">
        <v>1053</v>
      </c>
      <c r="BG128" t="s">
        <v>2097</v>
      </c>
      <c r="BH128" t="s">
        <v>2312</v>
      </c>
      <c r="BI128" t="s">
        <v>1053</v>
      </c>
      <c r="BJ128" t="s">
        <v>2069</v>
      </c>
      <c r="BK128" t="s">
        <v>1053</v>
      </c>
      <c r="BL128" t="s">
        <v>2069</v>
      </c>
      <c r="BM128" t="s">
        <v>2313</v>
      </c>
      <c r="BN128" t="s">
        <v>2314</v>
      </c>
      <c r="BO128" t="s">
        <v>1053</v>
      </c>
      <c r="BP128" t="s">
        <v>301</v>
      </c>
      <c r="BQ128" t="s">
        <v>2316</v>
      </c>
      <c r="BR128" t="s">
        <v>1053</v>
      </c>
      <c r="BT128" t="s">
        <v>1053</v>
      </c>
      <c r="BX128" t="str">
        <f>"SMTWTFS 0000-1300 2130-2359"</f>
        <v>SMTWTFS 0000-1300 2130-2359</v>
      </c>
      <c r="BY128" t="str">
        <f>"SMTWTFS 0000-1300 2130-2359"</f>
        <v>SMTWTFS 0000-1300 2130-2359</v>
      </c>
      <c r="BZ128" t="str">
        <f>"SMTWTFS 0000-1300 2130-2359"</f>
        <v>SMTWTFS 0000-1300 2130-2359</v>
      </c>
      <c r="CA128" t="str">
        <f>"SMTWTFS 0000-1300 2130-2359"</f>
        <v>SMTWTFS 0000-1300 2130-2359</v>
      </c>
      <c r="CB128" t="str">
        <f>""</f>
        <v/>
      </c>
      <c r="CC128" t="str">
        <f>"SMTWTFS 0000-1300 2130-2359"</f>
        <v>SMTWTFS 0000-1300 2130-2359</v>
      </c>
      <c r="CD128" t="str">
        <f>""</f>
        <v/>
      </c>
      <c r="CE128" t="str">
        <f>""</f>
        <v/>
      </c>
      <c r="CF128" t="str">
        <f>"SMTWTFS 0000-1200 2130-2359"</f>
        <v>SMTWTFS 0000-1200 2130-2359</v>
      </c>
      <c r="CG128" t="str">
        <f>""</f>
        <v/>
      </c>
      <c r="CH128" t="str">
        <f>""</f>
        <v/>
      </c>
    </row>
    <row r="129" spans="1:86" x14ac:dyDescent="0.25">
      <c r="A129" t="s">
        <v>3531</v>
      </c>
      <c r="B129" t="s">
        <v>3532</v>
      </c>
      <c r="C129" t="s">
        <v>1992</v>
      </c>
      <c r="D129" t="s">
        <v>2010</v>
      </c>
      <c r="E129" t="s">
        <v>3533</v>
      </c>
      <c r="F129" t="s">
        <v>3534</v>
      </c>
      <c r="H129" t="s">
        <v>3535</v>
      </c>
      <c r="I129" t="s">
        <v>2405</v>
      </c>
      <c r="J129" t="str">
        <f>"24422"</f>
        <v>24422</v>
      </c>
      <c r="K129" t="s">
        <v>1998</v>
      </c>
      <c r="L129" t="s">
        <v>2015</v>
      </c>
      <c r="M129" t="s">
        <v>2063</v>
      </c>
      <c r="N129" t="s">
        <v>1992</v>
      </c>
      <c r="O129" t="s">
        <v>1992</v>
      </c>
      <c r="P129" t="s">
        <v>1992</v>
      </c>
      <c r="Q129" t="s">
        <v>1992</v>
      </c>
      <c r="R129" t="s">
        <v>1992</v>
      </c>
      <c r="S129" t="s">
        <v>1992</v>
      </c>
      <c r="T129" t="s">
        <v>1992</v>
      </c>
      <c r="U129" t="s">
        <v>1992</v>
      </c>
      <c r="V129" t="s">
        <v>1991</v>
      </c>
      <c r="W129" t="s">
        <v>1991</v>
      </c>
      <c r="X129" t="s">
        <v>1992</v>
      </c>
      <c r="Y129" t="s">
        <v>1992</v>
      </c>
      <c r="Z129" t="s">
        <v>1992</v>
      </c>
      <c r="AF129" t="s">
        <v>2016</v>
      </c>
      <c r="AG129" t="s">
        <v>1991</v>
      </c>
      <c r="AH129">
        <v>30</v>
      </c>
      <c r="AI129">
        <v>30</v>
      </c>
      <c r="AJ129" t="s">
        <v>3536</v>
      </c>
      <c r="AK129">
        <v>1058</v>
      </c>
      <c r="AL129">
        <v>4040</v>
      </c>
      <c r="AN129" t="s">
        <v>3537</v>
      </c>
      <c r="AO129" t="s">
        <v>2063</v>
      </c>
      <c r="BF129" t="s">
        <v>1053</v>
      </c>
      <c r="BG129" t="s">
        <v>2097</v>
      </c>
      <c r="BH129" t="s">
        <v>3481</v>
      </c>
      <c r="BI129" t="s">
        <v>1053</v>
      </c>
      <c r="BJ129" t="s">
        <v>1053</v>
      </c>
      <c r="BK129" t="s">
        <v>1053</v>
      </c>
      <c r="BL129" t="s">
        <v>1053</v>
      </c>
      <c r="BM129" t="s">
        <v>2343</v>
      </c>
      <c r="BN129" t="s">
        <v>2344</v>
      </c>
      <c r="BO129" t="s">
        <v>1053</v>
      </c>
      <c r="BP129" t="s">
        <v>366</v>
      </c>
      <c r="BQ129" t="s">
        <v>367</v>
      </c>
      <c r="BR129" t="s">
        <v>1053</v>
      </c>
      <c r="BS129" t="s">
        <v>1053</v>
      </c>
      <c r="BT129" t="s">
        <v>1053</v>
      </c>
      <c r="BU129" t="s">
        <v>1053</v>
      </c>
      <c r="BV129" t="s">
        <v>2347</v>
      </c>
      <c r="BX129" t="str">
        <f>"S--W-F- 1100-1800"</f>
        <v>S--W-F- 1100-1800</v>
      </c>
      <c r="BY129" t="str">
        <f>""</f>
        <v/>
      </c>
      <c r="BZ129" t="str">
        <f>""</f>
        <v/>
      </c>
      <c r="CA129" t="str">
        <f>""</f>
        <v/>
      </c>
      <c r="CB129" t="str">
        <f>""</f>
        <v/>
      </c>
      <c r="CC129" t="str">
        <f>""</f>
        <v/>
      </c>
      <c r="CD129" t="str">
        <f>""</f>
        <v/>
      </c>
      <c r="CE129" t="str">
        <f>""</f>
        <v/>
      </c>
      <c r="CF129" t="str">
        <f>""</f>
        <v/>
      </c>
      <c r="CG129" t="str">
        <f>""</f>
        <v/>
      </c>
      <c r="CH129" t="str">
        <f>""</f>
        <v/>
      </c>
    </row>
    <row r="130" spans="1:86" x14ac:dyDescent="0.25">
      <c r="A130" t="s">
        <v>3538</v>
      </c>
      <c r="B130" t="s">
        <v>3539</v>
      </c>
      <c r="C130" t="s">
        <v>1992</v>
      </c>
      <c r="D130" t="s">
        <v>1993</v>
      </c>
      <c r="E130" t="s">
        <v>3540</v>
      </c>
      <c r="F130" t="s">
        <v>3541</v>
      </c>
      <c r="H130" t="s">
        <v>3542</v>
      </c>
      <c r="I130" t="s">
        <v>2295</v>
      </c>
      <c r="J130" t="str">
        <f>"97604"</f>
        <v>97604</v>
      </c>
      <c r="K130" t="s">
        <v>1998</v>
      </c>
      <c r="L130" t="s">
        <v>231</v>
      </c>
      <c r="M130" t="s">
        <v>2000</v>
      </c>
      <c r="N130" t="s">
        <v>1992</v>
      </c>
      <c r="O130" t="s">
        <v>1992</v>
      </c>
      <c r="P130" t="s">
        <v>1992</v>
      </c>
      <c r="Q130" t="s">
        <v>1992</v>
      </c>
      <c r="R130" t="s">
        <v>1992</v>
      </c>
      <c r="S130" t="s">
        <v>1992</v>
      </c>
      <c r="T130" t="s">
        <v>1992</v>
      </c>
      <c r="U130" t="s">
        <v>1992</v>
      </c>
      <c r="V130" t="s">
        <v>1991</v>
      </c>
      <c r="Z130" t="s">
        <v>1991</v>
      </c>
      <c r="AF130" t="s">
        <v>2064</v>
      </c>
      <c r="AG130" t="s">
        <v>1991</v>
      </c>
      <c r="AH130">
        <v>15</v>
      </c>
      <c r="AI130">
        <v>15</v>
      </c>
      <c r="AJ130" t="s">
        <v>3543</v>
      </c>
      <c r="AK130">
        <v>7115</v>
      </c>
      <c r="AM130" t="s">
        <v>3544</v>
      </c>
      <c r="BX130" t="str">
        <f>""</f>
        <v/>
      </c>
      <c r="BY130" t="str">
        <f>""</f>
        <v/>
      </c>
      <c r="BZ130" t="str">
        <f>""</f>
        <v/>
      </c>
      <c r="CA130" t="str">
        <f>""</f>
        <v/>
      </c>
      <c r="CB130" t="str">
        <f>""</f>
        <v/>
      </c>
      <c r="CC130" t="str">
        <f>""</f>
        <v/>
      </c>
      <c r="CD130" t="str">
        <f>""</f>
        <v/>
      </c>
      <c r="CE130" t="str">
        <f>""</f>
        <v/>
      </c>
      <c r="CF130" t="str">
        <f>""</f>
        <v/>
      </c>
      <c r="CG130" t="str">
        <f>""</f>
        <v/>
      </c>
      <c r="CH130" t="str">
        <f>""</f>
        <v/>
      </c>
    </row>
    <row r="131" spans="1:86" x14ac:dyDescent="0.25">
      <c r="A131" t="s">
        <v>3545</v>
      </c>
      <c r="B131" t="s">
        <v>3546</v>
      </c>
      <c r="C131" t="s">
        <v>1992</v>
      </c>
      <c r="D131" t="s">
        <v>2028</v>
      </c>
      <c r="E131" t="s">
        <v>3547</v>
      </c>
      <c r="F131" t="s">
        <v>3548</v>
      </c>
      <c r="H131" t="s">
        <v>3502</v>
      </c>
      <c r="I131" t="s">
        <v>2061</v>
      </c>
      <c r="J131" t="str">
        <f>"91711"</f>
        <v>91711</v>
      </c>
      <c r="K131" t="s">
        <v>1998</v>
      </c>
      <c r="L131" t="s">
        <v>2045</v>
      </c>
      <c r="M131" t="s">
        <v>2063</v>
      </c>
      <c r="N131" t="s">
        <v>1992</v>
      </c>
      <c r="O131" t="s">
        <v>1992</v>
      </c>
      <c r="P131" t="s">
        <v>1991</v>
      </c>
      <c r="Q131" t="s">
        <v>1992</v>
      </c>
      <c r="R131" t="s">
        <v>1992</v>
      </c>
      <c r="S131" t="s">
        <v>1992</v>
      </c>
      <c r="T131" t="s">
        <v>1992</v>
      </c>
      <c r="U131" t="s">
        <v>1992</v>
      </c>
      <c r="V131" t="s">
        <v>1991</v>
      </c>
      <c r="W131" t="s">
        <v>1992</v>
      </c>
      <c r="X131" t="s">
        <v>1991</v>
      </c>
      <c r="Y131" t="s">
        <v>1991</v>
      </c>
      <c r="Z131" t="s">
        <v>1992</v>
      </c>
      <c r="AA131" t="s">
        <v>1992</v>
      </c>
      <c r="AF131" t="s">
        <v>2064</v>
      </c>
      <c r="AG131" t="s">
        <v>1991</v>
      </c>
      <c r="AH131">
        <v>30</v>
      </c>
      <c r="AI131">
        <v>30</v>
      </c>
      <c r="AJ131" t="s">
        <v>3549</v>
      </c>
      <c r="AK131">
        <v>1156</v>
      </c>
      <c r="AL131">
        <v>110000</v>
      </c>
      <c r="AM131" t="s">
        <v>2298</v>
      </c>
      <c r="AN131" t="s">
        <v>1053</v>
      </c>
      <c r="AO131" t="s">
        <v>1053</v>
      </c>
      <c r="BF131" t="s">
        <v>1053</v>
      </c>
      <c r="BG131" t="s">
        <v>309</v>
      </c>
      <c r="BH131" t="s">
        <v>2301</v>
      </c>
      <c r="BI131" t="s">
        <v>1053</v>
      </c>
      <c r="BK131" t="s">
        <v>1053</v>
      </c>
      <c r="BO131" t="s">
        <v>1053</v>
      </c>
      <c r="BP131" t="s">
        <v>310</v>
      </c>
      <c r="BQ131" t="s">
        <v>311</v>
      </c>
      <c r="BR131" t="s">
        <v>1053</v>
      </c>
      <c r="BS131" t="s">
        <v>1053</v>
      </c>
      <c r="BT131" t="s">
        <v>1053</v>
      </c>
      <c r="BU131" t="s">
        <v>1053</v>
      </c>
      <c r="BX131" t="str">
        <f>""</f>
        <v/>
      </c>
      <c r="BY131" t="str">
        <f>""</f>
        <v/>
      </c>
      <c r="BZ131" t="str">
        <f>""</f>
        <v/>
      </c>
      <c r="CA131" t="str">
        <f>""</f>
        <v/>
      </c>
      <c r="CB131" t="str">
        <f>""</f>
        <v/>
      </c>
      <c r="CC131" t="str">
        <f>""</f>
        <v/>
      </c>
      <c r="CD131" t="str">
        <f>"SMTWTFS 0000-2359"</f>
        <v>SMTWTFS 0000-2359</v>
      </c>
      <c r="CE131" t="str">
        <f>""</f>
        <v/>
      </c>
      <c r="CF131" t="str">
        <f>""</f>
        <v/>
      </c>
      <c r="CG131" t="str">
        <f>""</f>
        <v/>
      </c>
      <c r="CH131" t="str">
        <f>""</f>
        <v/>
      </c>
    </row>
    <row r="132" spans="1:86" x14ac:dyDescent="0.25">
      <c r="A132" t="s">
        <v>3550</v>
      </c>
      <c r="B132" t="s">
        <v>3551</v>
      </c>
      <c r="D132" t="s">
        <v>2089</v>
      </c>
      <c r="E132" t="s">
        <v>3552</v>
      </c>
      <c r="H132" t="s">
        <v>3553</v>
      </c>
      <c r="I132" t="s">
        <v>592</v>
      </c>
      <c r="J132" t="str">
        <f>"06413"</f>
        <v>06413</v>
      </c>
      <c r="K132" t="s">
        <v>1998</v>
      </c>
      <c r="L132" t="s">
        <v>717</v>
      </c>
      <c r="M132" t="s">
        <v>718</v>
      </c>
      <c r="O132" t="s">
        <v>1992</v>
      </c>
      <c r="AF132" t="s">
        <v>2016</v>
      </c>
      <c r="AG132" t="s">
        <v>1991</v>
      </c>
      <c r="AJ132" t="s">
        <v>2090</v>
      </c>
      <c r="AM132" t="s">
        <v>719</v>
      </c>
      <c r="BX132" t="str">
        <f>""</f>
        <v/>
      </c>
      <c r="BY132" t="str">
        <f>""</f>
        <v/>
      </c>
      <c r="BZ132" t="str">
        <f>""</f>
        <v/>
      </c>
      <c r="CA132" t="str">
        <f>""</f>
        <v/>
      </c>
      <c r="CB132" t="str">
        <f>""</f>
        <v/>
      </c>
      <c r="CC132" t="str">
        <f>""</f>
        <v/>
      </c>
      <c r="CD132" t="str">
        <f>""</f>
        <v/>
      </c>
      <c r="CE132" t="str">
        <f>""</f>
        <v/>
      </c>
      <c r="CF132" t="str">
        <f>""</f>
        <v/>
      </c>
      <c r="CG132" t="str">
        <f>""</f>
        <v/>
      </c>
      <c r="CH132" t="str">
        <f>""</f>
        <v/>
      </c>
    </row>
    <row r="133" spans="1:86" x14ac:dyDescent="0.25">
      <c r="A133" t="s">
        <v>3554</v>
      </c>
      <c r="B133" t="s">
        <v>3555</v>
      </c>
      <c r="C133" t="s">
        <v>1992</v>
      </c>
      <c r="D133" t="s">
        <v>2331</v>
      </c>
      <c r="E133" t="s">
        <v>3556</v>
      </c>
      <c r="H133" t="s">
        <v>3557</v>
      </c>
      <c r="I133" t="s">
        <v>2405</v>
      </c>
      <c r="J133" t="str">
        <f>"22701"</f>
        <v>22701</v>
      </c>
      <c r="K133" t="s">
        <v>1998</v>
      </c>
      <c r="L133" t="s">
        <v>2015</v>
      </c>
      <c r="M133" t="s">
        <v>2000</v>
      </c>
      <c r="N133" t="s">
        <v>1992</v>
      </c>
      <c r="O133" t="s">
        <v>1992</v>
      </c>
      <c r="P133" t="s">
        <v>1992</v>
      </c>
      <c r="Q133" t="s">
        <v>1992</v>
      </c>
      <c r="R133" t="s">
        <v>1992</v>
      </c>
      <c r="S133" t="s">
        <v>1992</v>
      </c>
      <c r="T133" t="s">
        <v>1992</v>
      </c>
      <c r="U133" t="s">
        <v>1992</v>
      </c>
      <c r="V133" t="s">
        <v>1991</v>
      </c>
      <c r="W133" t="s">
        <v>1991</v>
      </c>
      <c r="X133" t="s">
        <v>1992</v>
      </c>
      <c r="Y133" t="s">
        <v>1992</v>
      </c>
      <c r="Z133" t="s">
        <v>1992</v>
      </c>
      <c r="AF133" t="s">
        <v>2016</v>
      </c>
      <c r="AG133" t="s">
        <v>1991</v>
      </c>
      <c r="AH133">
        <v>30</v>
      </c>
      <c r="AI133">
        <v>30</v>
      </c>
      <c r="AJ133" t="s">
        <v>3558</v>
      </c>
      <c r="AK133">
        <v>415</v>
      </c>
      <c r="AL133">
        <v>13011</v>
      </c>
      <c r="AM133" t="s">
        <v>3559</v>
      </c>
      <c r="AN133" t="s">
        <v>3560</v>
      </c>
      <c r="AO133" t="s">
        <v>2063</v>
      </c>
      <c r="BF133" t="s">
        <v>1053</v>
      </c>
      <c r="BG133" t="s">
        <v>2097</v>
      </c>
      <c r="BH133" t="s">
        <v>3481</v>
      </c>
      <c r="BI133" t="s">
        <v>1053</v>
      </c>
      <c r="BJ133" t="s">
        <v>1053</v>
      </c>
      <c r="BK133" t="s">
        <v>1053</v>
      </c>
      <c r="BL133" t="s">
        <v>1053</v>
      </c>
      <c r="BM133" t="s">
        <v>2343</v>
      </c>
      <c r="BN133" t="s">
        <v>2344</v>
      </c>
      <c r="BO133" t="s">
        <v>1053</v>
      </c>
      <c r="BP133" t="s">
        <v>366</v>
      </c>
      <c r="BQ133" t="s">
        <v>367</v>
      </c>
      <c r="BR133" t="s">
        <v>1053</v>
      </c>
      <c r="BS133" t="s">
        <v>1053</v>
      </c>
      <c r="BT133" t="s">
        <v>1053</v>
      </c>
      <c r="BU133" t="s">
        <v>1053</v>
      </c>
      <c r="BV133" t="s">
        <v>2347</v>
      </c>
      <c r="BX133" t="str">
        <f>"S-----S 0900-1700; -MTWTF- 0830-1700"</f>
        <v>S-----S 0900-1700; -MTWTF- 0830-1700</v>
      </c>
      <c r="BY133" t="str">
        <f>""</f>
        <v/>
      </c>
      <c r="BZ133" t="str">
        <f>""</f>
        <v/>
      </c>
      <c r="CA133" t="str">
        <f>""</f>
        <v/>
      </c>
      <c r="CB133" t="str">
        <f>""</f>
        <v/>
      </c>
      <c r="CC133" t="str">
        <f>""</f>
        <v/>
      </c>
      <c r="CD133" t="str">
        <f>""</f>
        <v/>
      </c>
      <c r="CE133" t="str">
        <f>""</f>
        <v/>
      </c>
      <c r="CF133" t="str">
        <f>""</f>
        <v/>
      </c>
      <c r="CG133" t="str">
        <f>""</f>
        <v/>
      </c>
      <c r="CH133" t="str">
        <f>""</f>
        <v/>
      </c>
    </row>
    <row r="134" spans="1:86" x14ac:dyDescent="0.25">
      <c r="A134" t="s">
        <v>3561</v>
      </c>
      <c r="B134" t="s">
        <v>3562</v>
      </c>
      <c r="C134" t="s">
        <v>1991</v>
      </c>
      <c r="D134" t="s">
        <v>2010</v>
      </c>
      <c r="E134" t="s">
        <v>3563</v>
      </c>
      <c r="H134" t="s">
        <v>3564</v>
      </c>
      <c r="I134" t="s">
        <v>700</v>
      </c>
      <c r="J134" t="str">
        <f>"28206"</f>
        <v>28206</v>
      </c>
      <c r="K134" t="s">
        <v>1998</v>
      </c>
      <c r="L134" t="s">
        <v>408</v>
      </c>
      <c r="M134" t="s">
        <v>3565</v>
      </c>
      <c r="N134" t="s">
        <v>1991</v>
      </c>
      <c r="O134" t="s">
        <v>1991</v>
      </c>
      <c r="P134" t="s">
        <v>1992</v>
      </c>
      <c r="Q134" t="s">
        <v>1991</v>
      </c>
      <c r="R134" t="s">
        <v>1991</v>
      </c>
      <c r="S134" t="s">
        <v>1992</v>
      </c>
      <c r="T134" t="s">
        <v>1992</v>
      </c>
      <c r="U134" t="s">
        <v>1991</v>
      </c>
      <c r="V134" t="s">
        <v>1991</v>
      </c>
      <c r="W134" t="s">
        <v>1991</v>
      </c>
      <c r="X134" t="s">
        <v>1992</v>
      </c>
      <c r="Y134" t="s">
        <v>1992</v>
      </c>
      <c r="Z134" t="s">
        <v>1992</v>
      </c>
      <c r="AA134" t="s">
        <v>1992</v>
      </c>
      <c r="AE134" t="s">
        <v>2047</v>
      </c>
      <c r="AF134" t="s">
        <v>2016</v>
      </c>
      <c r="AG134" t="s">
        <v>1991</v>
      </c>
      <c r="AH134">
        <v>60</v>
      </c>
      <c r="AI134">
        <v>60</v>
      </c>
      <c r="AJ134" t="s">
        <v>3566</v>
      </c>
      <c r="AK134">
        <v>707</v>
      </c>
      <c r="AL134">
        <v>630478</v>
      </c>
      <c r="AM134" t="s">
        <v>3567</v>
      </c>
      <c r="AN134" t="s">
        <v>1053</v>
      </c>
      <c r="AO134" t="s">
        <v>1053</v>
      </c>
      <c r="AP134" t="s">
        <v>2069</v>
      </c>
      <c r="AQ134" t="s">
        <v>1053</v>
      </c>
      <c r="AR134" t="s">
        <v>2069</v>
      </c>
      <c r="AS134" t="s">
        <v>3561</v>
      </c>
      <c r="AT134" t="s">
        <v>3568</v>
      </c>
      <c r="AU134" t="s">
        <v>1053</v>
      </c>
      <c r="AV134" t="s">
        <v>1053</v>
      </c>
      <c r="AW134" t="s">
        <v>2069</v>
      </c>
      <c r="AX134" t="s">
        <v>1053</v>
      </c>
      <c r="AY134" t="s">
        <v>2069</v>
      </c>
      <c r="AZ134" t="s">
        <v>3561</v>
      </c>
      <c r="BA134" t="s">
        <v>3568</v>
      </c>
      <c r="BB134" t="s">
        <v>1053</v>
      </c>
      <c r="BC134" t="s">
        <v>2069</v>
      </c>
      <c r="BD134" t="s">
        <v>1053</v>
      </c>
      <c r="BE134" t="s">
        <v>2069</v>
      </c>
      <c r="BF134" t="s">
        <v>1053</v>
      </c>
      <c r="BG134" t="s">
        <v>703</v>
      </c>
      <c r="BH134" t="s">
        <v>3569</v>
      </c>
      <c r="BI134" t="s">
        <v>1053</v>
      </c>
      <c r="BJ134" t="s">
        <v>1053</v>
      </c>
      <c r="BK134" t="s">
        <v>1053</v>
      </c>
      <c r="BL134" t="s">
        <v>1053</v>
      </c>
      <c r="BM134" t="s">
        <v>705</v>
      </c>
      <c r="BO134" t="s">
        <v>1053</v>
      </c>
      <c r="BP134" t="s">
        <v>2375</v>
      </c>
      <c r="BQ134" t="s">
        <v>427</v>
      </c>
      <c r="BR134" t="s">
        <v>1053</v>
      </c>
      <c r="BS134" t="s">
        <v>1053</v>
      </c>
      <c r="BT134" t="s">
        <v>1053</v>
      </c>
      <c r="BU134" t="s">
        <v>1053</v>
      </c>
      <c r="BV134" t="s">
        <v>416</v>
      </c>
      <c r="BW134" t="s">
        <v>417</v>
      </c>
      <c r="BX134" t="str">
        <f>"SMTWTFS 0000-2359"</f>
        <v>SMTWTFS 0000-2359</v>
      </c>
      <c r="BY134" t="str">
        <f>"SMTWTFS 0000-2359"</f>
        <v>SMTWTFS 0000-2359</v>
      </c>
      <c r="BZ134" t="str">
        <f>"SMTWTFS 0000-2359"</f>
        <v>SMTWTFS 0000-2359</v>
      </c>
      <c r="CA134" t="str">
        <f>"SMTWTFS 0000-2359"</f>
        <v>SMTWTFS 0000-2359</v>
      </c>
      <c r="CB134" t="str">
        <f>""</f>
        <v/>
      </c>
      <c r="CC134" t="str">
        <f>"SMTWTFS 0000-2359"</f>
        <v>SMTWTFS 0000-2359</v>
      </c>
      <c r="CD134" t="str">
        <f>""</f>
        <v/>
      </c>
      <c r="CE134" t="str">
        <f>""</f>
        <v/>
      </c>
      <c r="CF134" t="str">
        <f>"SMTWTFS 0000-2359"</f>
        <v>SMTWTFS 0000-2359</v>
      </c>
      <c r="CG134" t="str">
        <f>"SMTWTFS 0000-2359"</f>
        <v>SMTWTFS 0000-2359</v>
      </c>
      <c r="CH134" t="str">
        <f>"SMTWTFS 0000-2359"</f>
        <v>SMTWTFS 0000-2359</v>
      </c>
    </row>
    <row r="135" spans="1:86" x14ac:dyDescent="0.25">
      <c r="A135" t="s">
        <v>3570</v>
      </c>
      <c r="B135" t="s">
        <v>3571</v>
      </c>
      <c r="C135" t="s">
        <v>1992</v>
      </c>
      <c r="D135" t="s">
        <v>1993</v>
      </c>
      <c r="E135" t="s">
        <v>3572</v>
      </c>
      <c r="G135" t="s">
        <v>3573</v>
      </c>
      <c r="H135" t="s">
        <v>3574</v>
      </c>
      <c r="I135" t="s">
        <v>2061</v>
      </c>
      <c r="J135" t="str">
        <f>"95425"</f>
        <v>95425</v>
      </c>
      <c r="K135" t="s">
        <v>1998</v>
      </c>
      <c r="L135" t="s">
        <v>2062</v>
      </c>
      <c r="M135" t="s">
        <v>2063</v>
      </c>
      <c r="N135" t="s">
        <v>1992</v>
      </c>
      <c r="O135" t="s">
        <v>1992</v>
      </c>
      <c r="P135" t="s">
        <v>1992</v>
      </c>
      <c r="Q135" t="s">
        <v>1992</v>
      </c>
      <c r="R135" t="s">
        <v>1992</v>
      </c>
      <c r="S135" t="s">
        <v>1992</v>
      </c>
      <c r="T135" t="s">
        <v>1992</v>
      </c>
      <c r="U135" t="s">
        <v>1992</v>
      </c>
      <c r="V135" t="s">
        <v>1991</v>
      </c>
      <c r="W135" t="s">
        <v>1992</v>
      </c>
      <c r="X135" t="s">
        <v>1992</v>
      </c>
      <c r="Y135" t="s">
        <v>1991</v>
      </c>
      <c r="Z135" t="s">
        <v>1992</v>
      </c>
      <c r="AF135" t="s">
        <v>2064</v>
      </c>
      <c r="AG135" t="s">
        <v>1991</v>
      </c>
      <c r="AH135">
        <v>30</v>
      </c>
      <c r="AI135">
        <v>30</v>
      </c>
      <c r="AJ135" t="s">
        <v>3575</v>
      </c>
      <c r="AK135">
        <v>301</v>
      </c>
      <c r="AL135">
        <v>3989</v>
      </c>
      <c r="AM135" t="s">
        <v>2298</v>
      </c>
      <c r="AN135" t="s">
        <v>308</v>
      </c>
      <c r="AO135" t="s">
        <v>2063</v>
      </c>
      <c r="BF135" t="s">
        <v>1053</v>
      </c>
      <c r="BG135" t="s">
        <v>309</v>
      </c>
      <c r="BH135" t="s">
        <v>2301</v>
      </c>
      <c r="BI135" t="s">
        <v>1053</v>
      </c>
      <c r="BK135" t="s">
        <v>1053</v>
      </c>
      <c r="BO135" t="s">
        <v>1053</v>
      </c>
      <c r="BP135" t="s">
        <v>310</v>
      </c>
      <c r="BQ135" t="s">
        <v>311</v>
      </c>
      <c r="BR135" t="s">
        <v>1053</v>
      </c>
      <c r="BS135" t="s">
        <v>1053</v>
      </c>
      <c r="BT135" t="s">
        <v>1053</v>
      </c>
      <c r="BU135" t="s">
        <v>1053</v>
      </c>
      <c r="BX135" t="str">
        <f>""</f>
        <v/>
      </c>
      <c r="BY135" t="str">
        <f>""</f>
        <v/>
      </c>
      <c r="BZ135" t="str">
        <f>""</f>
        <v/>
      </c>
      <c r="CA135" t="str">
        <f>""</f>
        <v/>
      </c>
      <c r="CB135" t="str">
        <f>""</f>
        <v/>
      </c>
      <c r="CC135" t="str">
        <f>""</f>
        <v/>
      </c>
      <c r="CD135" t="str">
        <f>""</f>
        <v/>
      </c>
      <c r="CE135" t="str">
        <f>""</f>
        <v/>
      </c>
      <c r="CF135" t="str">
        <f>""</f>
        <v/>
      </c>
      <c r="CG135" t="str">
        <f>""</f>
        <v/>
      </c>
      <c r="CH135" t="str">
        <f>""</f>
        <v/>
      </c>
    </row>
    <row r="136" spans="1:86" x14ac:dyDescent="0.25">
      <c r="A136" t="s">
        <v>3576</v>
      </c>
      <c r="B136" t="s">
        <v>3577</v>
      </c>
      <c r="C136" t="s">
        <v>1992</v>
      </c>
      <c r="D136" t="s">
        <v>2331</v>
      </c>
      <c r="E136" t="s">
        <v>3578</v>
      </c>
      <c r="H136" t="s">
        <v>3579</v>
      </c>
      <c r="I136" t="s">
        <v>2061</v>
      </c>
      <c r="J136" t="str">
        <f>"93010"</f>
        <v>93010</v>
      </c>
      <c r="K136" t="s">
        <v>1998</v>
      </c>
      <c r="L136" t="s">
        <v>2045</v>
      </c>
      <c r="M136" t="s">
        <v>2063</v>
      </c>
      <c r="N136" t="s">
        <v>1992</v>
      </c>
      <c r="O136" t="s">
        <v>1992</v>
      </c>
      <c r="P136" t="s">
        <v>1991</v>
      </c>
      <c r="Q136" t="s">
        <v>1992</v>
      </c>
      <c r="R136" t="s">
        <v>1992</v>
      </c>
      <c r="S136" t="s">
        <v>1992</v>
      </c>
      <c r="T136" t="s">
        <v>1992</v>
      </c>
      <c r="U136" t="s">
        <v>1992</v>
      </c>
      <c r="V136" t="s">
        <v>1991</v>
      </c>
      <c r="W136" t="s">
        <v>1991</v>
      </c>
      <c r="X136" t="s">
        <v>1991</v>
      </c>
      <c r="Y136" t="s">
        <v>1992</v>
      </c>
      <c r="Z136" t="s">
        <v>1992</v>
      </c>
      <c r="AA136" t="s">
        <v>1992</v>
      </c>
      <c r="AF136" t="s">
        <v>2064</v>
      </c>
      <c r="AG136" t="s">
        <v>1991</v>
      </c>
      <c r="AH136">
        <v>30</v>
      </c>
      <c r="AI136">
        <v>30</v>
      </c>
      <c r="AJ136" t="s">
        <v>3580</v>
      </c>
      <c r="AK136">
        <v>150</v>
      </c>
      <c r="AL136">
        <v>45000</v>
      </c>
      <c r="AN136" t="s">
        <v>2066</v>
      </c>
      <c r="AO136" t="s">
        <v>2063</v>
      </c>
      <c r="BF136" t="s">
        <v>1053</v>
      </c>
      <c r="BG136" t="s">
        <v>2067</v>
      </c>
      <c r="BH136" t="s">
        <v>851</v>
      </c>
      <c r="BI136" t="s">
        <v>1053</v>
      </c>
      <c r="BJ136" t="s">
        <v>2069</v>
      </c>
      <c r="BK136" t="s">
        <v>1053</v>
      </c>
      <c r="BL136" t="s">
        <v>2069</v>
      </c>
      <c r="BM136" t="s">
        <v>276</v>
      </c>
      <c r="BN136" t="s">
        <v>277</v>
      </c>
      <c r="BO136" t="s">
        <v>1053</v>
      </c>
      <c r="BP136" t="s">
        <v>2067</v>
      </c>
      <c r="BQ136" t="s">
        <v>275</v>
      </c>
      <c r="BR136" t="s">
        <v>1053</v>
      </c>
      <c r="BX136" t="str">
        <f>""</f>
        <v/>
      </c>
      <c r="BY136" t="str">
        <f>""</f>
        <v/>
      </c>
      <c r="BZ136" t="str">
        <f>""</f>
        <v/>
      </c>
      <c r="CA136" t="str">
        <f>""</f>
        <v/>
      </c>
      <c r="CB136" t="str">
        <f>""</f>
        <v/>
      </c>
      <c r="CC136" t="str">
        <f>""</f>
        <v/>
      </c>
      <c r="CD136" t="str">
        <f>"SMTWTFS 0000-2359"</f>
        <v>SMTWTFS 0000-2359</v>
      </c>
      <c r="CE136" t="str">
        <f>""</f>
        <v/>
      </c>
      <c r="CF136" t="str">
        <f>""</f>
        <v/>
      </c>
      <c r="CG136" t="str">
        <f>""</f>
        <v/>
      </c>
      <c r="CH136" t="str">
        <f>""</f>
        <v/>
      </c>
    </row>
    <row r="137" spans="1:86" x14ac:dyDescent="0.25">
      <c r="A137" t="s">
        <v>3581</v>
      </c>
      <c r="B137" t="s">
        <v>3582</v>
      </c>
      <c r="C137" t="s">
        <v>1992</v>
      </c>
      <c r="D137" t="s">
        <v>2028</v>
      </c>
      <c r="E137" t="s">
        <v>3583</v>
      </c>
      <c r="F137" t="s">
        <v>3584</v>
      </c>
      <c r="H137" t="s">
        <v>3585</v>
      </c>
      <c r="I137" t="s">
        <v>2295</v>
      </c>
      <c r="J137" t="str">
        <f>"97731"</f>
        <v>97731</v>
      </c>
      <c r="K137" t="s">
        <v>1998</v>
      </c>
      <c r="L137" t="s">
        <v>231</v>
      </c>
      <c r="M137" t="s">
        <v>2063</v>
      </c>
      <c r="N137" t="s">
        <v>1992</v>
      </c>
      <c r="O137" t="s">
        <v>1992</v>
      </c>
      <c r="P137" t="s">
        <v>1992</v>
      </c>
      <c r="Q137" t="s">
        <v>1992</v>
      </c>
      <c r="R137" t="s">
        <v>1992</v>
      </c>
      <c r="S137" t="s">
        <v>1992</v>
      </c>
      <c r="T137" t="s">
        <v>1992</v>
      </c>
      <c r="U137" t="s">
        <v>1992</v>
      </c>
      <c r="V137" t="s">
        <v>1991</v>
      </c>
      <c r="W137" t="s">
        <v>1991</v>
      </c>
      <c r="X137" t="s">
        <v>1992</v>
      </c>
      <c r="Y137" t="s">
        <v>1992</v>
      </c>
      <c r="Z137" t="s">
        <v>1991</v>
      </c>
      <c r="AA137" t="s">
        <v>1992</v>
      </c>
      <c r="AF137" t="s">
        <v>2064</v>
      </c>
      <c r="AG137" t="s">
        <v>1991</v>
      </c>
      <c r="AH137">
        <v>30</v>
      </c>
      <c r="AI137">
        <v>30</v>
      </c>
      <c r="AJ137" t="s">
        <v>3586</v>
      </c>
      <c r="AK137">
        <v>4764</v>
      </c>
      <c r="AL137">
        <v>437</v>
      </c>
      <c r="AM137" t="s">
        <v>2298</v>
      </c>
      <c r="AN137" t="s">
        <v>2066</v>
      </c>
      <c r="AO137" t="s">
        <v>2063</v>
      </c>
      <c r="BF137" t="s">
        <v>1053</v>
      </c>
      <c r="BG137" t="s">
        <v>349</v>
      </c>
      <c r="BH137" t="s">
        <v>236</v>
      </c>
      <c r="BI137" t="s">
        <v>1053</v>
      </c>
      <c r="BJ137" t="s">
        <v>1053</v>
      </c>
      <c r="BK137" t="s">
        <v>1053</v>
      </c>
      <c r="BL137" t="s">
        <v>1053</v>
      </c>
      <c r="BM137" t="s">
        <v>237</v>
      </c>
      <c r="BN137" t="s">
        <v>238</v>
      </c>
      <c r="BO137" t="s">
        <v>1053</v>
      </c>
      <c r="BP137" t="s">
        <v>239</v>
      </c>
      <c r="BQ137" t="s">
        <v>240</v>
      </c>
      <c r="BR137" t="s">
        <v>1053</v>
      </c>
      <c r="BS137" t="s">
        <v>1053</v>
      </c>
      <c r="BT137" t="s">
        <v>1053</v>
      </c>
      <c r="BU137" t="s">
        <v>1053</v>
      </c>
      <c r="BV137" t="s">
        <v>241</v>
      </c>
      <c r="BW137" t="s">
        <v>242</v>
      </c>
      <c r="BX137" t="str">
        <f>""</f>
        <v/>
      </c>
      <c r="BY137" t="str">
        <f>""</f>
        <v/>
      </c>
      <c r="BZ137" t="str">
        <f>""</f>
        <v/>
      </c>
      <c r="CA137" t="str">
        <f>""</f>
        <v/>
      </c>
      <c r="CB137" t="str">
        <f>""</f>
        <v/>
      </c>
      <c r="CC137" t="str">
        <f>""</f>
        <v/>
      </c>
      <c r="CD137" t="str">
        <f>""</f>
        <v/>
      </c>
      <c r="CE137" t="str">
        <f>""</f>
        <v/>
      </c>
      <c r="CF137" t="str">
        <f>""</f>
        <v/>
      </c>
      <c r="CG137" t="str">
        <f>""</f>
        <v/>
      </c>
      <c r="CH137" t="str">
        <f>""</f>
        <v/>
      </c>
    </row>
    <row r="138" spans="1:86" x14ac:dyDescent="0.25">
      <c r="A138" t="s">
        <v>3587</v>
      </c>
      <c r="B138" t="s">
        <v>3588</v>
      </c>
      <c r="C138" t="s">
        <v>1992</v>
      </c>
      <c r="D138" t="s">
        <v>2010</v>
      </c>
      <c r="E138" t="s">
        <v>3589</v>
      </c>
      <c r="F138" t="s">
        <v>3590</v>
      </c>
      <c r="H138" t="s">
        <v>3591</v>
      </c>
      <c r="I138" t="s">
        <v>660</v>
      </c>
      <c r="J138" t="str">
        <f>"03301-5064"</f>
        <v>03301-5064</v>
      </c>
      <c r="K138" t="s">
        <v>1998</v>
      </c>
      <c r="L138" t="s">
        <v>2033</v>
      </c>
      <c r="M138" t="s">
        <v>2063</v>
      </c>
      <c r="N138" t="s">
        <v>1992</v>
      </c>
      <c r="O138" t="s">
        <v>1992</v>
      </c>
      <c r="P138" t="s">
        <v>1992</v>
      </c>
      <c r="Q138" t="s">
        <v>1992</v>
      </c>
      <c r="R138" t="s">
        <v>1992</v>
      </c>
      <c r="S138" t="s">
        <v>1992</v>
      </c>
      <c r="T138" t="s">
        <v>1992</v>
      </c>
      <c r="U138" t="s">
        <v>1992</v>
      </c>
      <c r="V138" t="s">
        <v>1991</v>
      </c>
      <c r="W138" t="s">
        <v>1992</v>
      </c>
      <c r="X138" t="s">
        <v>1992</v>
      </c>
      <c r="Y138" t="s">
        <v>1992</v>
      </c>
      <c r="Z138" t="s">
        <v>1991</v>
      </c>
      <c r="AA138" t="s">
        <v>1992</v>
      </c>
      <c r="AE138" t="s">
        <v>473</v>
      </c>
      <c r="AF138" t="s">
        <v>2016</v>
      </c>
      <c r="AG138" t="s">
        <v>1991</v>
      </c>
      <c r="AH138">
        <v>30</v>
      </c>
      <c r="AI138">
        <v>30</v>
      </c>
      <c r="AJ138" t="s">
        <v>3592</v>
      </c>
      <c r="AK138">
        <v>239</v>
      </c>
      <c r="AL138">
        <v>42970</v>
      </c>
      <c r="AM138" t="s">
        <v>3593</v>
      </c>
      <c r="AN138" t="s">
        <v>1053</v>
      </c>
      <c r="AO138" t="s">
        <v>1053</v>
      </c>
      <c r="BF138" t="s">
        <v>1053</v>
      </c>
      <c r="BG138" t="s">
        <v>3594</v>
      </c>
      <c r="BH138" t="s">
        <v>3594</v>
      </c>
      <c r="BI138" t="s">
        <v>1053</v>
      </c>
      <c r="BX138" t="str">
        <f>"SMTWTF- 0445-2200; ------S 0445-2000"</f>
        <v>SMTWTF- 0445-2200; ------S 0445-2000</v>
      </c>
      <c r="BY138" t="str">
        <f>""</f>
        <v/>
      </c>
      <c r="BZ138" t="str">
        <f>""</f>
        <v/>
      </c>
      <c r="CA138" t="str">
        <f>""</f>
        <v/>
      </c>
      <c r="CB138" t="str">
        <f>"SMTWTF- 0445-2200; ------S 0445-2000"</f>
        <v>SMTWTF- 0445-2200; ------S 0445-2000</v>
      </c>
      <c r="CC138" t="str">
        <f>""</f>
        <v/>
      </c>
      <c r="CD138" t="str">
        <f>""</f>
        <v/>
      </c>
      <c r="CE138" t="str">
        <f>""</f>
        <v/>
      </c>
      <c r="CF138" t="str">
        <f>""</f>
        <v/>
      </c>
      <c r="CG138" t="str">
        <f>""</f>
        <v/>
      </c>
      <c r="CH138" t="str">
        <f>""</f>
        <v/>
      </c>
    </row>
    <row r="139" spans="1:86" x14ac:dyDescent="0.25">
      <c r="A139" t="s">
        <v>3595</v>
      </c>
      <c r="B139" t="s">
        <v>3596</v>
      </c>
      <c r="C139" t="s">
        <v>1992</v>
      </c>
      <c r="D139" t="s">
        <v>2331</v>
      </c>
      <c r="E139" t="s">
        <v>3597</v>
      </c>
      <c r="F139" t="s">
        <v>3598</v>
      </c>
      <c r="H139" t="s">
        <v>3599</v>
      </c>
      <c r="I139" t="s">
        <v>2061</v>
      </c>
      <c r="J139" t="str">
        <f>"93219"</f>
        <v>93219</v>
      </c>
      <c r="K139" t="s">
        <v>1998</v>
      </c>
      <c r="L139" t="s">
        <v>2062</v>
      </c>
      <c r="M139" t="s">
        <v>2000</v>
      </c>
      <c r="N139" t="s">
        <v>1992</v>
      </c>
      <c r="O139" t="s">
        <v>1992</v>
      </c>
      <c r="P139" t="s">
        <v>1992</v>
      </c>
      <c r="Q139" t="s">
        <v>1992</v>
      </c>
      <c r="R139" t="s">
        <v>1992</v>
      </c>
      <c r="S139" t="s">
        <v>1992</v>
      </c>
      <c r="T139" t="s">
        <v>1992</v>
      </c>
      <c r="U139" t="s">
        <v>1992</v>
      </c>
      <c r="V139" t="s">
        <v>1991</v>
      </c>
      <c r="AF139" t="s">
        <v>2064</v>
      </c>
      <c r="AG139" t="s">
        <v>1991</v>
      </c>
      <c r="AH139">
        <v>30</v>
      </c>
      <c r="AI139">
        <v>30</v>
      </c>
      <c r="AJ139" t="s">
        <v>3600</v>
      </c>
      <c r="AK139">
        <v>213</v>
      </c>
      <c r="AM139" t="s">
        <v>3601</v>
      </c>
      <c r="BF139" t="s">
        <v>1053</v>
      </c>
      <c r="BG139" t="s">
        <v>2067</v>
      </c>
      <c r="BH139" t="s">
        <v>3602</v>
      </c>
      <c r="BI139" t="s">
        <v>1053</v>
      </c>
      <c r="BK139" t="s">
        <v>1053</v>
      </c>
      <c r="BM139" t="s">
        <v>2070</v>
      </c>
      <c r="BN139" t="s">
        <v>2071</v>
      </c>
      <c r="BO139" t="s">
        <v>1053</v>
      </c>
      <c r="BP139" t="s">
        <v>675</v>
      </c>
      <c r="BQ139" t="s">
        <v>3603</v>
      </c>
      <c r="BR139" t="s">
        <v>1053</v>
      </c>
      <c r="BS139" t="s">
        <v>1053</v>
      </c>
      <c r="BT139" t="s">
        <v>1053</v>
      </c>
      <c r="BU139" t="s">
        <v>1053</v>
      </c>
      <c r="BV139" t="s">
        <v>2074</v>
      </c>
      <c r="BX139" t="str">
        <f>""</f>
        <v/>
      </c>
      <c r="BY139" t="str">
        <f>""</f>
        <v/>
      </c>
      <c r="BZ139" t="str">
        <f>""</f>
        <v/>
      </c>
      <c r="CA139" t="str">
        <f>""</f>
        <v/>
      </c>
      <c r="CB139" t="str">
        <f>""</f>
        <v/>
      </c>
      <c r="CC139" t="str">
        <f>""</f>
        <v/>
      </c>
      <c r="CD139" t="str">
        <f>""</f>
        <v/>
      </c>
      <c r="CE139" t="str">
        <f>""</f>
        <v/>
      </c>
      <c r="CF139" t="str">
        <f>""</f>
        <v/>
      </c>
      <c r="CG139" t="str">
        <f>""</f>
        <v/>
      </c>
      <c r="CH139" t="str">
        <f>""</f>
        <v/>
      </c>
    </row>
    <row r="140" spans="1:86" x14ac:dyDescent="0.25">
      <c r="A140" t="s">
        <v>3604</v>
      </c>
      <c r="B140" t="s">
        <v>3605</v>
      </c>
      <c r="C140" t="s">
        <v>1992</v>
      </c>
      <c r="D140" t="s">
        <v>2010</v>
      </c>
      <c r="E140" t="s">
        <v>3606</v>
      </c>
      <c r="H140" t="s">
        <v>3607</v>
      </c>
      <c r="I140" t="s">
        <v>680</v>
      </c>
      <c r="J140" t="str">
        <f>"05735-7716"</f>
        <v>05735-7716</v>
      </c>
      <c r="K140" t="s">
        <v>1998</v>
      </c>
      <c r="L140" t="s">
        <v>2033</v>
      </c>
      <c r="M140" t="s">
        <v>2000</v>
      </c>
      <c r="N140" t="s">
        <v>1992</v>
      </c>
      <c r="O140" t="s">
        <v>1992</v>
      </c>
      <c r="P140" t="s">
        <v>1992</v>
      </c>
      <c r="Q140" t="s">
        <v>1992</v>
      </c>
      <c r="R140" t="s">
        <v>1992</v>
      </c>
      <c r="S140" t="s">
        <v>1992</v>
      </c>
      <c r="T140" t="s">
        <v>1992</v>
      </c>
      <c r="U140" t="s">
        <v>1992</v>
      </c>
      <c r="V140" t="s">
        <v>1991</v>
      </c>
      <c r="W140" t="s">
        <v>1991</v>
      </c>
      <c r="AF140" t="s">
        <v>2016</v>
      </c>
      <c r="AG140" t="s">
        <v>1991</v>
      </c>
      <c r="AH140">
        <v>30</v>
      </c>
      <c r="AI140">
        <v>30</v>
      </c>
      <c r="AJ140" t="s">
        <v>3608</v>
      </c>
      <c r="AK140">
        <v>425</v>
      </c>
      <c r="AM140" t="s">
        <v>3609</v>
      </c>
      <c r="AN140" t="s">
        <v>3610</v>
      </c>
      <c r="AO140" t="s">
        <v>1053</v>
      </c>
      <c r="AU140" t="s">
        <v>1053</v>
      </c>
      <c r="AV140" t="s">
        <v>1053</v>
      </c>
      <c r="AW140" t="s">
        <v>1053</v>
      </c>
      <c r="BF140" t="s">
        <v>1053</v>
      </c>
      <c r="BG140" t="s">
        <v>703</v>
      </c>
      <c r="BH140" t="s">
        <v>2318</v>
      </c>
      <c r="BI140" t="s">
        <v>1053</v>
      </c>
      <c r="BJ140" t="s">
        <v>1053</v>
      </c>
      <c r="BK140" t="s">
        <v>1053</v>
      </c>
      <c r="BL140" t="s">
        <v>1053</v>
      </c>
      <c r="BM140" t="s">
        <v>2324</v>
      </c>
      <c r="BO140" t="s">
        <v>1053</v>
      </c>
      <c r="BP140" t="s">
        <v>3611</v>
      </c>
      <c r="BQ140" t="s">
        <v>3612</v>
      </c>
      <c r="BR140" t="s">
        <v>1053</v>
      </c>
      <c r="BS140" t="s">
        <v>1053</v>
      </c>
      <c r="BX140" t="str">
        <f>"S-----S 1000-1200; -MTWTF- 0700-0900"</f>
        <v>S-----S 1000-1200; -MTWTF- 0700-0900</v>
      </c>
      <c r="BY140" t="str">
        <f>""</f>
        <v/>
      </c>
      <c r="BZ140" t="str">
        <f>""</f>
        <v/>
      </c>
      <c r="CA140" t="str">
        <f>""</f>
        <v/>
      </c>
      <c r="CB140" t="str">
        <f>""</f>
        <v/>
      </c>
      <c r="CC140" t="str">
        <f>""</f>
        <v/>
      </c>
      <c r="CD140" t="str">
        <f>""</f>
        <v/>
      </c>
      <c r="CE140" t="str">
        <f>""</f>
        <v/>
      </c>
      <c r="CF140" t="str">
        <f>""</f>
        <v/>
      </c>
      <c r="CG140" t="str">
        <f>""</f>
        <v/>
      </c>
      <c r="CH140" t="str">
        <f>""</f>
        <v/>
      </c>
    </row>
    <row r="141" spans="1:86" x14ac:dyDescent="0.25">
      <c r="A141" t="s">
        <v>3613</v>
      </c>
      <c r="B141" t="s">
        <v>3614</v>
      </c>
      <c r="C141" t="s">
        <v>1992</v>
      </c>
      <c r="D141" t="s">
        <v>2010</v>
      </c>
      <c r="E141" t="s">
        <v>3615</v>
      </c>
      <c r="F141" t="s">
        <v>3616</v>
      </c>
      <c r="H141" t="s">
        <v>3617</v>
      </c>
      <c r="I141" t="s">
        <v>2061</v>
      </c>
      <c r="J141" t="str">
        <f>"93212-2445"</f>
        <v>93212-2445</v>
      </c>
      <c r="K141" t="s">
        <v>1998</v>
      </c>
      <c r="L141" t="s">
        <v>2062</v>
      </c>
      <c r="M141" t="s">
        <v>2063</v>
      </c>
      <c r="N141" t="s">
        <v>1992</v>
      </c>
      <c r="O141" t="s">
        <v>1991</v>
      </c>
      <c r="P141" t="s">
        <v>1992</v>
      </c>
      <c r="Q141" t="s">
        <v>1992</v>
      </c>
      <c r="R141" t="s">
        <v>1992</v>
      </c>
      <c r="S141" t="s">
        <v>1992</v>
      </c>
      <c r="T141" t="s">
        <v>1992</v>
      </c>
      <c r="U141" t="s">
        <v>1992</v>
      </c>
      <c r="V141" t="s">
        <v>1991</v>
      </c>
      <c r="W141" t="s">
        <v>1991</v>
      </c>
      <c r="X141" t="s">
        <v>1992</v>
      </c>
      <c r="Y141" t="s">
        <v>1992</v>
      </c>
      <c r="Z141" t="s">
        <v>1992</v>
      </c>
      <c r="AA141" t="s">
        <v>1992</v>
      </c>
      <c r="AF141" t="s">
        <v>2064</v>
      </c>
      <c r="AG141" t="s">
        <v>1991</v>
      </c>
      <c r="AH141">
        <v>30</v>
      </c>
      <c r="AI141">
        <v>30</v>
      </c>
      <c r="AJ141" t="s">
        <v>3618</v>
      </c>
      <c r="AK141">
        <v>209</v>
      </c>
      <c r="AL141">
        <v>14458</v>
      </c>
      <c r="AN141" t="s">
        <v>2066</v>
      </c>
      <c r="AO141" t="s">
        <v>2063</v>
      </c>
      <c r="BF141" t="s">
        <v>1053</v>
      </c>
      <c r="BG141" t="s">
        <v>2067</v>
      </c>
      <c r="BH141" t="s">
        <v>2068</v>
      </c>
      <c r="BI141" t="s">
        <v>1053</v>
      </c>
      <c r="BJ141" t="s">
        <v>2069</v>
      </c>
      <c r="BK141" t="s">
        <v>1053</v>
      </c>
      <c r="BL141" t="s">
        <v>2069</v>
      </c>
      <c r="BM141" t="s">
        <v>2070</v>
      </c>
      <c r="BN141" t="s">
        <v>2071</v>
      </c>
      <c r="BO141" t="s">
        <v>1053</v>
      </c>
      <c r="BP141" t="s">
        <v>614</v>
      </c>
      <c r="BQ141" t="s">
        <v>2073</v>
      </c>
      <c r="BR141" t="s">
        <v>1053</v>
      </c>
      <c r="BS141" t="s">
        <v>1053</v>
      </c>
      <c r="BT141" t="s">
        <v>1053</v>
      </c>
      <c r="BU141" t="s">
        <v>1053</v>
      </c>
      <c r="BV141" t="s">
        <v>2074</v>
      </c>
      <c r="BX141" t="str">
        <f>"-MTWTF- 0800-1200 1300-1700"</f>
        <v>-MTWTF- 0800-1200 1300-1700</v>
      </c>
      <c r="BY141" t="str">
        <f>""</f>
        <v/>
      </c>
      <c r="BZ141" t="str">
        <f>""</f>
        <v/>
      </c>
      <c r="CA141" t="str">
        <f>""</f>
        <v/>
      </c>
      <c r="CB141" t="str">
        <f>""</f>
        <v/>
      </c>
      <c r="CC141" t="str">
        <f>"-MTWTF- 0800-1700"</f>
        <v>-MTWTF- 0800-1700</v>
      </c>
      <c r="CD141" t="str">
        <f>""</f>
        <v/>
      </c>
      <c r="CE141" t="str">
        <f>""</f>
        <v/>
      </c>
      <c r="CF141" t="str">
        <f>""</f>
        <v/>
      </c>
      <c r="CG141" t="str">
        <f>""</f>
        <v/>
      </c>
      <c r="CH141" t="str">
        <f>""</f>
        <v/>
      </c>
    </row>
    <row r="142" spans="1:86" x14ac:dyDescent="0.25">
      <c r="A142" t="s">
        <v>3619</v>
      </c>
      <c r="B142" t="s">
        <v>3620</v>
      </c>
      <c r="C142" t="s">
        <v>1992</v>
      </c>
      <c r="D142" t="s">
        <v>2028</v>
      </c>
      <c r="E142" t="s">
        <v>3621</v>
      </c>
      <c r="H142" t="s">
        <v>3622</v>
      </c>
      <c r="I142" t="s">
        <v>3623</v>
      </c>
      <c r="J142" t="str">
        <f>"47331"</f>
        <v>47331</v>
      </c>
      <c r="K142" t="s">
        <v>1998</v>
      </c>
      <c r="L142" t="s">
        <v>1999</v>
      </c>
      <c r="M142" t="s">
        <v>2063</v>
      </c>
      <c r="N142" t="s">
        <v>1992</v>
      </c>
      <c r="O142" t="s">
        <v>1992</v>
      </c>
      <c r="P142" t="s">
        <v>1992</v>
      </c>
      <c r="Q142" t="s">
        <v>1992</v>
      </c>
      <c r="R142" t="s">
        <v>1992</v>
      </c>
      <c r="S142" t="s">
        <v>1992</v>
      </c>
      <c r="T142" t="s">
        <v>1992</v>
      </c>
      <c r="U142" t="s">
        <v>1992</v>
      </c>
      <c r="V142" t="s">
        <v>1991</v>
      </c>
      <c r="W142" t="s">
        <v>1991</v>
      </c>
      <c r="X142" t="s">
        <v>1992</v>
      </c>
      <c r="Y142" t="s">
        <v>1992</v>
      </c>
      <c r="Z142" t="s">
        <v>1992</v>
      </c>
      <c r="AF142" t="s">
        <v>2016</v>
      </c>
      <c r="AG142" t="s">
        <v>1991</v>
      </c>
      <c r="AH142">
        <v>30</v>
      </c>
      <c r="AI142">
        <v>30</v>
      </c>
      <c r="AJ142" t="s">
        <v>3624</v>
      </c>
      <c r="AK142">
        <v>833</v>
      </c>
      <c r="AL142">
        <v>15550</v>
      </c>
      <c r="AN142" t="s">
        <v>425</v>
      </c>
      <c r="AO142" t="s">
        <v>2311</v>
      </c>
      <c r="BF142" t="s">
        <v>1053</v>
      </c>
      <c r="BG142" t="s">
        <v>2097</v>
      </c>
      <c r="BH142" t="s">
        <v>2312</v>
      </c>
      <c r="BI142" t="s">
        <v>1053</v>
      </c>
      <c r="BJ142" t="s">
        <v>2069</v>
      </c>
      <c r="BK142" t="s">
        <v>1053</v>
      </c>
      <c r="BL142" t="s">
        <v>2069</v>
      </c>
      <c r="BM142" t="s">
        <v>2313</v>
      </c>
      <c r="BN142" t="s">
        <v>2314</v>
      </c>
      <c r="BO142" t="s">
        <v>1053</v>
      </c>
      <c r="BP142" t="s">
        <v>2315</v>
      </c>
      <c r="BQ142" t="s">
        <v>2316</v>
      </c>
      <c r="BR142" t="s">
        <v>1053</v>
      </c>
      <c r="BT142" t="s">
        <v>1053</v>
      </c>
      <c r="BX142" t="str">
        <f>""</f>
        <v/>
      </c>
      <c r="BY142" t="str">
        <f>""</f>
        <v/>
      </c>
      <c r="BZ142" t="str">
        <f>""</f>
        <v/>
      </c>
      <c r="CA142" t="str">
        <f>""</f>
        <v/>
      </c>
      <c r="CB142" t="str">
        <f>""</f>
        <v/>
      </c>
      <c r="CC142" t="str">
        <f>""</f>
        <v/>
      </c>
      <c r="CD142" t="str">
        <f>""</f>
        <v/>
      </c>
      <c r="CE142" t="str">
        <f>""</f>
        <v/>
      </c>
      <c r="CF142" t="str">
        <f>""</f>
        <v/>
      </c>
      <c r="CG142" t="str">
        <f>""</f>
        <v/>
      </c>
      <c r="CH142" t="str">
        <f>""</f>
        <v/>
      </c>
    </row>
    <row r="143" spans="1:86" x14ac:dyDescent="0.25">
      <c r="A143" t="s">
        <v>3625</v>
      </c>
      <c r="B143" t="s">
        <v>3626</v>
      </c>
      <c r="C143" t="s">
        <v>1992</v>
      </c>
      <c r="D143" t="s">
        <v>2010</v>
      </c>
      <c r="E143" t="s">
        <v>3627</v>
      </c>
      <c r="F143" t="s">
        <v>743</v>
      </c>
      <c r="H143" t="s">
        <v>3628</v>
      </c>
      <c r="I143" t="s">
        <v>3629</v>
      </c>
      <c r="J143" t="str">
        <f>"80903"</f>
        <v>80903</v>
      </c>
      <c r="K143" t="s">
        <v>1998</v>
      </c>
      <c r="L143" t="s">
        <v>1999</v>
      </c>
      <c r="M143" t="s">
        <v>3630</v>
      </c>
      <c r="N143" t="s">
        <v>1992</v>
      </c>
      <c r="O143" t="s">
        <v>1992</v>
      </c>
      <c r="P143" t="s">
        <v>1992</v>
      </c>
      <c r="Q143" t="s">
        <v>1992</v>
      </c>
      <c r="R143" t="s">
        <v>1992</v>
      </c>
      <c r="S143" t="s">
        <v>1992</v>
      </c>
      <c r="T143" t="s">
        <v>1992</v>
      </c>
      <c r="U143" t="s">
        <v>1992</v>
      </c>
      <c r="V143" t="s">
        <v>1991</v>
      </c>
      <c r="W143" t="s">
        <v>1992</v>
      </c>
      <c r="X143" t="s">
        <v>1992</v>
      </c>
      <c r="Y143" t="s">
        <v>1991</v>
      </c>
      <c r="Z143" t="s">
        <v>1991</v>
      </c>
      <c r="AE143" t="s">
        <v>3631</v>
      </c>
      <c r="AF143" t="s">
        <v>2048</v>
      </c>
      <c r="AG143" t="s">
        <v>1991</v>
      </c>
      <c r="AH143">
        <v>30</v>
      </c>
      <c r="AI143">
        <v>30</v>
      </c>
      <c r="AJ143" t="s">
        <v>3632</v>
      </c>
      <c r="AK143">
        <v>6002</v>
      </c>
      <c r="AL143">
        <v>290500</v>
      </c>
      <c r="AM143" t="s">
        <v>2298</v>
      </c>
      <c r="AN143" t="s">
        <v>3633</v>
      </c>
      <c r="AO143" t="s">
        <v>2063</v>
      </c>
      <c r="BF143" t="s">
        <v>1053</v>
      </c>
      <c r="BG143" t="s">
        <v>3634</v>
      </c>
      <c r="BH143" t="s">
        <v>367</v>
      </c>
      <c r="BI143" t="s">
        <v>1053</v>
      </c>
      <c r="BJ143" t="s">
        <v>1053</v>
      </c>
      <c r="BO143" t="s">
        <v>1053</v>
      </c>
      <c r="BP143" t="s">
        <v>3635</v>
      </c>
      <c r="BQ143" t="s">
        <v>2055</v>
      </c>
      <c r="BR143" t="s">
        <v>1053</v>
      </c>
      <c r="BS143" t="s">
        <v>1053</v>
      </c>
      <c r="BV143" t="s">
        <v>2056</v>
      </c>
      <c r="BX143" t="str">
        <f>""</f>
        <v/>
      </c>
      <c r="BY143" t="str">
        <f>""</f>
        <v/>
      </c>
      <c r="BZ143" t="str">
        <f>""</f>
        <v/>
      </c>
      <c r="CA143" t="str">
        <f>""</f>
        <v/>
      </c>
      <c r="CB143" t="str">
        <f>""</f>
        <v/>
      </c>
      <c r="CC143" t="str">
        <f>""</f>
        <v/>
      </c>
      <c r="CD143" t="str">
        <f>""</f>
        <v/>
      </c>
      <c r="CE143" t="str">
        <f>""</f>
        <v/>
      </c>
      <c r="CF143" t="str">
        <f>""</f>
        <v/>
      </c>
      <c r="CG143" t="str">
        <f>""</f>
        <v/>
      </c>
      <c r="CH143" t="str">
        <f>""</f>
        <v/>
      </c>
    </row>
    <row r="144" spans="1:86" x14ac:dyDescent="0.25">
      <c r="A144" t="s">
        <v>3636</v>
      </c>
      <c r="B144" t="s">
        <v>3637</v>
      </c>
      <c r="C144" t="s">
        <v>1992</v>
      </c>
      <c r="D144" t="s">
        <v>2028</v>
      </c>
      <c r="E144" t="s">
        <v>3638</v>
      </c>
      <c r="H144" t="s">
        <v>3639</v>
      </c>
      <c r="I144" t="s">
        <v>2388</v>
      </c>
      <c r="J144" t="str">
        <f>"19320"</f>
        <v>19320</v>
      </c>
      <c r="K144" t="s">
        <v>1998</v>
      </c>
      <c r="L144" t="s">
        <v>2015</v>
      </c>
      <c r="M144" t="s">
        <v>2063</v>
      </c>
      <c r="N144" t="s">
        <v>1992</v>
      </c>
      <c r="O144" t="s">
        <v>1992</v>
      </c>
      <c r="P144" t="s">
        <v>1992</v>
      </c>
      <c r="Q144" t="s">
        <v>1992</v>
      </c>
      <c r="R144" t="s">
        <v>1992</v>
      </c>
      <c r="S144" t="s">
        <v>1992</v>
      </c>
      <c r="T144" t="s">
        <v>1992</v>
      </c>
      <c r="U144" t="s">
        <v>1992</v>
      </c>
      <c r="V144" t="s">
        <v>1991</v>
      </c>
      <c r="W144" t="s">
        <v>1991</v>
      </c>
      <c r="X144" t="s">
        <v>1992</v>
      </c>
      <c r="Y144" t="s">
        <v>1992</v>
      </c>
      <c r="Z144" t="s">
        <v>1992</v>
      </c>
      <c r="AF144" t="s">
        <v>2016</v>
      </c>
      <c r="AG144" t="s">
        <v>1991</v>
      </c>
      <c r="AH144">
        <v>30</v>
      </c>
      <c r="AI144">
        <v>30</v>
      </c>
      <c r="AJ144" t="s">
        <v>3640</v>
      </c>
      <c r="AK144">
        <v>368</v>
      </c>
      <c r="AL144">
        <v>11631</v>
      </c>
      <c r="AN144" t="s">
        <v>2066</v>
      </c>
      <c r="AO144" t="s">
        <v>2063</v>
      </c>
      <c r="BF144" t="s">
        <v>1053</v>
      </c>
      <c r="BG144" t="s">
        <v>2393</v>
      </c>
      <c r="BH144" t="s">
        <v>3641</v>
      </c>
      <c r="BI144" t="s">
        <v>1053</v>
      </c>
      <c r="BJ144" t="s">
        <v>1053</v>
      </c>
      <c r="BK144" t="s">
        <v>1053</v>
      </c>
      <c r="BL144" t="s">
        <v>1053</v>
      </c>
      <c r="BM144" t="s">
        <v>3642</v>
      </c>
      <c r="BN144" t="s">
        <v>3643</v>
      </c>
      <c r="BO144" t="s">
        <v>1053</v>
      </c>
      <c r="BP144" t="s">
        <v>986</v>
      </c>
      <c r="BQ144" t="s">
        <v>318</v>
      </c>
      <c r="BR144" t="s">
        <v>1053</v>
      </c>
      <c r="BS144" t="s">
        <v>1053</v>
      </c>
      <c r="BT144" t="s">
        <v>1053</v>
      </c>
      <c r="BU144" t="s">
        <v>1053</v>
      </c>
      <c r="BV144" t="s">
        <v>319</v>
      </c>
      <c r="BW144" t="s">
        <v>226</v>
      </c>
      <c r="BX144" t="str">
        <f>""</f>
        <v/>
      </c>
      <c r="BY144" t="str">
        <f>""</f>
        <v/>
      </c>
      <c r="BZ144" t="str">
        <f>""</f>
        <v/>
      </c>
      <c r="CA144" t="str">
        <f>""</f>
        <v/>
      </c>
      <c r="CB144" t="str">
        <f>""</f>
        <v/>
      </c>
      <c r="CC144" t="str">
        <f>""</f>
        <v/>
      </c>
      <c r="CD144" t="str">
        <f>""</f>
        <v/>
      </c>
      <c r="CE144" t="str">
        <f>""</f>
        <v/>
      </c>
      <c r="CF144" t="str">
        <f>""</f>
        <v/>
      </c>
      <c r="CG144" t="str">
        <f>""</f>
        <v/>
      </c>
      <c r="CH144" t="str">
        <f>""</f>
        <v/>
      </c>
    </row>
    <row r="145" spans="1:86" x14ac:dyDescent="0.25">
      <c r="A145" t="s">
        <v>3644</v>
      </c>
      <c r="B145" t="s">
        <v>3645</v>
      </c>
      <c r="C145" t="s">
        <v>1992</v>
      </c>
      <c r="D145" t="s">
        <v>2028</v>
      </c>
      <c r="E145" t="s">
        <v>3646</v>
      </c>
      <c r="H145" t="s">
        <v>3647</v>
      </c>
      <c r="I145" t="s">
        <v>2388</v>
      </c>
      <c r="J145" t="str">
        <f>"15425"</f>
        <v>15425</v>
      </c>
      <c r="K145" t="s">
        <v>1998</v>
      </c>
      <c r="L145" t="s">
        <v>2015</v>
      </c>
      <c r="M145" t="s">
        <v>2063</v>
      </c>
      <c r="N145" t="s">
        <v>1992</v>
      </c>
      <c r="O145" t="s">
        <v>1992</v>
      </c>
      <c r="P145" t="s">
        <v>1992</v>
      </c>
      <c r="Q145" t="s">
        <v>1992</v>
      </c>
      <c r="R145" t="s">
        <v>1992</v>
      </c>
      <c r="S145" t="s">
        <v>1992</v>
      </c>
      <c r="T145" t="s">
        <v>1992</v>
      </c>
      <c r="U145" t="s">
        <v>1992</v>
      </c>
      <c r="V145" t="s">
        <v>1991</v>
      </c>
      <c r="W145" t="s">
        <v>1991</v>
      </c>
      <c r="X145" t="s">
        <v>1992</v>
      </c>
      <c r="Y145" t="s">
        <v>1992</v>
      </c>
      <c r="Z145" t="s">
        <v>1992</v>
      </c>
      <c r="AF145" t="s">
        <v>2016</v>
      </c>
      <c r="AG145" t="s">
        <v>1991</v>
      </c>
      <c r="AH145">
        <v>30</v>
      </c>
      <c r="AI145">
        <v>30</v>
      </c>
      <c r="AJ145" t="s">
        <v>3648</v>
      </c>
      <c r="AK145">
        <v>891</v>
      </c>
      <c r="AL145">
        <v>11000</v>
      </c>
      <c r="AN145" t="s">
        <v>425</v>
      </c>
      <c r="AO145" t="s">
        <v>2063</v>
      </c>
      <c r="BF145" t="s">
        <v>1053</v>
      </c>
      <c r="BG145" t="s">
        <v>2393</v>
      </c>
      <c r="BH145" t="s">
        <v>2394</v>
      </c>
      <c r="BI145" t="s">
        <v>1053</v>
      </c>
      <c r="BJ145" t="s">
        <v>1053</v>
      </c>
      <c r="BK145" t="s">
        <v>1053</v>
      </c>
      <c r="BL145" t="s">
        <v>1053</v>
      </c>
      <c r="BM145" t="s">
        <v>2395</v>
      </c>
      <c r="BN145" t="s">
        <v>2396</v>
      </c>
      <c r="BO145" t="s">
        <v>1053</v>
      </c>
      <c r="BP145" t="s">
        <v>2397</v>
      </c>
      <c r="BQ145" t="s">
        <v>2398</v>
      </c>
      <c r="BR145" t="s">
        <v>1053</v>
      </c>
      <c r="BS145" t="s">
        <v>1053</v>
      </c>
      <c r="BT145" t="s">
        <v>1053</v>
      </c>
      <c r="BU145" t="s">
        <v>1053</v>
      </c>
      <c r="BV145" t="s">
        <v>2399</v>
      </c>
      <c r="BW145" t="s">
        <v>2400</v>
      </c>
      <c r="BX145" t="str">
        <f>"SMTWTFS 0655-0755 2110-2210"</f>
        <v>SMTWTFS 0655-0755 2110-2210</v>
      </c>
      <c r="BY145" t="str">
        <f>""</f>
        <v/>
      </c>
      <c r="BZ145" t="str">
        <f>""</f>
        <v/>
      </c>
      <c r="CA145" t="str">
        <f>""</f>
        <v/>
      </c>
      <c r="CB145" t="str">
        <f>""</f>
        <v/>
      </c>
      <c r="CC145" t="str">
        <f>""</f>
        <v/>
      </c>
      <c r="CD145" t="str">
        <f>""</f>
        <v/>
      </c>
      <c r="CE145" t="str">
        <f>""</f>
        <v/>
      </c>
      <c r="CF145" t="str">
        <f>""</f>
        <v/>
      </c>
      <c r="CG145" t="str">
        <f>""</f>
        <v/>
      </c>
      <c r="CH145" t="str">
        <f>""</f>
        <v/>
      </c>
    </row>
    <row r="146" spans="1:86" x14ac:dyDescent="0.25">
      <c r="A146" t="s">
        <v>3649</v>
      </c>
      <c r="B146" t="s">
        <v>3650</v>
      </c>
      <c r="C146" t="s">
        <v>1992</v>
      </c>
      <c r="D146" t="s">
        <v>2331</v>
      </c>
      <c r="E146" t="s">
        <v>3651</v>
      </c>
      <c r="H146" t="s">
        <v>1004</v>
      </c>
      <c r="I146" t="s">
        <v>2061</v>
      </c>
      <c r="J146" t="str">
        <f>"95713"</f>
        <v>95713</v>
      </c>
      <c r="K146" t="s">
        <v>1998</v>
      </c>
      <c r="L146" t="s">
        <v>2062</v>
      </c>
      <c r="M146" t="s">
        <v>2063</v>
      </c>
      <c r="N146" t="s">
        <v>1992</v>
      </c>
      <c r="O146" t="s">
        <v>1992</v>
      </c>
      <c r="P146" t="s">
        <v>1992</v>
      </c>
      <c r="Q146" t="s">
        <v>1992</v>
      </c>
      <c r="R146" t="s">
        <v>1992</v>
      </c>
      <c r="S146" t="s">
        <v>1992</v>
      </c>
      <c r="T146" t="s">
        <v>1992</v>
      </c>
      <c r="U146" t="s">
        <v>1992</v>
      </c>
      <c r="V146" t="s">
        <v>1991</v>
      </c>
      <c r="W146" t="s">
        <v>1991</v>
      </c>
      <c r="X146" t="s">
        <v>1992</v>
      </c>
      <c r="Y146" t="s">
        <v>1991</v>
      </c>
      <c r="Z146" t="s">
        <v>1992</v>
      </c>
      <c r="AA146" t="s">
        <v>1992</v>
      </c>
      <c r="AF146" t="s">
        <v>2064</v>
      </c>
      <c r="AG146" t="s">
        <v>1991</v>
      </c>
      <c r="AH146">
        <v>30</v>
      </c>
      <c r="AI146">
        <v>30</v>
      </c>
      <c r="AJ146" t="s">
        <v>3652</v>
      </c>
      <c r="AK146">
        <v>2426</v>
      </c>
      <c r="AL146">
        <v>971</v>
      </c>
      <c r="AM146" t="s">
        <v>2298</v>
      </c>
      <c r="AN146" t="s">
        <v>2066</v>
      </c>
      <c r="AO146" t="s">
        <v>2063</v>
      </c>
      <c r="BF146" t="s">
        <v>1053</v>
      </c>
      <c r="BG146" t="s">
        <v>2067</v>
      </c>
      <c r="BH146" t="s">
        <v>348</v>
      </c>
      <c r="BI146" t="s">
        <v>1053</v>
      </c>
      <c r="BM146" t="s">
        <v>3653</v>
      </c>
      <c r="BN146" t="s">
        <v>3654</v>
      </c>
      <c r="BO146" t="s">
        <v>1053</v>
      </c>
      <c r="BP146" t="s">
        <v>3655</v>
      </c>
      <c r="BQ146" t="s">
        <v>2073</v>
      </c>
      <c r="BR146" t="s">
        <v>1053</v>
      </c>
      <c r="BS146" t="s">
        <v>1053</v>
      </c>
      <c r="BX146" t="str">
        <f>""</f>
        <v/>
      </c>
      <c r="BY146" t="str">
        <f>""</f>
        <v/>
      </c>
      <c r="BZ146" t="str">
        <f>""</f>
        <v/>
      </c>
      <c r="CA146" t="str">
        <f>""</f>
        <v/>
      </c>
      <c r="CB146" t="str">
        <f>""</f>
        <v/>
      </c>
      <c r="CC146" t="str">
        <f>""</f>
        <v/>
      </c>
      <c r="CD146" t="str">
        <f>""</f>
        <v/>
      </c>
      <c r="CE146" t="str">
        <f>""</f>
        <v/>
      </c>
      <c r="CF146" t="str">
        <f>""</f>
        <v/>
      </c>
      <c r="CG146" t="str">
        <f>""</f>
        <v/>
      </c>
      <c r="CH146" t="str">
        <f>""</f>
        <v/>
      </c>
    </row>
    <row r="147" spans="1:86" x14ac:dyDescent="0.25">
      <c r="A147" t="s">
        <v>3656</v>
      </c>
      <c r="B147" t="s">
        <v>3657</v>
      </c>
      <c r="D147" t="s">
        <v>2089</v>
      </c>
      <c r="E147" t="s">
        <v>3658</v>
      </c>
      <c r="F147" t="s">
        <v>497</v>
      </c>
      <c r="H147" t="s">
        <v>3659</v>
      </c>
      <c r="I147" t="s">
        <v>2014</v>
      </c>
      <c r="J147" t="str">
        <f>"20740"</f>
        <v>20740</v>
      </c>
      <c r="K147" t="s">
        <v>1998</v>
      </c>
      <c r="L147" t="s">
        <v>499</v>
      </c>
      <c r="M147" t="s">
        <v>500</v>
      </c>
      <c r="O147" t="s">
        <v>1992</v>
      </c>
      <c r="AF147" t="s">
        <v>2016</v>
      </c>
      <c r="AG147" t="s">
        <v>1991</v>
      </c>
      <c r="AJ147" t="s">
        <v>2090</v>
      </c>
      <c r="AM147" t="s">
        <v>501</v>
      </c>
      <c r="BX147" t="str">
        <f>""</f>
        <v/>
      </c>
      <c r="BY147" t="str">
        <f>""</f>
        <v/>
      </c>
      <c r="BZ147" t="str">
        <f>""</f>
        <v/>
      </c>
      <c r="CA147" t="str">
        <f>""</f>
        <v/>
      </c>
      <c r="CB147" t="str">
        <f>""</f>
        <v/>
      </c>
      <c r="CC147" t="str">
        <f>""</f>
        <v/>
      </c>
      <c r="CD147" t="str">
        <f>""</f>
        <v/>
      </c>
      <c r="CE147" t="str">
        <f>""</f>
        <v/>
      </c>
      <c r="CF147" t="str">
        <f>""</f>
        <v/>
      </c>
      <c r="CG147" t="str">
        <f>""</f>
        <v/>
      </c>
      <c r="CH147" t="str">
        <f>""</f>
        <v/>
      </c>
    </row>
    <row r="148" spans="1:86" x14ac:dyDescent="0.25">
      <c r="A148" t="s">
        <v>3660</v>
      </c>
      <c r="B148" t="s">
        <v>3661</v>
      </c>
      <c r="C148" t="s">
        <v>1992</v>
      </c>
      <c r="D148" t="s">
        <v>2028</v>
      </c>
      <c r="E148" t="s">
        <v>3792</v>
      </c>
      <c r="F148" t="s">
        <v>3793</v>
      </c>
      <c r="H148" t="s">
        <v>3794</v>
      </c>
      <c r="I148" t="s">
        <v>2061</v>
      </c>
      <c r="J148" t="str">
        <f>"93013"</f>
        <v>93013</v>
      </c>
      <c r="K148" t="s">
        <v>1998</v>
      </c>
      <c r="L148" t="s">
        <v>2045</v>
      </c>
      <c r="M148" t="s">
        <v>2063</v>
      </c>
      <c r="N148" t="s">
        <v>1992</v>
      </c>
      <c r="O148" t="s">
        <v>1992</v>
      </c>
      <c r="P148" t="s">
        <v>1991</v>
      </c>
      <c r="Q148" t="s">
        <v>1992</v>
      </c>
      <c r="R148" t="s">
        <v>1992</v>
      </c>
      <c r="S148" t="s">
        <v>1992</v>
      </c>
      <c r="T148" t="s">
        <v>1992</v>
      </c>
      <c r="U148" t="s">
        <v>1992</v>
      </c>
      <c r="V148" t="s">
        <v>1991</v>
      </c>
      <c r="W148" t="s">
        <v>1991</v>
      </c>
      <c r="X148" t="s">
        <v>1992</v>
      </c>
      <c r="Y148" t="s">
        <v>1991</v>
      </c>
      <c r="Z148" t="s">
        <v>1992</v>
      </c>
      <c r="AA148" t="s">
        <v>1992</v>
      </c>
      <c r="AF148" t="s">
        <v>2064</v>
      </c>
      <c r="AG148" t="s">
        <v>1991</v>
      </c>
      <c r="AH148">
        <v>30</v>
      </c>
      <c r="AI148">
        <v>30</v>
      </c>
      <c r="AJ148" t="s">
        <v>3795</v>
      </c>
      <c r="AK148">
        <v>20</v>
      </c>
      <c r="AL148">
        <v>14600</v>
      </c>
      <c r="AM148" t="s">
        <v>2298</v>
      </c>
      <c r="AN148" t="s">
        <v>2066</v>
      </c>
      <c r="AO148" t="s">
        <v>2063</v>
      </c>
      <c r="BF148" t="s">
        <v>1053</v>
      </c>
      <c r="BG148" t="s">
        <v>2067</v>
      </c>
      <c r="BH148" t="s">
        <v>275</v>
      </c>
      <c r="BI148" t="s">
        <v>1053</v>
      </c>
      <c r="BJ148" t="s">
        <v>2069</v>
      </c>
      <c r="BK148" t="s">
        <v>1053</v>
      </c>
      <c r="BL148" t="s">
        <v>2069</v>
      </c>
      <c r="BM148" t="s">
        <v>276</v>
      </c>
      <c r="BN148" t="s">
        <v>277</v>
      </c>
      <c r="BO148" t="s">
        <v>1053</v>
      </c>
      <c r="BP148" t="s">
        <v>2067</v>
      </c>
      <c r="BQ148" t="s">
        <v>275</v>
      </c>
      <c r="BR148" t="s">
        <v>1053</v>
      </c>
      <c r="BX148" t="str">
        <f>""</f>
        <v/>
      </c>
      <c r="BY148" t="str">
        <f>""</f>
        <v/>
      </c>
      <c r="BZ148" t="str">
        <f>""</f>
        <v/>
      </c>
      <c r="CA148" t="str">
        <f>""</f>
        <v/>
      </c>
      <c r="CB148" t="str">
        <f>""</f>
        <v/>
      </c>
      <c r="CC148" t="str">
        <f>""</f>
        <v/>
      </c>
      <c r="CD148" t="str">
        <f>"SMTWTFS 0000-2359"</f>
        <v>SMTWTFS 0000-2359</v>
      </c>
      <c r="CE148" t="str">
        <f>""</f>
        <v/>
      </c>
      <c r="CF148" t="str">
        <f>""</f>
        <v/>
      </c>
      <c r="CG148" t="str">
        <f>""</f>
        <v/>
      </c>
      <c r="CH148" t="str">
        <f>""</f>
        <v/>
      </c>
    </row>
    <row r="149" spans="1:86" x14ac:dyDescent="0.25">
      <c r="A149" t="s">
        <v>3796</v>
      </c>
      <c r="B149" t="s">
        <v>3797</v>
      </c>
      <c r="C149" t="s">
        <v>1992</v>
      </c>
      <c r="D149" t="s">
        <v>1993</v>
      </c>
      <c r="E149" t="s">
        <v>3798</v>
      </c>
      <c r="F149" t="s">
        <v>3799</v>
      </c>
      <c r="H149" t="s">
        <v>3800</v>
      </c>
      <c r="I149" t="s">
        <v>2061</v>
      </c>
      <c r="J149" t="str">
        <f>"95531"</f>
        <v>95531</v>
      </c>
      <c r="K149" t="s">
        <v>1998</v>
      </c>
      <c r="L149" t="s">
        <v>2062</v>
      </c>
      <c r="M149" t="s">
        <v>2000</v>
      </c>
      <c r="N149" t="s">
        <v>1992</v>
      </c>
      <c r="O149" t="s">
        <v>1992</v>
      </c>
      <c r="P149" t="s">
        <v>1992</v>
      </c>
      <c r="Q149" t="s">
        <v>1992</v>
      </c>
      <c r="R149" t="s">
        <v>1992</v>
      </c>
      <c r="S149" t="s">
        <v>1992</v>
      </c>
      <c r="T149" t="s">
        <v>1992</v>
      </c>
      <c r="U149" t="s">
        <v>1992</v>
      </c>
      <c r="V149" t="s">
        <v>1991</v>
      </c>
      <c r="W149" t="s">
        <v>1992</v>
      </c>
      <c r="X149" t="s">
        <v>1992</v>
      </c>
      <c r="Y149" t="s">
        <v>1992</v>
      </c>
      <c r="Z149" t="s">
        <v>1991</v>
      </c>
      <c r="AA149" t="s">
        <v>1991</v>
      </c>
      <c r="AF149" t="s">
        <v>2064</v>
      </c>
      <c r="AG149" t="s">
        <v>1991</v>
      </c>
      <c r="AH149">
        <v>15</v>
      </c>
      <c r="AI149">
        <v>15</v>
      </c>
      <c r="AJ149" t="s">
        <v>3801</v>
      </c>
      <c r="AK149">
        <v>1</v>
      </c>
      <c r="BX149" t="str">
        <f>""</f>
        <v/>
      </c>
      <c r="BY149" t="str">
        <f>""</f>
        <v/>
      </c>
      <c r="BZ149" t="str">
        <f>""</f>
        <v/>
      </c>
      <c r="CA149" t="str">
        <f>""</f>
        <v/>
      </c>
      <c r="CB149" t="str">
        <f>""</f>
        <v/>
      </c>
      <c r="CC149" t="str">
        <f>""</f>
        <v/>
      </c>
      <c r="CD149" t="str">
        <f>""</f>
        <v/>
      </c>
      <c r="CE149" t="str">
        <f>""</f>
        <v/>
      </c>
      <c r="CF149" t="str">
        <f>""</f>
        <v/>
      </c>
      <c r="CG149" t="str">
        <f>""</f>
        <v/>
      </c>
      <c r="CH149" t="str">
        <f>""</f>
        <v/>
      </c>
    </row>
    <row r="150" spans="1:86" x14ac:dyDescent="0.25">
      <c r="A150" t="s">
        <v>3802</v>
      </c>
      <c r="B150" t="s">
        <v>3803</v>
      </c>
      <c r="C150" t="s">
        <v>1992</v>
      </c>
      <c r="D150" t="s">
        <v>2028</v>
      </c>
      <c r="E150" t="s">
        <v>3804</v>
      </c>
      <c r="H150" t="s">
        <v>3805</v>
      </c>
      <c r="I150" t="s">
        <v>3623</v>
      </c>
      <c r="J150" t="str">
        <f>"47933"</f>
        <v>47933</v>
      </c>
      <c r="K150" t="s">
        <v>1998</v>
      </c>
      <c r="L150" t="s">
        <v>1999</v>
      </c>
      <c r="M150" t="s">
        <v>2063</v>
      </c>
      <c r="N150" t="s">
        <v>1992</v>
      </c>
      <c r="O150" t="s">
        <v>1992</v>
      </c>
      <c r="P150" t="s">
        <v>1992</v>
      </c>
      <c r="Q150" t="s">
        <v>1992</v>
      </c>
      <c r="R150" t="s">
        <v>1992</v>
      </c>
      <c r="S150" t="s">
        <v>1992</v>
      </c>
      <c r="T150" t="s">
        <v>1992</v>
      </c>
      <c r="U150" t="s">
        <v>1992</v>
      </c>
      <c r="V150" t="s">
        <v>1991</v>
      </c>
      <c r="W150" t="s">
        <v>1991</v>
      </c>
      <c r="X150" t="s">
        <v>1992</v>
      </c>
      <c r="Y150" t="s">
        <v>1992</v>
      </c>
      <c r="Z150" t="s">
        <v>1992</v>
      </c>
      <c r="AA150" t="s">
        <v>1992</v>
      </c>
      <c r="AB150" t="s">
        <v>3806</v>
      </c>
      <c r="AF150" t="s">
        <v>2016</v>
      </c>
      <c r="AG150" t="s">
        <v>1991</v>
      </c>
      <c r="AH150">
        <v>30</v>
      </c>
      <c r="AI150">
        <v>30</v>
      </c>
      <c r="AJ150" t="s">
        <v>3807</v>
      </c>
      <c r="AK150">
        <v>743</v>
      </c>
      <c r="AL150">
        <v>15243</v>
      </c>
      <c r="AN150" t="s">
        <v>2066</v>
      </c>
      <c r="AO150" t="s">
        <v>2311</v>
      </c>
      <c r="BF150" t="s">
        <v>1053</v>
      </c>
      <c r="BG150" t="s">
        <v>2097</v>
      </c>
      <c r="BH150" t="s">
        <v>2312</v>
      </c>
      <c r="BI150" t="s">
        <v>1053</v>
      </c>
      <c r="BJ150" t="s">
        <v>2069</v>
      </c>
      <c r="BK150" t="s">
        <v>1053</v>
      </c>
      <c r="BL150" t="s">
        <v>2069</v>
      </c>
      <c r="BM150" t="s">
        <v>2313</v>
      </c>
      <c r="BN150" t="s">
        <v>2314</v>
      </c>
      <c r="BO150" t="s">
        <v>1053</v>
      </c>
      <c r="BP150" t="s">
        <v>2315</v>
      </c>
      <c r="BQ150" t="s">
        <v>2316</v>
      </c>
      <c r="BR150" t="s">
        <v>1053</v>
      </c>
      <c r="BT150" t="s">
        <v>1053</v>
      </c>
      <c r="BX150" t="str">
        <f>""</f>
        <v/>
      </c>
      <c r="BY150" t="str">
        <f>""</f>
        <v/>
      </c>
      <c r="BZ150" t="str">
        <f>""</f>
        <v/>
      </c>
      <c r="CA150" t="str">
        <f>""</f>
        <v/>
      </c>
      <c r="CB150" t="str">
        <f>""</f>
        <v/>
      </c>
      <c r="CC150" t="str">
        <f>""</f>
        <v/>
      </c>
      <c r="CD150" t="str">
        <f>""</f>
        <v/>
      </c>
      <c r="CE150" t="str">
        <f>""</f>
        <v/>
      </c>
      <c r="CF150" t="str">
        <f>""</f>
        <v/>
      </c>
      <c r="CG150" t="str">
        <f>""</f>
        <v/>
      </c>
      <c r="CH150" t="str">
        <f>""</f>
        <v/>
      </c>
    </row>
    <row r="151" spans="1:86" x14ac:dyDescent="0.25">
      <c r="A151" t="s">
        <v>3808</v>
      </c>
      <c r="B151" t="s">
        <v>3809</v>
      </c>
      <c r="C151" t="s">
        <v>1992</v>
      </c>
      <c r="D151" t="s">
        <v>2010</v>
      </c>
      <c r="E151" t="s">
        <v>3810</v>
      </c>
      <c r="F151" t="s">
        <v>2030</v>
      </c>
      <c r="H151" t="s">
        <v>3811</v>
      </c>
      <c r="I151" t="s">
        <v>2032</v>
      </c>
      <c r="J151" t="str">
        <f>"08002"</f>
        <v>08002</v>
      </c>
      <c r="K151" t="s">
        <v>1998</v>
      </c>
      <c r="L151" t="s">
        <v>2033</v>
      </c>
      <c r="M151" t="s">
        <v>2034</v>
      </c>
      <c r="N151" t="s">
        <v>1992</v>
      </c>
      <c r="O151" t="s">
        <v>1992</v>
      </c>
      <c r="P151" t="s">
        <v>1992</v>
      </c>
      <c r="Q151" t="s">
        <v>1992</v>
      </c>
      <c r="R151" t="s">
        <v>1992</v>
      </c>
      <c r="S151" t="s">
        <v>1992</v>
      </c>
      <c r="T151" t="s">
        <v>1992</v>
      </c>
      <c r="U151" t="s">
        <v>1992</v>
      </c>
      <c r="V151" t="s">
        <v>1991</v>
      </c>
      <c r="W151" t="s">
        <v>1992</v>
      </c>
      <c r="X151" t="s">
        <v>1991</v>
      </c>
      <c r="Y151" t="s">
        <v>1992</v>
      </c>
      <c r="Z151" t="s">
        <v>1992</v>
      </c>
      <c r="AF151" t="s">
        <v>2016</v>
      </c>
      <c r="AG151" t="s">
        <v>1991</v>
      </c>
      <c r="AH151">
        <v>30</v>
      </c>
      <c r="AI151">
        <v>30</v>
      </c>
      <c r="AJ151" t="s">
        <v>3812</v>
      </c>
      <c r="AK151">
        <v>23</v>
      </c>
      <c r="AL151">
        <v>13238</v>
      </c>
      <c r="AM151" t="s">
        <v>2036</v>
      </c>
      <c r="BX151" t="str">
        <f>""</f>
        <v/>
      </c>
      <c r="BY151" t="str">
        <f>""</f>
        <v/>
      </c>
      <c r="BZ151" t="str">
        <f>""</f>
        <v/>
      </c>
      <c r="CA151" t="str">
        <f>""</f>
        <v/>
      </c>
      <c r="CB151" t="str">
        <f>""</f>
        <v/>
      </c>
      <c r="CC151" t="str">
        <f>""</f>
        <v/>
      </c>
      <c r="CD151" t="str">
        <f>""</f>
        <v/>
      </c>
      <c r="CE151" t="str">
        <f>""</f>
        <v/>
      </c>
      <c r="CF151" t="str">
        <f>""</f>
        <v/>
      </c>
      <c r="CG151" t="str">
        <f>""</f>
        <v/>
      </c>
      <c r="CH151" t="str">
        <f>""</f>
        <v/>
      </c>
    </row>
    <row r="152" spans="1:86" x14ac:dyDescent="0.25">
      <c r="A152" t="s">
        <v>3813</v>
      </c>
      <c r="B152" t="s">
        <v>3814</v>
      </c>
      <c r="C152" t="s">
        <v>1992</v>
      </c>
      <c r="D152" t="s">
        <v>1993</v>
      </c>
      <c r="E152" t="s">
        <v>3815</v>
      </c>
      <c r="F152" t="s">
        <v>3816</v>
      </c>
      <c r="G152" t="s">
        <v>445</v>
      </c>
      <c r="H152" t="s">
        <v>3817</v>
      </c>
      <c r="I152" t="s">
        <v>2061</v>
      </c>
      <c r="J152" t="str">
        <f>"93923-8609"</f>
        <v>93923-8609</v>
      </c>
      <c r="K152" t="s">
        <v>1998</v>
      </c>
      <c r="L152" t="s">
        <v>2062</v>
      </c>
      <c r="M152" t="s">
        <v>2063</v>
      </c>
      <c r="N152" t="s">
        <v>1992</v>
      </c>
      <c r="O152" t="s">
        <v>1992</v>
      </c>
      <c r="P152" t="s">
        <v>1992</v>
      </c>
      <c r="Q152" t="s">
        <v>1992</v>
      </c>
      <c r="R152" t="s">
        <v>1992</v>
      </c>
      <c r="S152" t="s">
        <v>1992</v>
      </c>
      <c r="T152" t="s">
        <v>1992</v>
      </c>
      <c r="U152" t="s">
        <v>1992</v>
      </c>
      <c r="V152" t="s">
        <v>1991</v>
      </c>
      <c r="W152" t="s">
        <v>1992</v>
      </c>
      <c r="X152" t="s">
        <v>1992</v>
      </c>
      <c r="Y152" t="s">
        <v>1991</v>
      </c>
      <c r="Z152" t="s">
        <v>1991</v>
      </c>
      <c r="AF152" t="s">
        <v>2064</v>
      </c>
      <c r="AG152" t="s">
        <v>1991</v>
      </c>
      <c r="AH152">
        <v>30</v>
      </c>
      <c r="AI152">
        <v>30</v>
      </c>
      <c r="AJ152" t="s">
        <v>3818</v>
      </c>
      <c r="AK152">
        <v>34</v>
      </c>
      <c r="AL152">
        <v>3928</v>
      </c>
      <c r="AM152" t="s">
        <v>2298</v>
      </c>
      <c r="AN152" t="s">
        <v>3819</v>
      </c>
      <c r="AO152" t="s">
        <v>2063</v>
      </c>
      <c r="BF152" t="s">
        <v>1053</v>
      </c>
      <c r="BG152" t="s">
        <v>309</v>
      </c>
      <c r="BH152" t="s">
        <v>2301</v>
      </c>
      <c r="BI152" t="s">
        <v>1053</v>
      </c>
      <c r="BK152" t="s">
        <v>1053</v>
      </c>
      <c r="BO152" t="s">
        <v>1053</v>
      </c>
      <c r="BP152" t="s">
        <v>518</v>
      </c>
      <c r="BQ152" t="s">
        <v>3820</v>
      </c>
      <c r="BR152" t="s">
        <v>1053</v>
      </c>
      <c r="BT152" t="s">
        <v>1053</v>
      </c>
      <c r="BV152" t="s">
        <v>2070</v>
      </c>
      <c r="BX152" t="str">
        <f>""</f>
        <v/>
      </c>
      <c r="BY152" t="str">
        <f>""</f>
        <v/>
      </c>
      <c r="BZ152" t="str">
        <f>""</f>
        <v/>
      </c>
      <c r="CA152" t="str">
        <f>""</f>
        <v/>
      </c>
      <c r="CB152" t="str">
        <f>""</f>
        <v/>
      </c>
      <c r="CC152" t="str">
        <f>""</f>
        <v/>
      </c>
      <c r="CD152" t="str">
        <f>""</f>
        <v/>
      </c>
      <c r="CE152" t="str">
        <f>""</f>
        <v/>
      </c>
      <c r="CF152" t="str">
        <f>""</f>
        <v/>
      </c>
      <c r="CG152" t="str">
        <f>""</f>
        <v/>
      </c>
      <c r="CH152" t="str">
        <f>""</f>
        <v/>
      </c>
    </row>
    <row r="153" spans="1:86" x14ac:dyDescent="0.25">
      <c r="A153" t="s">
        <v>3821</v>
      </c>
      <c r="B153" t="s">
        <v>3822</v>
      </c>
      <c r="C153" t="s">
        <v>1992</v>
      </c>
      <c r="D153" t="s">
        <v>2028</v>
      </c>
      <c r="E153" t="s">
        <v>3823</v>
      </c>
      <c r="H153" t="s">
        <v>3824</v>
      </c>
      <c r="I153" t="s">
        <v>795</v>
      </c>
      <c r="J153" t="str">
        <f>"50891"</f>
        <v>50891</v>
      </c>
      <c r="K153" t="s">
        <v>1998</v>
      </c>
      <c r="L153" t="s">
        <v>1999</v>
      </c>
      <c r="M153" t="s">
        <v>2063</v>
      </c>
      <c r="N153" t="s">
        <v>1992</v>
      </c>
      <c r="O153" t="s">
        <v>1992</v>
      </c>
      <c r="P153" t="s">
        <v>1992</v>
      </c>
      <c r="Q153" t="s">
        <v>1992</v>
      </c>
      <c r="R153" t="s">
        <v>1992</v>
      </c>
      <c r="S153" t="s">
        <v>1992</v>
      </c>
      <c r="T153" t="s">
        <v>1992</v>
      </c>
      <c r="U153" t="s">
        <v>1992</v>
      </c>
      <c r="V153" t="s">
        <v>1991</v>
      </c>
      <c r="W153" t="s">
        <v>1991</v>
      </c>
      <c r="X153" t="s">
        <v>1992</v>
      </c>
      <c r="Y153" t="s">
        <v>1992</v>
      </c>
      <c r="Z153" t="s">
        <v>1992</v>
      </c>
      <c r="AF153" t="s">
        <v>2001</v>
      </c>
      <c r="AG153" t="s">
        <v>1991</v>
      </c>
      <c r="AH153">
        <v>30</v>
      </c>
      <c r="AI153">
        <v>30</v>
      </c>
      <c r="AJ153" t="s">
        <v>3825</v>
      </c>
      <c r="AK153">
        <v>1313</v>
      </c>
      <c r="AL153">
        <v>8234</v>
      </c>
      <c r="AN153" t="s">
        <v>2066</v>
      </c>
      <c r="BF153" t="s">
        <v>1053</v>
      </c>
      <c r="BG153" t="s">
        <v>2097</v>
      </c>
      <c r="BH153" t="s">
        <v>798</v>
      </c>
      <c r="BI153" t="s">
        <v>1053</v>
      </c>
      <c r="BK153" t="s">
        <v>1053</v>
      </c>
      <c r="BL153" t="s">
        <v>1053</v>
      </c>
      <c r="BO153" t="s">
        <v>1053</v>
      </c>
      <c r="BP153" t="s">
        <v>653</v>
      </c>
      <c r="BQ153" t="s">
        <v>2376</v>
      </c>
      <c r="BR153" t="s">
        <v>1053</v>
      </c>
      <c r="BX153" t="str">
        <f>"SMTWTFS 0000-0001"</f>
        <v>SMTWTFS 0000-0001</v>
      </c>
      <c r="BY153" t="str">
        <f>""</f>
        <v/>
      </c>
      <c r="BZ153" t="str">
        <f>""</f>
        <v/>
      </c>
      <c r="CA153" t="str">
        <f>""</f>
        <v/>
      </c>
      <c r="CB153" t="str">
        <f>""</f>
        <v/>
      </c>
      <c r="CC153" t="str">
        <f>""</f>
        <v/>
      </c>
      <c r="CD153" t="str">
        <f>""</f>
        <v/>
      </c>
      <c r="CE153" t="str">
        <f>""</f>
        <v/>
      </c>
      <c r="CF153" t="str">
        <f>""</f>
        <v/>
      </c>
      <c r="CG153" t="str">
        <f>""</f>
        <v/>
      </c>
      <c r="CH153" t="str">
        <f>""</f>
        <v/>
      </c>
    </row>
    <row r="154" spans="1:86" x14ac:dyDescent="0.25">
      <c r="A154" t="s">
        <v>3826</v>
      </c>
      <c r="B154" t="s">
        <v>3827</v>
      </c>
      <c r="C154" t="s">
        <v>1992</v>
      </c>
      <c r="D154" t="s">
        <v>2010</v>
      </c>
      <c r="E154" t="s">
        <v>3828</v>
      </c>
      <c r="H154" t="s">
        <v>3829</v>
      </c>
      <c r="I154" t="s">
        <v>2321</v>
      </c>
      <c r="J154" t="str">
        <f>"10520-3054"</f>
        <v>10520-3054</v>
      </c>
      <c r="K154" t="s">
        <v>1998</v>
      </c>
      <c r="L154" t="s">
        <v>2033</v>
      </c>
      <c r="M154" t="s">
        <v>3830</v>
      </c>
      <c r="N154" t="s">
        <v>1992</v>
      </c>
      <c r="O154" t="s">
        <v>1991</v>
      </c>
      <c r="P154" t="s">
        <v>1992</v>
      </c>
      <c r="Q154" t="s">
        <v>1992</v>
      </c>
      <c r="R154" t="s">
        <v>1992</v>
      </c>
      <c r="S154" t="s">
        <v>1992</v>
      </c>
      <c r="T154" t="s">
        <v>1992</v>
      </c>
      <c r="U154" t="s">
        <v>1992</v>
      </c>
      <c r="V154" t="s">
        <v>1991</v>
      </c>
      <c r="W154" t="s">
        <v>1991</v>
      </c>
      <c r="X154" t="s">
        <v>1991</v>
      </c>
      <c r="Y154" t="s">
        <v>1992</v>
      </c>
      <c r="Z154" t="s">
        <v>1992</v>
      </c>
      <c r="AE154" t="s">
        <v>3831</v>
      </c>
      <c r="AF154" t="s">
        <v>2016</v>
      </c>
      <c r="AG154" t="s">
        <v>1991</v>
      </c>
      <c r="AH154">
        <v>30</v>
      </c>
      <c r="AI154">
        <v>30</v>
      </c>
      <c r="AJ154" t="s">
        <v>3832</v>
      </c>
      <c r="AK154">
        <v>6</v>
      </c>
      <c r="AL154">
        <v>7000</v>
      </c>
      <c r="AN154" t="s">
        <v>3833</v>
      </c>
      <c r="AO154" t="s">
        <v>1053</v>
      </c>
      <c r="AU154" t="s">
        <v>285</v>
      </c>
      <c r="BF154" t="s">
        <v>1053</v>
      </c>
      <c r="BG154" t="s">
        <v>3834</v>
      </c>
      <c r="BH154" t="s">
        <v>3835</v>
      </c>
      <c r="BI154" t="s">
        <v>1053</v>
      </c>
      <c r="BJ154" t="s">
        <v>1053</v>
      </c>
      <c r="BK154" t="s">
        <v>1053</v>
      </c>
      <c r="BL154" t="s">
        <v>1053</v>
      </c>
      <c r="BM154" t="s">
        <v>3836</v>
      </c>
      <c r="BN154" t="s">
        <v>3837</v>
      </c>
      <c r="BO154" t="s">
        <v>1053</v>
      </c>
      <c r="BP154" t="s">
        <v>3838</v>
      </c>
      <c r="BQ154" t="s">
        <v>3839</v>
      </c>
      <c r="BR154" t="s">
        <v>1053</v>
      </c>
      <c r="BS154" t="s">
        <v>1053</v>
      </c>
      <c r="BV154" t="s">
        <v>3836</v>
      </c>
      <c r="BW154" t="s">
        <v>3840</v>
      </c>
      <c r="BX154" t="str">
        <f>"SMTWTFS 0000-2359"</f>
        <v>SMTWTFS 0000-2359</v>
      </c>
      <c r="BY154" t="str">
        <f>""</f>
        <v/>
      </c>
      <c r="BZ154" t="str">
        <f>""</f>
        <v/>
      </c>
      <c r="CA154" t="str">
        <f>""</f>
        <v/>
      </c>
      <c r="CB154" t="str">
        <f>""</f>
        <v/>
      </c>
      <c r="CC154" t="str">
        <f>"SMTWTFS 0000-2359"</f>
        <v>SMTWTFS 0000-2359</v>
      </c>
      <c r="CD154" t="str">
        <f>""</f>
        <v/>
      </c>
      <c r="CE154" t="str">
        <f>""</f>
        <v/>
      </c>
      <c r="CF154" t="str">
        <f>""</f>
        <v/>
      </c>
      <c r="CG154" t="str">
        <f>""</f>
        <v/>
      </c>
      <c r="CH154" t="str">
        <f>""</f>
        <v/>
      </c>
    </row>
    <row r="155" spans="1:86" x14ac:dyDescent="0.25">
      <c r="A155" t="s">
        <v>3841</v>
      </c>
      <c r="B155" t="s">
        <v>3842</v>
      </c>
      <c r="C155" t="s">
        <v>1992</v>
      </c>
      <c r="D155" t="s">
        <v>2010</v>
      </c>
      <c r="E155" t="s">
        <v>3843</v>
      </c>
      <c r="H155" t="s">
        <v>3844</v>
      </c>
      <c r="I155" t="s">
        <v>2367</v>
      </c>
      <c r="J155" t="str">
        <f>"62626-1625"</f>
        <v>62626-1625</v>
      </c>
      <c r="K155" t="s">
        <v>1998</v>
      </c>
      <c r="L155" t="s">
        <v>1999</v>
      </c>
      <c r="M155" t="s">
        <v>2063</v>
      </c>
      <c r="N155" t="s">
        <v>1992</v>
      </c>
      <c r="O155" t="s">
        <v>1992</v>
      </c>
      <c r="P155" t="s">
        <v>1992</v>
      </c>
      <c r="Q155" t="s">
        <v>1992</v>
      </c>
      <c r="R155" t="s">
        <v>1992</v>
      </c>
      <c r="S155" t="s">
        <v>1992</v>
      </c>
      <c r="T155" t="s">
        <v>1992</v>
      </c>
      <c r="U155" t="s">
        <v>1992</v>
      </c>
      <c r="V155" t="s">
        <v>1991</v>
      </c>
      <c r="W155" t="s">
        <v>1991</v>
      </c>
      <c r="X155" t="s">
        <v>1992</v>
      </c>
      <c r="Y155" t="s">
        <v>1992</v>
      </c>
      <c r="Z155" t="s">
        <v>1992</v>
      </c>
      <c r="AE155" t="s">
        <v>357</v>
      </c>
      <c r="AF155" t="s">
        <v>2001</v>
      </c>
      <c r="AG155" t="s">
        <v>1991</v>
      </c>
      <c r="AH155">
        <v>30</v>
      </c>
      <c r="AI155">
        <v>30</v>
      </c>
      <c r="AJ155" t="s">
        <v>3845</v>
      </c>
      <c r="AK155">
        <v>622</v>
      </c>
      <c r="AL155">
        <v>5714</v>
      </c>
      <c r="AN155" t="s">
        <v>2066</v>
      </c>
      <c r="AO155" t="s">
        <v>2063</v>
      </c>
      <c r="BF155" t="s">
        <v>1053</v>
      </c>
      <c r="BG155" t="s">
        <v>2371</v>
      </c>
      <c r="BH155" t="s">
        <v>733</v>
      </c>
      <c r="BI155" t="s">
        <v>1053</v>
      </c>
      <c r="BJ155" t="s">
        <v>1053</v>
      </c>
      <c r="BK155" t="s">
        <v>1053</v>
      </c>
      <c r="BL155" t="s">
        <v>1053</v>
      </c>
      <c r="BM155" t="s">
        <v>2373</v>
      </c>
      <c r="BN155" t="s">
        <v>2374</v>
      </c>
      <c r="BO155" t="s">
        <v>1053</v>
      </c>
      <c r="BP155" t="s">
        <v>653</v>
      </c>
      <c r="BQ155" t="s">
        <v>2376</v>
      </c>
      <c r="BR155" t="s">
        <v>1053</v>
      </c>
      <c r="BX155" t="str">
        <f>"SMTWTFS 0500-2359"</f>
        <v>SMTWTFS 0500-2359</v>
      </c>
      <c r="BY155" t="str">
        <f>""</f>
        <v/>
      </c>
      <c r="BZ155" t="str">
        <f>""</f>
        <v/>
      </c>
      <c r="CA155" t="str">
        <f>""</f>
        <v/>
      </c>
      <c r="CB155" t="str">
        <f>""</f>
        <v/>
      </c>
      <c r="CC155" t="str">
        <f>""</f>
        <v/>
      </c>
      <c r="CD155" t="str">
        <f>""</f>
        <v/>
      </c>
      <c r="CE155" t="str">
        <f>""</f>
        <v/>
      </c>
      <c r="CF155" t="str">
        <f>""</f>
        <v/>
      </c>
      <c r="CG155" t="str">
        <f>""</f>
        <v/>
      </c>
      <c r="CH155" t="str">
        <f>""</f>
        <v/>
      </c>
    </row>
    <row r="156" spans="1:86" x14ac:dyDescent="0.25">
      <c r="A156" t="s">
        <v>3846</v>
      </c>
      <c r="B156" t="s">
        <v>3847</v>
      </c>
      <c r="D156" t="s">
        <v>2089</v>
      </c>
      <c r="V156" t="s">
        <v>1991</v>
      </c>
      <c r="AJ156" t="s">
        <v>2090</v>
      </c>
      <c r="AM156" t="s">
        <v>3848</v>
      </c>
      <c r="BX156" t="str">
        <f>""</f>
        <v/>
      </c>
      <c r="BY156" t="str">
        <f>""</f>
        <v/>
      </c>
      <c r="BZ156" t="str">
        <f>""</f>
        <v/>
      </c>
      <c r="CA156" t="str">
        <f>""</f>
        <v/>
      </c>
      <c r="CB156" t="str">
        <f>""</f>
        <v/>
      </c>
      <c r="CC156" t="str">
        <f>""</f>
        <v/>
      </c>
      <c r="CD156" t="str">
        <f>""</f>
        <v/>
      </c>
      <c r="CE156" t="str">
        <f>""</f>
        <v/>
      </c>
      <c r="CF156" t="str">
        <f>""</f>
        <v/>
      </c>
      <c r="CG156" t="str">
        <f>""</f>
        <v/>
      </c>
      <c r="CH156" t="str">
        <f>""</f>
        <v/>
      </c>
    </row>
    <row r="157" spans="1:86" x14ac:dyDescent="0.25">
      <c r="A157" t="s">
        <v>3849</v>
      </c>
      <c r="B157" t="s">
        <v>3850</v>
      </c>
      <c r="C157" t="s">
        <v>1992</v>
      </c>
      <c r="D157" t="s">
        <v>2010</v>
      </c>
      <c r="E157" t="s">
        <v>3851</v>
      </c>
      <c r="H157" t="s">
        <v>3852</v>
      </c>
      <c r="I157" t="s">
        <v>914</v>
      </c>
      <c r="J157" t="str">
        <f>"29631"</f>
        <v>29631</v>
      </c>
      <c r="K157" t="s">
        <v>1998</v>
      </c>
      <c r="L157" t="s">
        <v>408</v>
      </c>
      <c r="M157" t="s">
        <v>2063</v>
      </c>
      <c r="N157" t="s">
        <v>1992</v>
      </c>
      <c r="O157" t="s">
        <v>1992</v>
      </c>
      <c r="P157" t="s">
        <v>1992</v>
      </c>
      <c r="Q157" t="s">
        <v>1992</v>
      </c>
      <c r="R157" t="s">
        <v>1992</v>
      </c>
      <c r="S157" t="s">
        <v>1992</v>
      </c>
      <c r="T157" t="s">
        <v>1992</v>
      </c>
      <c r="U157" t="s">
        <v>1992</v>
      </c>
      <c r="V157" t="s">
        <v>1991</v>
      </c>
      <c r="W157" t="s">
        <v>1991</v>
      </c>
      <c r="X157" t="s">
        <v>1992</v>
      </c>
      <c r="Y157" t="s">
        <v>1992</v>
      </c>
      <c r="Z157" t="s">
        <v>1992</v>
      </c>
      <c r="AA157" t="s">
        <v>1992</v>
      </c>
      <c r="AF157" t="s">
        <v>2016</v>
      </c>
      <c r="AG157" t="s">
        <v>1991</v>
      </c>
      <c r="AH157">
        <v>30</v>
      </c>
      <c r="AI157">
        <v>30</v>
      </c>
      <c r="AJ157" t="s">
        <v>3853</v>
      </c>
      <c r="AK157">
        <v>721</v>
      </c>
      <c r="AL157">
        <v>12444</v>
      </c>
      <c r="AN157" t="s">
        <v>3854</v>
      </c>
      <c r="AU157" t="s">
        <v>3855</v>
      </c>
      <c r="BF157" t="s">
        <v>1053</v>
      </c>
      <c r="BG157" t="s">
        <v>2067</v>
      </c>
      <c r="BH157" t="s">
        <v>3856</v>
      </c>
      <c r="BI157" t="s">
        <v>1053</v>
      </c>
      <c r="BJ157" t="s">
        <v>1053</v>
      </c>
      <c r="BK157" t="s">
        <v>1053</v>
      </c>
      <c r="BL157" t="s">
        <v>1053</v>
      </c>
      <c r="BM157" t="s">
        <v>414</v>
      </c>
      <c r="BN157" t="s">
        <v>412</v>
      </c>
      <c r="BO157" t="s">
        <v>1053</v>
      </c>
      <c r="BP157" t="s">
        <v>2375</v>
      </c>
      <c r="BQ157" t="s">
        <v>427</v>
      </c>
      <c r="BR157" t="s">
        <v>1053</v>
      </c>
      <c r="BS157" t="s">
        <v>1053</v>
      </c>
      <c r="BT157" t="s">
        <v>1053</v>
      </c>
      <c r="BU157" t="s">
        <v>1053</v>
      </c>
      <c r="BV157" t="s">
        <v>416</v>
      </c>
      <c r="BW157" t="s">
        <v>417</v>
      </c>
      <c r="BX157" t="str">
        <f>"SMTWTFS 0530-0700 2130-2300"</f>
        <v>SMTWTFS 0530-0700 2130-2300</v>
      </c>
      <c r="BY157" t="str">
        <f>""</f>
        <v/>
      </c>
      <c r="BZ157" t="str">
        <f>""</f>
        <v/>
      </c>
      <c r="CA157" t="str">
        <f>""</f>
        <v/>
      </c>
      <c r="CB157" t="str">
        <f>""</f>
        <v/>
      </c>
      <c r="CC157" t="str">
        <f>""</f>
        <v/>
      </c>
      <c r="CD157" t="str">
        <f>""</f>
        <v/>
      </c>
      <c r="CE157" t="str">
        <f>""</f>
        <v/>
      </c>
      <c r="CF157" t="str">
        <f>""</f>
        <v/>
      </c>
      <c r="CG157" t="str">
        <f>""</f>
        <v/>
      </c>
      <c r="CH157" t="str">
        <f>""</f>
        <v/>
      </c>
    </row>
    <row r="158" spans="1:86" x14ac:dyDescent="0.25">
      <c r="A158" t="s">
        <v>3857</v>
      </c>
      <c r="B158" t="s">
        <v>3858</v>
      </c>
      <c r="C158" t="s">
        <v>1991</v>
      </c>
      <c r="D158" t="s">
        <v>2010</v>
      </c>
      <c r="E158" t="s">
        <v>3859</v>
      </c>
      <c r="H158" t="s">
        <v>3667</v>
      </c>
      <c r="I158" t="s">
        <v>576</v>
      </c>
      <c r="J158" t="str">
        <f>"98531"</f>
        <v>98531</v>
      </c>
      <c r="K158" t="s">
        <v>1998</v>
      </c>
      <c r="L158" t="s">
        <v>231</v>
      </c>
      <c r="M158" t="s">
        <v>3860</v>
      </c>
      <c r="N158" t="s">
        <v>1991</v>
      </c>
      <c r="O158" t="s">
        <v>1992</v>
      </c>
      <c r="P158" t="s">
        <v>1992</v>
      </c>
      <c r="Q158" t="s">
        <v>1991</v>
      </c>
      <c r="R158" t="s">
        <v>1991</v>
      </c>
      <c r="S158" t="s">
        <v>1992</v>
      </c>
      <c r="T158" t="s">
        <v>1992</v>
      </c>
      <c r="U158" t="s">
        <v>1991</v>
      </c>
      <c r="V158" t="s">
        <v>1991</v>
      </c>
      <c r="W158" t="s">
        <v>1991</v>
      </c>
      <c r="X158" t="s">
        <v>1992</v>
      </c>
      <c r="Y158" t="s">
        <v>1992</v>
      </c>
      <c r="Z158" t="s">
        <v>1992</v>
      </c>
      <c r="AA158" t="s">
        <v>1991</v>
      </c>
      <c r="AC158" t="s">
        <v>3857</v>
      </c>
      <c r="AE158" t="s">
        <v>2047</v>
      </c>
      <c r="AF158" t="s">
        <v>2064</v>
      </c>
      <c r="AG158" t="s">
        <v>1991</v>
      </c>
      <c r="AH158">
        <v>45</v>
      </c>
      <c r="AI158">
        <v>30</v>
      </c>
      <c r="AJ158" t="s">
        <v>3861</v>
      </c>
      <c r="AK158">
        <v>189</v>
      </c>
      <c r="AL158">
        <v>10054</v>
      </c>
      <c r="AM158" t="s">
        <v>3862</v>
      </c>
      <c r="AN158" t="s">
        <v>1053</v>
      </c>
      <c r="AO158" t="s">
        <v>1053</v>
      </c>
      <c r="AQ158" t="s">
        <v>1053</v>
      </c>
      <c r="AS158" t="s">
        <v>3857</v>
      </c>
      <c r="AT158" t="s">
        <v>3863</v>
      </c>
      <c r="AU158" t="s">
        <v>1053</v>
      </c>
      <c r="AV158" t="s">
        <v>1053</v>
      </c>
      <c r="AX158" t="s">
        <v>1053</v>
      </c>
      <c r="AZ158" t="s">
        <v>3857</v>
      </c>
      <c r="BA158" t="s">
        <v>3863</v>
      </c>
      <c r="BB158" t="s">
        <v>1053</v>
      </c>
      <c r="BD158" t="s">
        <v>1053</v>
      </c>
      <c r="BF158" t="s">
        <v>1053</v>
      </c>
      <c r="BG158" t="s">
        <v>2067</v>
      </c>
      <c r="BH158" t="s">
        <v>236</v>
      </c>
      <c r="BI158" t="s">
        <v>1053</v>
      </c>
      <c r="BJ158" t="s">
        <v>1053</v>
      </c>
      <c r="BK158" t="s">
        <v>1053</v>
      </c>
      <c r="BL158" t="s">
        <v>1053</v>
      </c>
      <c r="BM158" t="s">
        <v>237</v>
      </c>
      <c r="BN158" t="s">
        <v>238</v>
      </c>
      <c r="BO158" t="s">
        <v>1053</v>
      </c>
      <c r="BP158" t="s">
        <v>239</v>
      </c>
      <c r="BQ158" t="s">
        <v>3864</v>
      </c>
      <c r="BR158" t="s">
        <v>1053</v>
      </c>
      <c r="BS158" t="s">
        <v>1053</v>
      </c>
      <c r="BT158" t="s">
        <v>1053</v>
      </c>
      <c r="BU158" t="s">
        <v>1053</v>
      </c>
      <c r="BV158" t="s">
        <v>241</v>
      </c>
      <c r="BW158" t="s">
        <v>242</v>
      </c>
      <c r="BX158" t="str">
        <f>"SMTWTFS 0900-1630"</f>
        <v>SMTWTFS 0900-1630</v>
      </c>
      <c r="BY158" t="str">
        <f>"SMTWTFS 0900-1630"</f>
        <v>SMTWTFS 0900-1630</v>
      </c>
      <c r="BZ158" t="str">
        <f>"SMTWTFS 0900-1630"</f>
        <v>SMTWTFS 0900-1630</v>
      </c>
      <c r="CA158" t="str">
        <f>"SMTWTFS 0900-1630"</f>
        <v>SMTWTFS 0900-1630</v>
      </c>
      <c r="CB158" t="str">
        <f>""</f>
        <v/>
      </c>
      <c r="CC158" t="str">
        <f>""</f>
        <v/>
      </c>
      <c r="CD158" t="str">
        <f>""</f>
        <v/>
      </c>
      <c r="CE158" t="str">
        <f>""</f>
        <v/>
      </c>
      <c r="CF158" t="str">
        <f>"SMTWTFS 0900-1630"</f>
        <v>SMTWTFS 0900-1630</v>
      </c>
      <c r="CG158" t="str">
        <f>""</f>
        <v/>
      </c>
      <c r="CH158" t="str">
        <f>""</f>
        <v/>
      </c>
    </row>
    <row r="159" spans="1:86" x14ac:dyDescent="0.25">
      <c r="A159" t="s">
        <v>3865</v>
      </c>
      <c r="B159" t="s">
        <v>3866</v>
      </c>
      <c r="C159" t="s">
        <v>1992</v>
      </c>
      <c r="D159" t="s">
        <v>1993</v>
      </c>
      <c r="E159" t="s">
        <v>3867</v>
      </c>
      <c r="F159" t="s">
        <v>3868</v>
      </c>
      <c r="H159" t="s">
        <v>3869</v>
      </c>
      <c r="I159" t="s">
        <v>2014</v>
      </c>
      <c r="J159" t="str">
        <f>"21502"</f>
        <v>21502</v>
      </c>
      <c r="K159" t="s">
        <v>1998</v>
      </c>
      <c r="L159" t="s">
        <v>2015</v>
      </c>
      <c r="M159" t="s">
        <v>2000</v>
      </c>
      <c r="N159" t="s">
        <v>1992</v>
      </c>
      <c r="O159" t="s">
        <v>1992</v>
      </c>
      <c r="P159" t="s">
        <v>1992</v>
      </c>
      <c r="Q159" t="s">
        <v>1992</v>
      </c>
      <c r="R159" t="s">
        <v>1992</v>
      </c>
      <c r="S159" t="s">
        <v>1992</v>
      </c>
      <c r="T159" t="s">
        <v>1992</v>
      </c>
      <c r="U159" t="s">
        <v>1992</v>
      </c>
      <c r="V159" t="s">
        <v>1991</v>
      </c>
      <c r="Z159" t="s">
        <v>1991</v>
      </c>
      <c r="AB159" t="s">
        <v>3870</v>
      </c>
      <c r="AF159" t="s">
        <v>2016</v>
      </c>
      <c r="AG159" t="s">
        <v>1991</v>
      </c>
      <c r="AH159">
        <v>15</v>
      </c>
      <c r="AI159">
        <v>15</v>
      </c>
      <c r="AJ159" t="s">
        <v>3871</v>
      </c>
      <c r="AK159">
        <v>659</v>
      </c>
      <c r="AL159">
        <v>30000</v>
      </c>
      <c r="BX159" t="str">
        <f>""</f>
        <v/>
      </c>
      <c r="BY159" t="str">
        <f>""</f>
        <v/>
      </c>
      <c r="BZ159" t="str">
        <f>""</f>
        <v/>
      </c>
      <c r="CA159" t="str">
        <f>""</f>
        <v/>
      </c>
      <c r="CB159" t="str">
        <f>""</f>
        <v/>
      </c>
      <c r="CC159" t="str">
        <f>""</f>
        <v/>
      </c>
      <c r="CD159" t="str">
        <f>""</f>
        <v/>
      </c>
      <c r="CE159" t="str">
        <f>""</f>
        <v/>
      </c>
      <c r="CF159" t="str">
        <f>""</f>
        <v/>
      </c>
      <c r="CG159" t="str">
        <f>""</f>
        <v/>
      </c>
      <c r="CH159" t="str">
        <f>""</f>
        <v/>
      </c>
    </row>
    <row r="160" spans="1:86" x14ac:dyDescent="0.25">
      <c r="A160" t="s">
        <v>3872</v>
      </c>
      <c r="B160" t="s">
        <v>3873</v>
      </c>
      <c r="C160" t="s">
        <v>1992</v>
      </c>
      <c r="D160" t="s">
        <v>2010</v>
      </c>
      <c r="E160" t="s">
        <v>3874</v>
      </c>
      <c r="H160" t="s">
        <v>3869</v>
      </c>
      <c r="I160" t="s">
        <v>2014</v>
      </c>
      <c r="J160" t="str">
        <f>"21502"</f>
        <v>21502</v>
      </c>
      <c r="K160" t="s">
        <v>1998</v>
      </c>
      <c r="L160" t="s">
        <v>2015</v>
      </c>
      <c r="M160" t="s">
        <v>2000</v>
      </c>
      <c r="N160" t="s">
        <v>1992</v>
      </c>
      <c r="O160" t="s">
        <v>1992</v>
      </c>
      <c r="P160" t="s">
        <v>1992</v>
      </c>
      <c r="Q160" t="s">
        <v>1992</v>
      </c>
      <c r="R160" t="s">
        <v>1992</v>
      </c>
      <c r="S160" t="s">
        <v>1992</v>
      </c>
      <c r="T160" t="s">
        <v>1992</v>
      </c>
      <c r="U160" t="s">
        <v>1992</v>
      </c>
      <c r="V160" t="s">
        <v>1991</v>
      </c>
      <c r="W160" t="s">
        <v>1991</v>
      </c>
      <c r="X160" t="s">
        <v>1992</v>
      </c>
      <c r="Y160" t="s">
        <v>1992</v>
      </c>
      <c r="Z160" t="s">
        <v>1991</v>
      </c>
      <c r="AB160" t="s">
        <v>3870</v>
      </c>
      <c r="AF160" t="s">
        <v>2016</v>
      </c>
      <c r="AG160" t="s">
        <v>1991</v>
      </c>
      <c r="AH160">
        <v>30</v>
      </c>
      <c r="AI160">
        <v>30</v>
      </c>
      <c r="AJ160" t="s">
        <v>3875</v>
      </c>
      <c r="AK160">
        <v>643</v>
      </c>
      <c r="AL160">
        <v>30000</v>
      </c>
      <c r="AN160" t="s">
        <v>2066</v>
      </c>
      <c r="AO160" t="s">
        <v>2063</v>
      </c>
      <c r="BF160" t="s">
        <v>1053</v>
      </c>
      <c r="BG160" t="s">
        <v>2393</v>
      </c>
      <c r="BH160" t="s">
        <v>3876</v>
      </c>
      <c r="BI160" t="s">
        <v>1053</v>
      </c>
      <c r="BJ160" t="s">
        <v>1053</v>
      </c>
      <c r="BK160" t="s">
        <v>1053</v>
      </c>
      <c r="BL160" t="s">
        <v>1053</v>
      </c>
      <c r="BM160" t="s">
        <v>2395</v>
      </c>
      <c r="BN160" t="s">
        <v>2396</v>
      </c>
      <c r="BO160" t="s">
        <v>1053</v>
      </c>
      <c r="BP160" t="s">
        <v>2397</v>
      </c>
      <c r="BQ160" t="s">
        <v>2398</v>
      </c>
      <c r="BR160" t="s">
        <v>1053</v>
      </c>
      <c r="BS160" t="s">
        <v>1053</v>
      </c>
      <c r="BT160" t="s">
        <v>1053</v>
      </c>
      <c r="BU160" t="s">
        <v>1053</v>
      </c>
      <c r="BV160" t="s">
        <v>2399</v>
      </c>
      <c r="BW160" t="s">
        <v>2400</v>
      </c>
      <c r="BX160" t="str">
        <f>"SMTWTFS 0910-1020 1840-1940"</f>
        <v>SMTWTFS 0910-1020 1840-1940</v>
      </c>
      <c r="BY160" t="str">
        <f>""</f>
        <v/>
      </c>
      <c r="BZ160" t="str">
        <f>""</f>
        <v/>
      </c>
      <c r="CA160" t="str">
        <f>""</f>
        <v/>
      </c>
      <c r="CB160" t="str">
        <f>""</f>
        <v/>
      </c>
      <c r="CC160" t="str">
        <f>""</f>
        <v/>
      </c>
      <c r="CD160" t="str">
        <f>""</f>
        <v/>
      </c>
      <c r="CE160" t="str">
        <f>""</f>
        <v/>
      </c>
      <c r="CF160" t="str">
        <f>""</f>
        <v/>
      </c>
      <c r="CG160" t="str">
        <f>""</f>
        <v/>
      </c>
      <c r="CH160" t="str">
        <f>""</f>
        <v/>
      </c>
    </row>
    <row r="161" spans="1:86" x14ac:dyDescent="0.25">
      <c r="A161" t="s">
        <v>3877</v>
      </c>
      <c r="B161" t="s">
        <v>3878</v>
      </c>
      <c r="C161" t="s">
        <v>1992</v>
      </c>
      <c r="D161" t="s">
        <v>2010</v>
      </c>
      <c r="E161" t="s">
        <v>3879</v>
      </c>
      <c r="F161" t="s">
        <v>3880</v>
      </c>
      <c r="H161" t="s">
        <v>3881</v>
      </c>
      <c r="I161" t="s">
        <v>803</v>
      </c>
      <c r="J161" t="str">
        <f>"59427-2934"</f>
        <v>59427-2934</v>
      </c>
      <c r="K161" t="s">
        <v>1998</v>
      </c>
      <c r="L161" t="s">
        <v>231</v>
      </c>
      <c r="M161" t="s">
        <v>2063</v>
      </c>
      <c r="N161" t="s">
        <v>1992</v>
      </c>
      <c r="O161" t="s">
        <v>1992</v>
      </c>
      <c r="P161" t="s">
        <v>1992</v>
      </c>
      <c r="Q161" t="s">
        <v>1992</v>
      </c>
      <c r="R161" t="s">
        <v>1992</v>
      </c>
      <c r="S161" t="s">
        <v>1992</v>
      </c>
      <c r="T161" t="s">
        <v>1992</v>
      </c>
      <c r="U161" t="s">
        <v>1992</v>
      </c>
      <c r="V161" t="s">
        <v>1991</v>
      </c>
      <c r="W161" t="s">
        <v>1991</v>
      </c>
      <c r="X161" t="s">
        <v>1992</v>
      </c>
      <c r="Y161" t="s">
        <v>1992</v>
      </c>
      <c r="Z161" t="s">
        <v>1992</v>
      </c>
      <c r="AA161" t="s">
        <v>1992</v>
      </c>
      <c r="AF161" t="s">
        <v>2048</v>
      </c>
      <c r="AG161" t="s">
        <v>1991</v>
      </c>
      <c r="AH161">
        <v>30</v>
      </c>
      <c r="AI161">
        <v>30</v>
      </c>
      <c r="AJ161" t="s">
        <v>3882</v>
      </c>
      <c r="AK161">
        <v>3754</v>
      </c>
      <c r="AL161">
        <v>3105</v>
      </c>
      <c r="AN161" t="s">
        <v>2066</v>
      </c>
      <c r="AO161" t="s">
        <v>2063</v>
      </c>
      <c r="AU161" t="s">
        <v>1053</v>
      </c>
      <c r="AV161" t="s">
        <v>2063</v>
      </c>
      <c r="BF161" t="s">
        <v>1053</v>
      </c>
      <c r="BG161" t="s">
        <v>2019</v>
      </c>
      <c r="BH161" t="s">
        <v>240</v>
      </c>
      <c r="BI161" t="s">
        <v>1053</v>
      </c>
      <c r="BJ161" t="s">
        <v>1053</v>
      </c>
      <c r="BK161" t="s">
        <v>1053</v>
      </c>
      <c r="BM161" t="s">
        <v>241</v>
      </c>
      <c r="BN161" t="s">
        <v>242</v>
      </c>
      <c r="BO161" t="s">
        <v>1053</v>
      </c>
      <c r="BP161" t="s">
        <v>239</v>
      </c>
      <c r="BQ161" t="s">
        <v>240</v>
      </c>
      <c r="BR161" t="s">
        <v>1053</v>
      </c>
      <c r="BS161" t="s">
        <v>1053</v>
      </c>
      <c r="BT161" t="s">
        <v>1053</v>
      </c>
      <c r="BU161" t="s">
        <v>1053</v>
      </c>
      <c r="BV161" t="s">
        <v>241</v>
      </c>
      <c r="BW161" t="s">
        <v>242</v>
      </c>
      <c r="BX161" t="str">
        <f>"SMTWTFS 1015-1115 1725-1825"</f>
        <v>SMTWTFS 1015-1115 1725-1825</v>
      </c>
      <c r="BY161" t="str">
        <f>""</f>
        <v/>
      </c>
      <c r="BZ161" t="str">
        <f>""</f>
        <v/>
      </c>
      <c r="CA161" t="str">
        <f>""</f>
        <v/>
      </c>
      <c r="CB161" t="str">
        <f>""</f>
        <v/>
      </c>
      <c r="CC161" t="str">
        <f>""</f>
        <v/>
      </c>
      <c r="CD161" t="str">
        <f>""</f>
        <v/>
      </c>
      <c r="CE161" t="str">
        <f>""</f>
        <v/>
      </c>
      <c r="CF161" t="str">
        <f>""</f>
        <v/>
      </c>
      <c r="CG161" t="str">
        <f>""</f>
        <v/>
      </c>
      <c r="CH161" t="str">
        <f>""</f>
        <v/>
      </c>
    </row>
    <row r="162" spans="1:86" x14ac:dyDescent="0.25">
      <c r="A162" t="s">
        <v>3883</v>
      </c>
      <c r="B162" t="s">
        <v>3884</v>
      </c>
      <c r="C162" t="s">
        <v>1992</v>
      </c>
      <c r="D162" t="s">
        <v>1993</v>
      </c>
      <c r="E162" t="s">
        <v>3885</v>
      </c>
      <c r="F162" t="s">
        <v>3886</v>
      </c>
      <c r="H162" t="s">
        <v>3887</v>
      </c>
      <c r="I162" t="s">
        <v>586</v>
      </c>
      <c r="J162" t="str">
        <f>"86322-5201"</f>
        <v>86322-5201</v>
      </c>
      <c r="K162" t="s">
        <v>1998</v>
      </c>
      <c r="L162" t="s">
        <v>2045</v>
      </c>
      <c r="M162" t="s">
        <v>3888</v>
      </c>
      <c r="N162" t="s">
        <v>1992</v>
      </c>
      <c r="O162" t="s">
        <v>1992</v>
      </c>
      <c r="P162" t="s">
        <v>1992</v>
      </c>
      <c r="Q162" t="s">
        <v>1992</v>
      </c>
      <c r="R162" t="s">
        <v>1992</v>
      </c>
      <c r="S162" t="s">
        <v>1992</v>
      </c>
      <c r="T162" t="s">
        <v>1992</v>
      </c>
      <c r="U162" t="s">
        <v>1992</v>
      </c>
      <c r="V162" t="s">
        <v>1991</v>
      </c>
      <c r="W162" t="s">
        <v>1992</v>
      </c>
      <c r="X162" t="s">
        <v>1992</v>
      </c>
      <c r="Y162" t="s">
        <v>1992</v>
      </c>
      <c r="Z162" t="s">
        <v>1991</v>
      </c>
      <c r="AF162" t="s">
        <v>2048</v>
      </c>
      <c r="AG162" t="s">
        <v>1992</v>
      </c>
      <c r="AH162">
        <v>30</v>
      </c>
      <c r="AI162">
        <v>30</v>
      </c>
      <c r="AJ162" t="s">
        <v>3889</v>
      </c>
      <c r="AK162">
        <v>3187</v>
      </c>
      <c r="AL162">
        <v>10610</v>
      </c>
      <c r="AN162" t="s">
        <v>3890</v>
      </c>
      <c r="AO162" t="s">
        <v>2063</v>
      </c>
      <c r="BF162" t="s">
        <v>1053</v>
      </c>
      <c r="BG162" t="s">
        <v>2019</v>
      </c>
      <c r="BH162" t="s">
        <v>2053</v>
      </c>
      <c r="BI162" t="s">
        <v>1053</v>
      </c>
      <c r="BO162" t="s">
        <v>1053</v>
      </c>
      <c r="BP162" t="s">
        <v>2101</v>
      </c>
      <c r="BQ162" t="s">
        <v>2055</v>
      </c>
      <c r="BR162" t="s">
        <v>1053</v>
      </c>
      <c r="BS162" t="s">
        <v>1053</v>
      </c>
      <c r="BV162" t="s">
        <v>2056</v>
      </c>
      <c r="BX162" t="str">
        <f>""</f>
        <v/>
      </c>
      <c r="BY162" t="str">
        <f>""</f>
        <v/>
      </c>
      <c r="BZ162" t="str">
        <f>""</f>
        <v/>
      </c>
      <c r="CA162" t="str">
        <f>""</f>
        <v/>
      </c>
      <c r="CB162" t="str">
        <f>""</f>
        <v/>
      </c>
      <c r="CC162" t="str">
        <f>""</f>
        <v/>
      </c>
      <c r="CD162" t="str">
        <f>""</f>
        <v/>
      </c>
      <c r="CE162" t="str">
        <f>""</f>
        <v/>
      </c>
      <c r="CF162" t="str">
        <f>""</f>
        <v/>
      </c>
      <c r="CG162" t="str">
        <f>""</f>
        <v/>
      </c>
      <c r="CH162" t="str">
        <f>""</f>
        <v/>
      </c>
    </row>
    <row r="163" spans="1:86" x14ac:dyDescent="0.25">
      <c r="A163" t="s">
        <v>3891</v>
      </c>
      <c r="B163" t="s">
        <v>6689</v>
      </c>
      <c r="C163" t="s">
        <v>1992</v>
      </c>
      <c r="D163" t="s">
        <v>2010</v>
      </c>
      <c r="E163" t="s">
        <v>6690</v>
      </c>
      <c r="F163" t="s">
        <v>743</v>
      </c>
      <c r="H163" t="s">
        <v>6691</v>
      </c>
      <c r="I163" t="s">
        <v>2295</v>
      </c>
      <c r="J163" t="str">
        <f>"97330"</f>
        <v>97330</v>
      </c>
      <c r="K163" t="s">
        <v>1998</v>
      </c>
      <c r="L163" t="s">
        <v>231</v>
      </c>
      <c r="M163" t="s">
        <v>2063</v>
      </c>
      <c r="N163" t="s">
        <v>1992</v>
      </c>
      <c r="O163" t="s">
        <v>1992</v>
      </c>
      <c r="P163" t="s">
        <v>1992</v>
      </c>
      <c r="Q163" t="s">
        <v>1992</v>
      </c>
      <c r="R163" t="s">
        <v>1992</v>
      </c>
      <c r="S163" t="s">
        <v>1992</v>
      </c>
      <c r="T163" t="s">
        <v>1992</v>
      </c>
      <c r="U163" t="s">
        <v>1992</v>
      </c>
      <c r="V163" t="s">
        <v>1991</v>
      </c>
      <c r="W163" t="s">
        <v>1992</v>
      </c>
      <c r="X163" t="s">
        <v>1992</v>
      </c>
      <c r="Y163" t="s">
        <v>1992</v>
      </c>
      <c r="Z163" t="s">
        <v>1991</v>
      </c>
      <c r="AF163" t="s">
        <v>2064</v>
      </c>
      <c r="AG163" t="s">
        <v>1991</v>
      </c>
      <c r="AH163">
        <v>30</v>
      </c>
      <c r="AI163">
        <v>30</v>
      </c>
      <c r="AJ163" t="s">
        <v>6692</v>
      </c>
      <c r="AK163">
        <v>232</v>
      </c>
      <c r="AL163">
        <v>49807</v>
      </c>
      <c r="AM163" t="s">
        <v>2298</v>
      </c>
      <c r="AN163" t="s">
        <v>450</v>
      </c>
      <c r="AO163" t="s">
        <v>2063</v>
      </c>
      <c r="BF163" t="s">
        <v>1053</v>
      </c>
      <c r="BG163" t="s">
        <v>394</v>
      </c>
      <c r="BH163" t="s">
        <v>311</v>
      </c>
      <c r="BI163" t="s">
        <v>1053</v>
      </c>
      <c r="BJ163" t="s">
        <v>1053</v>
      </c>
      <c r="BK163" t="s">
        <v>1053</v>
      </c>
      <c r="BL163" t="s">
        <v>1053</v>
      </c>
      <c r="BX163" t="str">
        <f>"S------ 1400-1800; -MTWTF- 0700-1100 1400-1800; ------S 0700-1100"</f>
        <v>S------ 1400-1800; -MTWTF- 0700-1100 1400-1800; ------S 0700-1100</v>
      </c>
      <c r="BY163" t="str">
        <f>""</f>
        <v/>
      </c>
      <c r="BZ163" t="str">
        <f>""</f>
        <v/>
      </c>
      <c r="CA163" t="str">
        <f>""</f>
        <v/>
      </c>
      <c r="CB163" t="str">
        <f>""</f>
        <v/>
      </c>
      <c r="CC163" t="str">
        <f>""</f>
        <v/>
      </c>
      <c r="CD163" t="str">
        <f>""</f>
        <v/>
      </c>
      <c r="CE163" t="str">
        <f>""</f>
        <v/>
      </c>
      <c r="CF163" t="str">
        <f>""</f>
        <v/>
      </c>
      <c r="CG163" t="str">
        <f>""</f>
        <v/>
      </c>
      <c r="CH163" t="str">
        <f>""</f>
        <v/>
      </c>
    </row>
    <row r="164" spans="1:86" x14ac:dyDescent="0.25">
      <c r="A164" t="s">
        <v>6693</v>
      </c>
      <c r="B164" t="s">
        <v>6694</v>
      </c>
      <c r="C164" t="s">
        <v>1992</v>
      </c>
      <c r="D164" t="s">
        <v>1993</v>
      </c>
      <c r="E164" t="s">
        <v>6695</v>
      </c>
      <c r="F164" t="s">
        <v>6696</v>
      </c>
      <c r="H164" t="s">
        <v>6697</v>
      </c>
      <c r="I164" t="s">
        <v>2295</v>
      </c>
      <c r="J164" t="str">
        <f>"97523"</f>
        <v>97523</v>
      </c>
      <c r="K164" t="s">
        <v>1998</v>
      </c>
      <c r="L164" t="s">
        <v>2062</v>
      </c>
      <c r="M164" t="s">
        <v>2000</v>
      </c>
      <c r="N164" t="s">
        <v>1992</v>
      </c>
      <c r="O164" t="s">
        <v>1992</v>
      </c>
      <c r="P164" t="s">
        <v>1992</v>
      </c>
      <c r="Q164" t="s">
        <v>1992</v>
      </c>
      <c r="R164" t="s">
        <v>1992</v>
      </c>
      <c r="S164" t="s">
        <v>1992</v>
      </c>
      <c r="T164" t="s">
        <v>1992</v>
      </c>
      <c r="U164" t="s">
        <v>1992</v>
      </c>
      <c r="V164" t="s">
        <v>1991</v>
      </c>
      <c r="Y164" t="s">
        <v>1992</v>
      </c>
      <c r="Z164" t="s">
        <v>1991</v>
      </c>
      <c r="AF164" t="s">
        <v>2064</v>
      </c>
      <c r="AG164" t="s">
        <v>1991</v>
      </c>
      <c r="AH164">
        <v>15</v>
      </c>
      <c r="AI164">
        <v>15</v>
      </c>
      <c r="AJ164" t="s">
        <v>6698</v>
      </c>
      <c r="AK164">
        <v>1335</v>
      </c>
      <c r="BX164" t="str">
        <f>""</f>
        <v/>
      </c>
      <c r="BY164" t="str">
        <f>""</f>
        <v/>
      </c>
      <c r="BZ164" t="str">
        <f>""</f>
        <v/>
      </c>
      <c r="CA164" t="str">
        <f>""</f>
        <v/>
      </c>
      <c r="CB164" t="str">
        <f>""</f>
        <v/>
      </c>
      <c r="CC164" t="str">
        <f>""</f>
        <v/>
      </c>
      <c r="CD164" t="str">
        <f>""</f>
        <v/>
      </c>
      <c r="CE164" t="str">
        <f>""</f>
        <v/>
      </c>
      <c r="CF164" t="str">
        <f>""</f>
        <v/>
      </c>
      <c r="CG164" t="str">
        <f>""</f>
        <v/>
      </c>
      <c r="CH164" t="str">
        <f>""</f>
        <v/>
      </c>
    </row>
    <row r="165" spans="1:86" x14ac:dyDescent="0.25">
      <c r="A165" t="s">
        <v>6699</v>
      </c>
      <c r="B165" t="s">
        <v>6700</v>
      </c>
      <c r="C165" t="s">
        <v>1992</v>
      </c>
      <c r="D165" t="s">
        <v>1993</v>
      </c>
      <c r="E165" t="s">
        <v>6701</v>
      </c>
      <c r="F165" t="s">
        <v>6702</v>
      </c>
      <c r="H165" t="s">
        <v>6703</v>
      </c>
      <c r="I165" t="s">
        <v>576</v>
      </c>
      <c r="J165" t="str">
        <f>"99114"</f>
        <v>99114</v>
      </c>
      <c r="K165" t="s">
        <v>1998</v>
      </c>
      <c r="L165" t="s">
        <v>231</v>
      </c>
      <c r="M165" t="s">
        <v>2000</v>
      </c>
      <c r="N165" t="s">
        <v>1992</v>
      </c>
      <c r="O165" t="s">
        <v>1992</v>
      </c>
      <c r="P165" t="s">
        <v>1992</v>
      </c>
      <c r="Q165" t="s">
        <v>1992</v>
      </c>
      <c r="R165" t="s">
        <v>1992</v>
      </c>
      <c r="S165" t="s">
        <v>1992</v>
      </c>
      <c r="T165" t="s">
        <v>1992</v>
      </c>
      <c r="U165" t="s">
        <v>1992</v>
      </c>
      <c r="V165" t="s">
        <v>1991</v>
      </c>
      <c r="Z165" t="s">
        <v>1991</v>
      </c>
      <c r="AF165" t="s">
        <v>2064</v>
      </c>
      <c r="AG165" t="s">
        <v>1991</v>
      </c>
      <c r="AH165">
        <v>15</v>
      </c>
      <c r="AI165">
        <v>15</v>
      </c>
      <c r="AJ165" t="s">
        <v>6704</v>
      </c>
      <c r="AK165">
        <v>1569</v>
      </c>
      <c r="BX165" t="str">
        <f>""</f>
        <v/>
      </c>
      <c r="BY165" t="str">
        <f>""</f>
        <v/>
      </c>
      <c r="BZ165" t="str">
        <f>""</f>
        <v/>
      </c>
      <c r="CA165" t="str">
        <f>""</f>
        <v/>
      </c>
      <c r="CB165" t="str">
        <f>""</f>
        <v/>
      </c>
      <c r="CC165" t="str">
        <f>""</f>
        <v/>
      </c>
      <c r="CD165" t="str">
        <f>""</f>
        <v/>
      </c>
      <c r="CE165" t="str">
        <f>""</f>
        <v/>
      </c>
      <c r="CF165" t="str">
        <f>""</f>
        <v/>
      </c>
      <c r="CG165" t="str">
        <f>""</f>
        <v/>
      </c>
      <c r="CH165" t="str">
        <f>""</f>
        <v/>
      </c>
    </row>
    <row r="166" spans="1:86" x14ac:dyDescent="0.25">
      <c r="A166" t="s">
        <v>6705</v>
      </c>
      <c r="B166" t="s">
        <v>6706</v>
      </c>
      <c r="C166" t="s">
        <v>1991</v>
      </c>
      <c r="D166" t="s">
        <v>2010</v>
      </c>
      <c r="E166" t="s">
        <v>6707</v>
      </c>
      <c r="H166" t="s">
        <v>6708</v>
      </c>
      <c r="I166" t="s">
        <v>2405</v>
      </c>
      <c r="J166" t="str">
        <f>"22903"</f>
        <v>22903</v>
      </c>
      <c r="K166" t="s">
        <v>1998</v>
      </c>
      <c r="L166" t="s">
        <v>2015</v>
      </c>
      <c r="M166" t="s">
        <v>6709</v>
      </c>
      <c r="N166" t="s">
        <v>1991</v>
      </c>
      <c r="O166" t="s">
        <v>1991</v>
      </c>
      <c r="P166" t="s">
        <v>1992</v>
      </c>
      <c r="Q166" t="s">
        <v>1991</v>
      </c>
      <c r="R166" t="s">
        <v>1991</v>
      </c>
      <c r="S166" t="s">
        <v>1992</v>
      </c>
      <c r="T166" t="s">
        <v>1992</v>
      </c>
      <c r="U166" t="s">
        <v>1991</v>
      </c>
      <c r="V166" t="s">
        <v>1991</v>
      </c>
      <c r="W166" t="s">
        <v>1991</v>
      </c>
      <c r="X166" t="s">
        <v>1992</v>
      </c>
      <c r="Y166" t="s">
        <v>1991</v>
      </c>
      <c r="Z166" t="s">
        <v>1991</v>
      </c>
      <c r="AA166" t="s">
        <v>1992</v>
      </c>
      <c r="AE166" t="s">
        <v>2047</v>
      </c>
      <c r="AF166" t="s">
        <v>2016</v>
      </c>
      <c r="AG166" t="s">
        <v>1991</v>
      </c>
      <c r="AH166">
        <v>60</v>
      </c>
      <c r="AI166">
        <v>45</v>
      </c>
      <c r="AJ166" t="s">
        <v>6710</v>
      </c>
      <c r="AK166">
        <v>488</v>
      </c>
      <c r="AL166">
        <v>47049</v>
      </c>
      <c r="AM166" t="s">
        <v>6711</v>
      </c>
      <c r="AN166" t="s">
        <v>1053</v>
      </c>
      <c r="AO166" t="s">
        <v>1053</v>
      </c>
      <c r="AP166" t="s">
        <v>2069</v>
      </c>
      <c r="AQ166" t="s">
        <v>1053</v>
      </c>
      <c r="AR166" t="s">
        <v>2069</v>
      </c>
      <c r="AS166" t="s">
        <v>6705</v>
      </c>
      <c r="AT166" t="s">
        <v>6712</v>
      </c>
      <c r="AU166" t="s">
        <v>1053</v>
      </c>
      <c r="AV166" t="s">
        <v>1053</v>
      </c>
      <c r="AW166" t="s">
        <v>2069</v>
      </c>
      <c r="AX166" t="s">
        <v>1053</v>
      </c>
      <c r="AY166" t="s">
        <v>2069</v>
      </c>
      <c r="AZ166" t="s">
        <v>6705</v>
      </c>
      <c r="BA166" t="s">
        <v>6712</v>
      </c>
      <c r="BB166" t="s">
        <v>1053</v>
      </c>
      <c r="BC166" t="s">
        <v>2069</v>
      </c>
      <c r="BD166" t="s">
        <v>1053</v>
      </c>
      <c r="BE166" t="s">
        <v>2069</v>
      </c>
      <c r="BF166" t="s">
        <v>1053</v>
      </c>
      <c r="BG166" t="s">
        <v>1054</v>
      </c>
      <c r="BH166" t="s">
        <v>1055</v>
      </c>
      <c r="BI166" t="s">
        <v>1053</v>
      </c>
      <c r="BJ166" t="s">
        <v>1053</v>
      </c>
      <c r="BK166" t="s">
        <v>1053</v>
      </c>
      <c r="BL166" t="s">
        <v>1053</v>
      </c>
      <c r="BM166" t="s">
        <v>2343</v>
      </c>
      <c r="BN166" t="s">
        <v>2344</v>
      </c>
      <c r="BO166" t="s">
        <v>1053</v>
      </c>
      <c r="BP166" t="s">
        <v>366</v>
      </c>
      <c r="BQ166" t="s">
        <v>1056</v>
      </c>
      <c r="BR166" t="s">
        <v>1053</v>
      </c>
      <c r="BS166" t="s">
        <v>1053</v>
      </c>
      <c r="BT166" t="s">
        <v>1053</v>
      </c>
      <c r="BU166" t="s">
        <v>1053</v>
      </c>
      <c r="BV166" t="s">
        <v>2347</v>
      </c>
      <c r="BX166" t="str">
        <f t="shared" ref="BX166:CC166" si="3">"SMTWTFS 0600-2130"</f>
        <v>SMTWTFS 0600-2130</v>
      </c>
      <c r="BY166" t="str">
        <f t="shared" si="3"/>
        <v>SMTWTFS 0600-2130</v>
      </c>
      <c r="BZ166" t="str">
        <f t="shared" si="3"/>
        <v>SMTWTFS 0600-2130</v>
      </c>
      <c r="CA166" t="str">
        <f t="shared" si="3"/>
        <v>SMTWTFS 0600-2130</v>
      </c>
      <c r="CB166" t="str">
        <f t="shared" si="3"/>
        <v>SMTWTFS 0600-2130</v>
      </c>
      <c r="CC166" t="str">
        <f t="shared" si="3"/>
        <v>SMTWTFS 0600-2130</v>
      </c>
      <c r="CD166" t="str">
        <f>""</f>
        <v/>
      </c>
      <c r="CE166" t="str">
        <f>""</f>
        <v/>
      </c>
      <c r="CF166" t="str">
        <f>"SMTWTFS 0600-2130"</f>
        <v>SMTWTFS 0600-2130</v>
      </c>
      <c r="CG166" t="str">
        <f>""</f>
        <v/>
      </c>
      <c r="CH166" t="str">
        <f>""</f>
        <v/>
      </c>
    </row>
    <row r="167" spans="1:86" x14ac:dyDescent="0.25">
      <c r="A167" t="s">
        <v>1057</v>
      </c>
      <c r="B167" t="s">
        <v>1058</v>
      </c>
      <c r="C167" t="s">
        <v>1992</v>
      </c>
      <c r="D167" t="s">
        <v>2028</v>
      </c>
      <c r="E167" t="s">
        <v>1059</v>
      </c>
      <c r="F167" t="s">
        <v>1060</v>
      </c>
      <c r="H167" t="s">
        <v>1061</v>
      </c>
      <c r="I167" t="s">
        <v>2388</v>
      </c>
      <c r="J167" t="str">
        <f>"19020"</f>
        <v>19020</v>
      </c>
      <c r="K167" t="s">
        <v>1998</v>
      </c>
      <c r="L167" t="s">
        <v>2033</v>
      </c>
      <c r="M167" t="s">
        <v>2063</v>
      </c>
      <c r="N167" t="s">
        <v>1992</v>
      </c>
      <c r="O167" t="s">
        <v>1992</v>
      </c>
      <c r="P167" t="s">
        <v>1992</v>
      </c>
      <c r="Q167" t="s">
        <v>1992</v>
      </c>
      <c r="R167" t="s">
        <v>1992</v>
      </c>
      <c r="S167" t="s">
        <v>1992</v>
      </c>
      <c r="T167" t="s">
        <v>1992</v>
      </c>
      <c r="U167" t="s">
        <v>1992</v>
      </c>
      <c r="V167" t="s">
        <v>1991</v>
      </c>
      <c r="W167" t="s">
        <v>1991</v>
      </c>
      <c r="X167" t="s">
        <v>1991</v>
      </c>
      <c r="Y167" t="s">
        <v>1992</v>
      </c>
      <c r="Z167" t="s">
        <v>1992</v>
      </c>
      <c r="AE167" t="s">
        <v>1062</v>
      </c>
      <c r="AF167" t="s">
        <v>2016</v>
      </c>
      <c r="AG167" t="s">
        <v>1991</v>
      </c>
      <c r="AH167">
        <v>30</v>
      </c>
      <c r="AI167">
        <v>30</v>
      </c>
      <c r="AJ167" t="s">
        <v>1063</v>
      </c>
      <c r="AK167">
        <v>35</v>
      </c>
      <c r="AL167">
        <v>3406</v>
      </c>
      <c r="AN167" t="s">
        <v>2066</v>
      </c>
      <c r="AO167" t="s">
        <v>2063</v>
      </c>
      <c r="BF167" t="s">
        <v>1053</v>
      </c>
      <c r="BG167" t="s">
        <v>235</v>
      </c>
      <c r="BH167" t="s">
        <v>1064</v>
      </c>
      <c r="BI167" t="s">
        <v>1053</v>
      </c>
      <c r="BJ167" t="s">
        <v>1053</v>
      </c>
      <c r="BK167" t="s">
        <v>1053</v>
      </c>
      <c r="BL167" t="s">
        <v>1053</v>
      </c>
      <c r="BM167" t="s">
        <v>1065</v>
      </c>
      <c r="BN167" t="s">
        <v>1066</v>
      </c>
      <c r="BO167" t="s">
        <v>1053</v>
      </c>
      <c r="BP167" t="s">
        <v>986</v>
      </c>
      <c r="BQ167" t="s">
        <v>1067</v>
      </c>
      <c r="BR167" t="s">
        <v>1053</v>
      </c>
      <c r="BS167" t="s">
        <v>1053</v>
      </c>
      <c r="BT167" t="s">
        <v>1053</v>
      </c>
      <c r="BU167" t="s">
        <v>1053</v>
      </c>
      <c r="BV167" t="s">
        <v>1068</v>
      </c>
      <c r="BW167" t="s">
        <v>1069</v>
      </c>
      <c r="BX167" t="str">
        <f>"SMTWTFS 0530-2359"</f>
        <v>SMTWTFS 0530-2359</v>
      </c>
      <c r="BY167" t="str">
        <f>""</f>
        <v/>
      </c>
      <c r="BZ167" t="str">
        <f>""</f>
        <v/>
      </c>
      <c r="CA167" t="str">
        <f>""</f>
        <v/>
      </c>
      <c r="CB167" t="str">
        <f>""</f>
        <v/>
      </c>
      <c r="CC167" t="str">
        <f>""</f>
        <v/>
      </c>
      <c r="CD167" t="str">
        <f>""</f>
        <v/>
      </c>
      <c r="CE167" t="str">
        <f>""</f>
        <v/>
      </c>
      <c r="CF167" t="str">
        <f>""</f>
        <v/>
      </c>
      <c r="CG167" t="str">
        <f>""</f>
        <v/>
      </c>
      <c r="CH167" t="str">
        <f>""</f>
        <v/>
      </c>
    </row>
    <row r="168" spans="1:86" x14ac:dyDescent="0.25">
      <c r="A168" t="s">
        <v>1070</v>
      </c>
      <c r="B168" t="s">
        <v>1071</v>
      </c>
      <c r="C168" t="s">
        <v>1992</v>
      </c>
      <c r="D168" t="s">
        <v>1993</v>
      </c>
      <c r="E168" t="s">
        <v>1072</v>
      </c>
      <c r="F168" t="s">
        <v>1073</v>
      </c>
      <c r="H168" t="s">
        <v>1074</v>
      </c>
      <c r="I168" t="s">
        <v>576</v>
      </c>
      <c r="J168" t="str">
        <f>"99109"</f>
        <v>99109</v>
      </c>
      <c r="K168" t="s">
        <v>1998</v>
      </c>
      <c r="L168" t="s">
        <v>231</v>
      </c>
      <c r="M168" t="s">
        <v>2000</v>
      </c>
      <c r="N168" t="s">
        <v>1992</v>
      </c>
      <c r="O168" t="s">
        <v>1992</v>
      </c>
      <c r="P168" t="s">
        <v>1992</v>
      </c>
      <c r="Q168" t="s">
        <v>1992</v>
      </c>
      <c r="R168" t="s">
        <v>1992</v>
      </c>
      <c r="S168" t="s">
        <v>1992</v>
      </c>
      <c r="T168" t="s">
        <v>1992</v>
      </c>
      <c r="U168" t="s">
        <v>1992</v>
      </c>
      <c r="V168" t="s">
        <v>1991</v>
      </c>
      <c r="Z168" t="s">
        <v>1991</v>
      </c>
      <c r="AF168" t="s">
        <v>2064</v>
      </c>
      <c r="AG168" t="s">
        <v>1991</v>
      </c>
      <c r="AH168">
        <v>15</v>
      </c>
      <c r="AI168">
        <v>15</v>
      </c>
      <c r="AJ168" t="s">
        <v>1075</v>
      </c>
      <c r="AK168">
        <v>1668</v>
      </c>
      <c r="BX168" t="str">
        <f>""</f>
        <v/>
      </c>
      <c r="BY168" t="str">
        <f>""</f>
        <v/>
      </c>
      <c r="BZ168" t="str">
        <f>""</f>
        <v/>
      </c>
      <c r="CA168" t="str">
        <f>""</f>
        <v/>
      </c>
      <c r="CB168" t="str">
        <f>""</f>
        <v/>
      </c>
      <c r="CC168" t="str">
        <f>""</f>
        <v/>
      </c>
      <c r="CD168" t="str">
        <f>""</f>
        <v/>
      </c>
      <c r="CE168" t="str">
        <f>""</f>
        <v/>
      </c>
      <c r="CF168" t="str">
        <f>""</f>
        <v/>
      </c>
      <c r="CG168" t="str">
        <f>""</f>
        <v/>
      </c>
      <c r="CH168" t="str">
        <f>""</f>
        <v/>
      </c>
    </row>
    <row r="169" spans="1:86" x14ac:dyDescent="0.25">
      <c r="A169" t="s">
        <v>1076</v>
      </c>
      <c r="B169" t="s">
        <v>1077</v>
      </c>
      <c r="C169" t="s">
        <v>1992</v>
      </c>
      <c r="D169" t="s">
        <v>2028</v>
      </c>
      <c r="E169" t="s">
        <v>1078</v>
      </c>
      <c r="H169" t="s">
        <v>1079</v>
      </c>
      <c r="I169" t="s">
        <v>2061</v>
      </c>
      <c r="J169" t="str">
        <f>"91311"</f>
        <v>91311</v>
      </c>
      <c r="K169" t="s">
        <v>1998</v>
      </c>
      <c r="L169" t="s">
        <v>2045</v>
      </c>
      <c r="M169" t="s">
        <v>2063</v>
      </c>
      <c r="N169" t="s">
        <v>1992</v>
      </c>
      <c r="O169" t="s">
        <v>1992</v>
      </c>
      <c r="P169" t="s">
        <v>1991</v>
      </c>
      <c r="Q169" t="s">
        <v>1992</v>
      </c>
      <c r="R169" t="s">
        <v>1992</v>
      </c>
      <c r="S169" t="s">
        <v>1992</v>
      </c>
      <c r="T169" t="s">
        <v>1992</v>
      </c>
      <c r="U169" t="s">
        <v>1992</v>
      </c>
      <c r="V169" t="s">
        <v>1991</v>
      </c>
      <c r="W169" t="s">
        <v>1991</v>
      </c>
      <c r="X169" t="s">
        <v>1991</v>
      </c>
      <c r="Y169" t="s">
        <v>1991</v>
      </c>
      <c r="Z169" t="s">
        <v>1992</v>
      </c>
      <c r="AA169" t="s">
        <v>1992</v>
      </c>
      <c r="AE169" t="s">
        <v>1080</v>
      </c>
      <c r="AF169" t="s">
        <v>2064</v>
      </c>
      <c r="AG169" t="s">
        <v>1991</v>
      </c>
      <c r="AH169">
        <v>30</v>
      </c>
      <c r="AI169">
        <v>30</v>
      </c>
      <c r="AJ169" t="s">
        <v>1081</v>
      </c>
      <c r="AK169">
        <v>968</v>
      </c>
      <c r="AL169">
        <v>37225</v>
      </c>
      <c r="AN169" t="s">
        <v>2066</v>
      </c>
      <c r="BF169" t="s">
        <v>1053</v>
      </c>
      <c r="BG169" t="s">
        <v>2067</v>
      </c>
      <c r="BH169" t="s">
        <v>275</v>
      </c>
      <c r="BI169" t="s">
        <v>1053</v>
      </c>
      <c r="BJ169" t="s">
        <v>2069</v>
      </c>
      <c r="BK169" t="s">
        <v>1053</v>
      </c>
      <c r="BL169" t="s">
        <v>2069</v>
      </c>
      <c r="BM169" t="s">
        <v>276</v>
      </c>
      <c r="BN169" t="s">
        <v>277</v>
      </c>
      <c r="BO169" t="s">
        <v>1053</v>
      </c>
      <c r="BP169" t="s">
        <v>2067</v>
      </c>
      <c r="BQ169" t="s">
        <v>275</v>
      </c>
      <c r="BR169" t="s">
        <v>1053</v>
      </c>
      <c r="BX169" t="str">
        <f>""</f>
        <v/>
      </c>
      <c r="BY169" t="str">
        <f>""</f>
        <v/>
      </c>
      <c r="BZ169" t="str">
        <f>""</f>
        <v/>
      </c>
      <c r="CA169" t="str">
        <f>""</f>
        <v/>
      </c>
      <c r="CB169" t="str">
        <f>""</f>
        <v/>
      </c>
      <c r="CC169" t="str">
        <f>""</f>
        <v/>
      </c>
      <c r="CD169" t="str">
        <f>"SMTWTFS 0000-2359"</f>
        <v>SMTWTFS 0000-2359</v>
      </c>
      <c r="CE169" t="str">
        <f>""</f>
        <v/>
      </c>
      <c r="CF169" t="str">
        <f>""</f>
        <v/>
      </c>
      <c r="CG169" t="str">
        <f>""</f>
        <v/>
      </c>
      <c r="CH169" t="str">
        <f>""</f>
        <v/>
      </c>
    </row>
    <row r="170" spans="1:86" x14ac:dyDescent="0.25">
      <c r="A170" t="s">
        <v>1082</v>
      </c>
      <c r="B170" t="s">
        <v>1083</v>
      </c>
      <c r="C170" t="s">
        <v>1991</v>
      </c>
      <c r="D170" t="s">
        <v>2010</v>
      </c>
      <c r="E170" t="s">
        <v>1084</v>
      </c>
      <c r="H170" t="s">
        <v>1085</v>
      </c>
      <c r="I170" t="s">
        <v>700</v>
      </c>
      <c r="J170" t="str">
        <f>"27513"</f>
        <v>27513</v>
      </c>
      <c r="K170" t="s">
        <v>1998</v>
      </c>
      <c r="L170" t="s">
        <v>408</v>
      </c>
      <c r="M170" t="s">
        <v>1086</v>
      </c>
      <c r="N170" t="s">
        <v>1991</v>
      </c>
      <c r="O170" t="s">
        <v>1991</v>
      </c>
      <c r="P170" t="s">
        <v>1992</v>
      </c>
      <c r="Q170" t="s">
        <v>1991</v>
      </c>
      <c r="R170" t="s">
        <v>1991</v>
      </c>
      <c r="S170" t="s">
        <v>1992</v>
      </c>
      <c r="T170" t="s">
        <v>1992</v>
      </c>
      <c r="U170" t="s">
        <v>1991</v>
      </c>
      <c r="V170" t="s">
        <v>1991</v>
      </c>
      <c r="W170" t="s">
        <v>1991</v>
      </c>
      <c r="X170" t="s">
        <v>1992</v>
      </c>
      <c r="Y170" t="s">
        <v>1992</v>
      </c>
      <c r="Z170" t="s">
        <v>1992</v>
      </c>
      <c r="AF170" t="s">
        <v>2016</v>
      </c>
      <c r="AG170" t="s">
        <v>1991</v>
      </c>
      <c r="AH170">
        <v>60</v>
      </c>
      <c r="AI170">
        <v>45</v>
      </c>
      <c r="AJ170" t="s">
        <v>1087</v>
      </c>
      <c r="AK170">
        <v>495</v>
      </c>
      <c r="AL170">
        <v>70000</v>
      </c>
      <c r="AM170" t="s">
        <v>1088</v>
      </c>
      <c r="AN170" t="s">
        <v>1053</v>
      </c>
      <c r="AO170" t="s">
        <v>1053</v>
      </c>
      <c r="AQ170" t="s">
        <v>1053</v>
      </c>
      <c r="AS170" t="s">
        <v>1082</v>
      </c>
      <c r="AT170" t="s">
        <v>1089</v>
      </c>
      <c r="AU170" t="s">
        <v>1053</v>
      </c>
      <c r="AV170" t="s">
        <v>1053</v>
      </c>
      <c r="AX170" t="s">
        <v>1053</v>
      </c>
      <c r="AZ170" t="s">
        <v>1082</v>
      </c>
      <c r="BA170" t="s">
        <v>1089</v>
      </c>
      <c r="BB170" t="s">
        <v>1053</v>
      </c>
      <c r="BD170" t="s">
        <v>1053</v>
      </c>
      <c r="BF170" t="s">
        <v>1053</v>
      </c>
      <c r="BG170" t="s">
        <v>2019</v>
      </c>
      <c r="BH170" t="s">
        <v>1090</v>
      </c>
      <c r="BI170" t="s">
        <v>1053</v>
      </c>
      <c r="BJ170" t="s">
        <v>1053</v>
      </c>
      <c r="BK170" t="s">
        <v>1053</v>
      </c>
      <c r="BL170" t="s">
        <v>1053</v>
      </c>
      <c r="BM170" t="s">
        <v>705</v>
      </c>
      <c r="BN170" t="s">
        <v>1091</v>
      </c>
      <c r="BO170" t="s">
        <v>1053</v>
      </c>
      <c r="BP170" t="s">
        <v>2375</v>
      </c>
      <c r="BQ170" t="s">
        <v>781</v>
      </c>
      <c r="BR170" t="s">
        <v>1053</v>
      </c>
      <c r="BS170" t="s">
        <v>1053</v>
      </c>
      <c r="BT170" t="s">
        <v>1053</v>
      </c>
      <c r="BU170" t="s">
        <v>1053</v>
      </c>
      <c r="BV170" t="s">
        <v>416</v>
      </c>
      <c r="BW170" t="s">
        <v>417</v>
      </c>
      <c r="BX170" t="str">
        <f t="shared" ref="BX170:CC170" si="4">"SMTWTFS 0600-2230"</f>
        <v>SMTWTFS 0600-2230</v>
      </c>
      <c r="BY170" t="str">
        <f t="shared" si="4"/>
        <v>SMTWTFS 0600-2230</v>
      </c>
      <c r="BZ170" t="str">
        <f t="shared" si="4"/>
        <v>SMTWTFS 0600-2230</v>
      </c>
      <c r="CA170" t="str">
        <f t="shared" si="4"/>
        <v>SMTWTFS 0600-2230</v>
      </c>
      <c r="CB170" t="str">
        <f t="shared" si="4"/>
        <v>SMTWTFS 0600-2230</v>
      </c>
      <c r="CC170" t="str">
        <f t="shared" si="4"/>
        <v>SMTWTFS 0600-2230</v>
      </c>
      <c r="CD170" t="str">
        <f>""</f>
        <v/>
      </c>
      <c r="CE170" t="str">
        <f>""</f>
        <v/>
      </c>
      <c r="CF170" t="str">
        <f>"SMTWTFS 0600-2230"</f>
        <v>SMTWTFS 0600-2230</v>
      </c>
      <c r="CG170" t="str">
        <f>""</f>
        <v/>
      </c>
      <c r="CH170" t="str">
        <f>"SMTWTFS 0000-2359"</f>
        <v>SMTWTFS 0000-2359</v>
      </c>
    </row>
    <row r="171" spans="1:86" x14ac:dyDescent="0.25">
      <c r="A171" t="s">
        <v>1092</v>
      </c>
      <c r="B171" t="s">
        <v>1093</v>
      </c>
      <c r="C171" t="s">
        <v>1991</v>
      </c>
      <c r="D171" t="s">
        <v>2010</v>
      </c>
      <c r="E171" t="s">
        <v>1094</v>
      </c>
      <c r="F171" t="s">
        <v>1095</v>
      </c>
      <c r="H171" t="s">
        <v>1096</v>
      </c>
      <c r="I171" t="s">
        <v>2381</v>
      </c>
      <c r="J171" t="str">
        <f>"75202-4840"</f>
        <v>75202-4840</v>
      </c>
      <c r="K171" t="s">
        <v>1998</v>
      </c>
      <c r="L171" t="s">
        <v>2045</v>
      </c>
      <c r="M171" t="s">
        <v>1097</v>
      </c>
      <c r="N171" t="s">
        <v>1991</v>
      </c>
      <c r="O171" t="s">
        <v>1991</v>
      </c>
      <c r="P171" t="s">
        <v>1992</v>
      </c>
      <c r="Q171" t="s">
        <v>1991</v>
      </c>
      <c r="R171" t="s">
        <v>1991</v>
      </c>
      <c r="S171" t="s">
        <v>1992</v>
      </c>
      <c r="T171" t="s">
        <v>1992</v>
      </c>
      <c r="U171" t="s">
        <v>1991</v>
      </c>
      <c r="V171" t="s">
        <v>1991</v>
      </c>
      <c r="W171" t="s">
        <v>1991</v>
      </c>
      <c r="X171" t="s">
        <v>1991</v>
      </c>
      <c r="Y171" t="s">
        <v>1992</v>
      </c>
      <c r="Z171" t="s">
        <v>1991</v>
      </c>
      <c r="AE171" t="s">
        <v>2047</v>
      </c>
      <c r="AF171" t="s">
        <v>2001</v>
      </c>
      <c r="AG171" t="s">
        <v>1991</v>
      </c>
      <c r="AH171">
        <v>60</v>
      </c>
      <c r="AI171">
        <v>30</v>
      </c>
      <c r="AJ171" t="s">
        <v>1098</v>
      </c>
      <c r="AK171">
        <v>425</v>
      </c>
      <c r="AL171">
        <v>2000000</v>
      </c>
      <c r="AN171" t="s">
        <v>1053</v>
      </c>
      <c r="AO171" t="s">
        <v>1053</v>
      </c>
      <c r="AP171" t="s">
        <v>2069</v>
      </c>
      <c r="AQ171" t="s">
        <v>1053</v>
      </c>
      <c r="AR171" t="s">
        <v>2069</v>
      </c>
      <c r="AS171" t="s">
        <v>1092</v>
      </c>
      <c r="AT171" t="s">
        <v>1099</v>
      </c>
      <c r="AW171" t="s">
        <v>2069</v>
      </c>
      <c r="AY171" t="s">
        <v>2069</v>
      </c>
      <c r="BF171" t="s">
        <v>1053</v>
      </c>
      <c r="BG171" t="s">
        <v>235</v>
      </c>
      <c r="BH171" t="s">
        <v>2098</v>
      </c>
      <c r="BI171" t="s">
        <v>1053</v>
      </c>
      <c r="BJ171" t="s">
        <v>2069</v>
      </c>
      <c r="BK171" t="s">
        <v>1053</v>
      </c>
      <c r="BL171" t="s">
        <v>2069</v>
      </c>
      <c r="BM171" t="s">
        <v>2099</v>
      </c>
      <c r="BN171" t="s">
        <v>2100</v>
      </c>
      <c r="BO171" t="s">
        <v>1053</v>
      </c>
      <c r="BP171" t="s">
        <v>2101</v>
      </c>
      <c r="BQ171" t="s">
        <v>2055</v>
      </c>
      <c r="BR171" t="s">
        <v>1053</v>
      </c>
      <c r="BS171" t="s">
        <v>1053</v>
      </c>
      <c r="BT171" t="s">
        <v>1053</v>
      </c>
      <c r="BU171" t="s">
        <v>1053</v>
      </c>
      <c r="BV171" t="s">
        <v>2056</v>
      </c>
      <c r="BX171" t="str">
        <f>"SMTWTFS 0915-1630"</f>
        <v>SMTWTFS 0915-1630</v>
      </c>
      <c r="BY171" t="str">
        <f>"SMTWTFS 0900-1630"</f>
        <v>SMTWTFS 0900-1630</v>
      </c>
      <c r="BZ171" t="str">
        <f>"SMTWTFS 0900-1630"</f>
        <v>SMTWTFS 0900-1630</v>
      </c>
      <c r="CA171" t="str">
        <f>"SMTWTFS 0900-1630"</f>
        <v>SMTWTFS 0900-1630</v>
      </c>
      <c r="CB171" t="str">
        <f>""</f>
        <v/>
      </c>
      <c r="CC171" t="str">
        <f>"SMTWTFS 0545-2359"</f>
        <v>SMTWTFS 0545-2359</v>
      </c>
      <c r="CD171" t="str">
        <f>""</f>
        <v/>
      </c>
      <c r="CE171" t="str">
        <f>""</f>
        <v/>
      </c>
      <c r="CF171" t="str">
        <f>"SMTWTFS 0900-1630"</f>
        <v>SMTWTFS 0900-1630</v>
      </c>
      <c r="CG171" t="str">
        <f>""</f>
        <v/>
      </c>
      <c r="CH171" t="str">
        <f>"SMTWTFS 0000-2359"</f>
        <v>SMTWTFS 0000-2359</v>
      </c>
    </row>
    <row r="172" spans="1:86" x14ac:dyDescent="0.25">
      <c r="A172" t="s">
        <v>1100</v>
      </c>
      <c r="B172" t="s">
        <v>1101</v>
      </c>
      <c r="C172" t="s">
        <v>1992</v>
      </c>
      <c r="D172" t="s">
        <v>1993</v>
      </c>
      <c r="E172" t="s">
        <v>1102</v>
      </c>
      <c r="F172" t="s">
        <v>1103</v>
      </c>
      <c r="H172" t="s">
        <v>1104</v>
      </c>
      <c r="I172" t="s">
        <v>2287</v>
      </c>
      <c r="J172" t="str">
        <f>"04543-4649"</f>
        <v>04543-4649</v>
      </c>
      <c r="K172" t="s">
        <v>1998</v>
      </c>
      <c r="L172" t="s">
        <v>2033</v>
      </c>
      <c r="M172" t="s">
        <v>1105</v>
      </c>
      <c r="N172" t="s">
        <v>1992</v>
      </c>
      <c r="O172" t="s">
        <v>1992</v>
      </c>
      <c r="P172" t="s">
        <v>1992</v>
      </c>
      <c r="Q172" t="s">
        <v>1992</v>
      </c>
      <c r="R172" t="s">
        <v>1992</v>
      </c>
      <c r="S172" t="s">
        <v>1992</v>
      </c>
      <c r="T172" t="s">
        <v>1992</v>
      </c>
      <c r="U172" t="s">
        <v>1992</v>
      </c>
      <c r="V172" t="s">
        <v>1991</v>
      </c>
      <c r="W172" t="s">
        <v>1992</v>
      </c>
      <c r="X172" t="s">
        <v>1992</v>
      </c>
      <c r="Y172" t="s">
        <v>1992</v>
      </c>
      <c r="Z172" t="s">
        <v>1991</v>
      </c>
      <c r="AE172" t="s">
        <v>473</v>
      </c>
      <c r="AF172" t="s">
        <v>2016</v>
      </c>
      <c r="AG172" t="s">
        <v>1991</v>
      </c>
      <c r="AH172">
        <v>30</v>
      </c>
      <c r="AI172">
        <v>30</v>
      </c>
      <c r="AJ172" t="s">
        <v>1106</v>
      </c>
      <c r="AK172">
        <v>16</v>
      </c>
      <c r="AL172">
        <v>1972</v>
      </c>
      <c r="AM172" t="s">
        <v>2298</v>
      </c>
      <c r="AN172" t="s">
        <v>791</v>
      </c>
      <c r="AO172" t="s">
        <v>1053</v>
      </c>
      <c r="BF172" t="s">
        <v>1053</v>
      </c>
      <c r="BG172" t="s">
        <v>476</v>
      </c>
      <c r="BH172" t="s">
        <v>477</v>
      </c>
      <c r="BI172" t="s">
        <v>1053</v>
      </c>
      <c r="BK172" t="s">
        <v>1053</v>
      </c>
      <c r="BX172" t="str">
        <f>"S------ 0800-1400; -MTWTF- 0700-1800; ------S 0800-1600"</f>
        <v>S------ 0800-1400; -MTWTF- 0700-1800; ------S 0800-1600</v>
      </c>
      <c r="BY172" t="str">
        <f>""</f>
        <v/>
      </c>
      <c r="BZ172" t="str">
        <f>""</f>
        <v/>
      </c>
      <c r="CA172" t="str">
        <f>""</f>
        <v/>
      </c>
      <c r="CB172" t="str">
        <f>""</f>
        <v/>
      </c>
      <c r="CC172" t="str">
        <f>""</f>
        <v/>
      </c>
      <c r="CD172" t="str">
        <f>""</f>
        <v/>
      </c>
      <c r="CE172" t="str">
        <f>""</f>
        <v/>
      </c>
      <c r="CF172" t="str">
        <f>""</f>
        <v/>
      </c>
      <c r="CG172" t="str">
        <f>""</f>
        <v/>
      </c>
      <c r="CH172" t="str">
        <f>""</f>
        <v/>
      </c>
    </row>
    <row r="173" spans="1:86" x14ac:dyDescent="0.25">
      <c r="A173" t="s">
        <v>1107</v>
      </c>
      <c r="B173" t="s">
        <v>1108</v>
      </c>
      <c r="C173" t="s">
        <v>1992</v>
      </c>
      <c r="D173" t="s">
        <v>2010</v>
      </c>
      <c r="E173" t="s">
        <v>1109</v>
      </c>
      <c r="H173" t="s">
        <v>1110</v>
      </c>
      <c r="I173" t="s">
        <v>2405</v>
      </c>
      <c r="J173" t="str">
        <f>"24541-1503"</f>
        <v>24541-1503</v>
      </c>
      <c r="K173" t="s">
        <v>1998</v>
      </c>
      <c r="L173" t="s">
        <v>408</v>
      </c>
      <c r="M173" t="s">
        <v>2063</v>
      </c>
      <c r="N173" t="s">
        <v>1992</v>
      </c>
      <c r="O173" t="s">
        <v>1992</v>
      </c>
      <c r="P173" t="s">
        <v>1992</v>
      </c>
      <c r="Q173" t="s">
        <v>1992</v>
      </c>
      <c r="R173" t="s">
        <v>1992</v>
      </c>
      <c r="S173" t="s">
        <v>1992</v>
      </c>
      <c r="T173" t="s">
        <v>1992</v>
      </c>
      <c r="U173" t="s">
        <v>1992</v>
      </c>
      <c r="V173" t="s">
        <v>1991</v>
      </c>
      <c r="W173" t="s">
        <v>1991</v>
      </c>
      <c r="X173" t="s">
        <v>1992</v>
      </c>
      <c r="Y173" t="s">
        <v>1992</v>
      </c>
      <c r="Z173" t="s">
        <v>1992</v>
      </c>
      <c r="AF173" t="s">
        <v>2016</v>
      </c>
      <c r="AG173" t="s">
        <v>1991</v>
      </c>
      <c r="AH173">
        <v>30</v>
      </c>
      <c r="AI173">
        <v>30</v>
      </c>
      <c r="AJ173" t="s">
        <v>1111</v>
      </c>
      <c r="AK173">
        <v>428</v>
      </c>
      <c r="AL173">
        <v>45586</v>
      </c>
      <c r="AN173" t="s">
        <v>1112</v>
      </c>
      <c r="AO173" t="s">
        <v>1053</v>
      </c>
      <c r="AU173" t="s">
        <v>1113</v>
      </c>
      <c r="AV173" t="s">
        <v>1053</v>
      </c>
      <c r="BF173" t="s">
        <v>1053</v>
      </c>
      <c r="BG173" t="s">
        <v>703</v>
      </c>
      <c r="BH173" t="s">
        <v>704</v>
      </c>
      <c r="BI173" t="s">
        <v>1053</v>
      </c>
      <c r="BJ173" t="s">
        <v>1053</v>
      </c>
      <c r="BK173" t="s">
        <v>1053</v>
      </c>
      <c r="BL173" t="s">
        <v>1053</v>
      </c>
      <c r="BM173" t="s">
        <v>705</v>
      </c>
      <c r="BO173" t="s">
        <v>1053</v>
      </c>
      <c r="BP173" t="s">
        <v>2375</v>
      </c>
      <c r="BQ173" t="s">
        <v>427</v>
      </c>
      <c r="BR173" t="s">
        <v>1053</v>
      </c>
      <c r="BS173" t="s">
        <v>1053</v>
      </c>
      <c r="BT173" t="s">
        <v>1053</v>
      </c>
      <c r="BU173" t="s">
        <v>1053</v>
      </c>
      <c r="BV173" t="s">
        <v>416</v>
      </c>
      <c r="BW173" t="s">
        <v>417</v>
      </c>
      <c r="BX173" t="str">
        <f>"SMTWTFS 0000-0100 0400-0600 2300-2359"</f>
        <v>SMTWTFS 0000-0100 0400-0600 2300-2359</v>
      </c>
      <c r="BY173" t="str">
        <f>""</f>
        <v/>
      </c>
      <c r="BZ173" t="str">
        <f>""</f>
        <v/>
      </c>
      <c r="CA173" t="str">
        <f>""</f>
        <v/>
      </c>
      <c r="CB173" t="str">
        <f>""</f>
        <v/>
      </c>
      <c r="CC173" t="str">
        <f>""</f>
        <v/>
      </c>
      <c r="CD173" t="str">
        <f>""</f>
        <v/>
      </c>
      <c r="CE173" t="str">
        <f>""</f>
        <v/>
      </c>
      <c r="CF173" t="str">
        <f>""</f>
        <v/>
      </c>
      <c r="CG173" t="str">
        <f>""</f>
        <v/>
      </c>
      <c r="CH173" t="str">
        <f>""</f>
        <v/>
      </c>
    </row>
    <row r="174" spans="1:86" x14ac:dyDescent="0.25">
      <c r="A174" t="s">
        <v>1114</v>
      </c>
      <c r="B174" t="s">
        <v>1115</v>
      </c>
      <c r="C174" t="s">
        <v>1991</v>
      </c>
      <c r="D174" t="s">
        <v>2010</v>
      </c>
      <c r="E174" t="s">
        <v>1116</v>
      </c>
      <c r="F174" t="s">
        <v>1117</v>
      </c>
      <c r="H174" t="s">
        <v>1118</v>
      </c>
      <c r="I174" t="s">
        <v>2061</v>
      </c>
      <c r="J174" t="str">
        <f>"95616-4624"</f>
        <v>95616-4624</v>
      </c>
      <c r="K174" t="s">
        <v>1998</v>
      </c>
      <c r="L174" t="s">
        <v>2062</v>
      </c>
      <c r="M174" t="s">
        <v>1119</v>
      </c>
      <c r="N174" t="s">
        <v>1991</v>
      </c>
      <c r="O174" t="s">
        <v>1991</v>
      </c>
      <c r="P174" t="s">
        <v>1992</v>
      </c>
      <c r="Q174" t="s">
        <v>1991</v>
      </c>
      <c r="R174" t="s">
        <v>1991</v>
      </c>
      <c r="S174" t="s">
        <v>1992</v>
      </c>
      <c r="T174" t="s">
        <v>1992</v>
      </c>
      <c r="U174" t="s">
        <v>1991</v>
      </c>
      <c r="V174" t="s">
        <v>1991</v>
      </c>
      <c r="W174" t="s">
        <v>1991</v>
      </c>
      <c r="X174" t="s">
        <v>1992</v>
      </c>
      <c r="Y174" t="s">
        <v>1991</v>
      </c>
      <c r="Z174" t="s">
        <v>1992</v>
      </c>
      <c r="AA174" t="s">
        <v>1992</v>
      </c>
      <c r="AE174" t="s">
        <v>2047</v>
      </c>
      <c r="AF174" t="s">
        <v>2064</v>
      </c>
      <c r="AG174" t="s">
        <v>1991</v>
      </c>
      <c r="AH174">
        <v>60</v>
      </c>
      <c r="AI174">
        <v>30</v>
      </c>
      <c r="AJ174" t="s">
        <v>1120</v>
      </c>
      <c r="AK174">
        <v>49</v>
      </c>
      <c r="AL174">
        <v>64401</v>
      </c>
      <c r="AM174" t="s">
        <v>2298</v>
      </c>
      <c r="AN174" t="s">
        <v>1053</v>
      </c>
      <c r="AO174" t="s">
        <v>1053</v>
      </c>
      <c r="AP174" t="s">
        <v>2069</v>
      </c>
      <c r="AQ174" t="s">
        <v>1053</v>
      </c>
      <c r="AR174" t="s">
        <v>2069</v>
      </c>
      <c r="AS174" t="s">
        <v>1114</v>
      </c>
      <c r="AT174" t="s">
        <v>1121</v>
      </c>
      <c r="AU174" t="s">
        <v>1053</v>
      </c>
      <c r="AV174" t="s">
        <v>1053</v>
      </c>
      <c r="AW174" t="s">
        <v>2069</v>
      </c>
      <c r="AX174" t="s">
        <v>1053</v>
      </c>
      <c r="AY174" t="s">
        <v>2069</v>
      </c>
      <c r="AZ174" t="s">
        <v>1114</v>
      </c>
      <c r="BA174" t="s">
        <v>1121</v>
      </c>
      <c r="BB174" t="s">
        <v>1053</v>
      </c>
      <c r="BD174" t="s">
        <v>1053</v>
      </c>
      <c r="BF174" t="s">
        <v>1053</v>
      </c>
      <c r="BG174" t="s">
        <v>317</v>
      </c>
      <c r="BH174" t="s">
        <v>1122</v>
      </c>
      <c r="BI174" t="s">
        <v>1053</v>
      </c>
      <c r="BO174" t="s">
        <v>1053</v>
      </c>
      <c r="BP174" t="s">
        <v>2067</v>
      </c>
      <c r="BQ174" t="s">
        <v>348</v>
      </c>
      <c r="BR174" t="s">
        <v>1053</v>
      </c>
      <c r="BT174" t="s">
        <v>1053</v>
      </c>
      <c r="BX174" t="str">
        <f>"SMTWTFS 0000-0130 0415-2359"</f>
        <v>SMTWTFS 0000-0130 0415-2359</v>
      </c>
      <c r="BY174" t="str">
        <f>"SMTWTFS 0000-0130 0415-2359"</f>
        <v>SMTWTFS 0000-0130 0415-2359</v>
      </c>
      <c r="BZ174" t="str">
        <f>"SMTWTFS 0000-0130 0415-2359"</f>
        <v>SMTWTFS 0000-0130 0415-2359</v>
      </c>
      <c r="CA174" t="str">
        <f>"SMTWTFS 0000-0130 0415-2359"</f>
        <v>SMTWTFS 0000-0130 0415-2359</v>
      </c>
      <c r="CB174" t="str">
        <f>""</f>
        <v/>
      </c>
      <c r="CC174" t="str">
        <f>"SMTWTFS 0000-0130 0415-2359"</f>
        <v>SMTWTFS 0000-0130 0415-2359</v>
      </c>
      <c r="CD174" t="str">
        <f>""</f>
        <v/>
      </c>
      <c r="CE174" t="str">
        <f>""</f>
        <v/>
      </c>
      <c r="CF174" t="str">
        <f>"SMTWTFS 0600-2200"</f>
        <v>SMTWTFS 0600-2200</v>
      </c>
      <c r="CG174" t="str">
        <f>""</f>
        <v/>
      </c>
      <c r="CH174" t="str">
        <f>"SMTWTFS 0001-2359"</f>
        <v>SMTWTFS 0001-2359</v>
      </c>
    </row>
    <row r="175" spans="1:86" x14ac:dyDescent="0.25">
      <c r="A175" t="s">
        <v>1123</v>
      </c>
      <c r="B175" t="s">
        <v>1124</v>
      </c>
      <c r="C175" t="s">
        <v>1992</v>
      </c>
      <c r="D175" t="s">
        <v>2010</v>
      </c>
      <c r="E175" t="s">
        <v>1125</v>
      </c>
      <c r="F175" t="s">
        <v>1126</v>
      </c>
      <c r="G175" t="s">
        <v>1127</v>
      </c>
      <c r="H175" t="s">
        <v>1128</v>
      </c>
      <c r="I175" t="s">
        <v>2061</v>
      </c>
      <c r="J175" t="str">
        <f>"94588-3900"</f>
        <v>94588-3900</v>
      </c>
      <c r="K175" t="s">
        <v>1998</v>
      </c>
      <c r="L175" t="s">
        <v>2062</v>
      </c>
      <c r="M175" t="s">
        <v>2063</v>
      </c>
      <c r="N175" t="s">
        <v>1992</v>
      </c>
      <c r="O175" t="s">
        <v>1992</v>
      </c>
      <c r="P175" t="s">
        <v>1992</v>
      </c>
      <c r="Q175" t="s">
        <v>1992</v>
      </c>
      <c r="R175" t="s">
        <v>1992</v>
      </c>
      <c r="S175" t="s">
        <v>1992</v>
      </c>
      <c r="T175" t="s">
        <v>1992</v>
      </c>
      <c r="U175" t="s">
        <v>1992</v>
      </c>
      <c r="V175" t="s">
        <v>1991</v>
      </c>
      <c r="W175" t="s">
        <v>1992</v>
      </c>
      <c r="X175" t="s">
        <v>1992</v>
      </c>
      <c r="Y175" t="s">
        <v>1991</v>
      </c>
      <c r="Z175" t="s">
        <v>1991</v>
      </c>
      <c r="AF175" t="s">
        <v>2064</v>
      </c>
      <c r="AG175" t="s">
        <v>1991</v>
      </c>
      <c r="AH175">
        <v>30</v>
      </c>
      <c r="AI175">
        <v>30</v>
      </c>
      <c r="AJ175" t="s">
        <v>1129</v>
      </c>
      <c r="AK175">
        <v>334</v>
      </c>
      <c r="AL175">
        <v>41840</v>
      </c>
      <c r="AM175" t="s">
        <v>2298</v>
      </c>
      <c r="AN175" t="s">
        <v>308</v>
      </c>
      <c r="BF175" t="s">
        <v>1053</v>
      </c>
      <c r="BG175" t="s">
        <v>309</v>
      </c>
      <c r="BH175" t="s">
        <v>2301</v>
      </c>
      <c r="BI175" t="s">
        <v>1053</v>
      </c>
      <c r="BK175" t="s">
        <v>1053</v>
      </c>
      <c r="BO175" t="s">
        <v>1053</v>
      </c>
      <c r="BP175" t="s">
        <v>518</v>
      </c>
      <c r="BQ175" t="s">
        <v>3820</v>
      </c>
      <c r="BR175" t="s">
        <v>1053</v>
      </c>
      <c r="BT175" t="s">
        <v>1053</v>
      </c>
      <c r="BV175" t="s">
        <v>2070</v>
      </c>
      <c r="BW175">
        <v>0</v>
      </c>
      <c r="BX175" t="str">
        <f>""</f>
        <v/>
      </c>
      <c r="BY175" t="str">
        <f>""</f>
        <v/>
      </c>
      <c r="BZ175" t="str">
        <f>""</f>
        <v/>
      </c>
      <c r="CA175" t="str">
        <f>""</f>
        <v/>
      </c>
      <c r="CB175" t="str">
        <f>""</f>
        <v/>
      </c>
      <c r="CC175" t="str">
        <f>""</f>
        <v/>
      </c>
      <c r="CD175" t="str">
        <f>""</f>
        <v/>
      </c>
      <c r="CE175" t="str">
        <f>""</f>
        <v/>
      </c>
      <c r="CF175" t="str">
        <f>""</f>
        <v/>
      </c>
      <c r="CG175" t="str">
        <f>""</f>
        <v/>
      </c>
      <c r="CH175" t="str">
        <f>""</f>
        <v/>
      </c>
    </row>
    <row r="176" spans="1:86" x14ac:dyDescent="0.25">
      <c r="A176" t="s">
        <v>1130</v>
      </c>
      <c r="B176" t="s">
        <v>1131</v>
      </c>
      <c r="C176" t="s">
        <v>1992</v>
      </c>
      <c r="D176" t="s">
        <v>1993</v>
      </c>
      <c r="E176" t="s">
        <v>1132</v>
      </c>
      <c r="F176" t="s">
        <v>1133</v>
      </c>
      <c r="H176" t="s">
        <v>1134</v>
      </c>
      <c r="I176" t="s">
        <v>558</v>
      </c>
      <c r="J176" t="str">
        <f>"33525"</f>
        <v>33525</v>
      </c>
      <c r="K176" t="s">
        <v>1998</v>
      </c>
      <c r="L176" t="s">
        <v>408</v>
      </c>
      <c r="M176" t="s">
        <v>1135</v>
      </c>
      <c r="N176" t="s">
        <v>1992</v>
      </c>
      <c r="O176" t="s">
        <v>1992</v>
      </c>
      <c r="P176" t="s">
        <v>1992</v>
      </c>
      <c r="Q176" t="s">
        <v>1992</v>
      </c>
      <c r="R176" t="s">
        <v>1992</v>
      </c>
      <c r="S176" t="s">
        <v>1992</v>
      </c>
      <c r="T176" t="s">
        <v>1992</v>
      </c>
      <c r="U176" t="s">
        <v>1992</v>
      </c>
      <c r="V176" t="s">
        <v>1991</v>
      </c>
      <c r="W176" t="s">
        <v>1992</v>
      </c>
      <c r="X176" t="s">
        <v>1992</v>
      </c>
      <c r="Y176" t="s">
        <v>1991</v>
      </c>
      <c r="Z176" t="s">
        <v>1992</v>
      </c>
      <c r="AF176" t="s">
        <v>2016</v>
      </c>
      <c r="AG176" t="s">
        <v>1991</v>
      </c>
      <c r="AH176">
        <v>30</v>
      </c>
      <c r="AI176">
        <v>30</v>
      </c>
      <c r="AJ176" t="s">
        <v>1136</v>
      </c>
      <c r="AK176">
        <v>76</v>
      </c>
      <c r="AL176">
        <v>6987</v>
      </c>
      <c r="BF176" t="s">
        <v>1053</v>
      </c>
      <c r="BG176" t="s">
        <v>2019</v>
      </c>
      <c r="BH176" t="s">
        <v>1137</v>
      </c>
      <c r="BI176" t="s">
        <v>1053</v>
      </c>
      <c r="BJ176" t="s">
        <v>2069</v>
      </c>
      <c r="BK176" t="s">
        <v>1053</v>
      </c>
      <c r="BL176" t="s">
        <v>2069</v>
      </c>
      <c r="BM176" t="s">
        <v>1138</v>
      </c>
      <c r="BN176" t="s">
        <v>562</v>
      </c>
      <c r="BO176" t="s">
        <v>1053</v>
      </c>
      <c r="BP176" t="s">
        <v>986</v>
      </c>
      <c r="BQ176" t="s">
        <v>1139</v>
      </c>
      <c r="BR176" t="s">
        <v>1053</v>
      </c>
      <c r="BS176" t="s">
        <v>1053</v>
      </c>
      <c r="BT176" t="s">
        <v>1053</v>
      </c>
      <c r="BU176" t="s">
        <v>1053</v>
      </c>
      <c r="BV176" t="s">
        <v>1049</v>
      </c>
      <c r="BX176" t="str">
        <f>""</f>
        <v/>
      </c>
      <c r="BY176" t="str">
        <f>""</f>
        <v/>
      </c>
      <c r="BZ176" t="str">
        <f>""</f>
        <v/>
      </c>
      <c r="CA176" t="str">
        <f>""</f>
        <v/>
      </c>
      <c r="CB176" t="str">
        <f>""</f>
        <v/>
      </c>
      <c r="CC176" t="str">
        <f>""</f>
        <v/>
      </c>
      <c r="CD176" t="str">
        <f>""</f>
        <v/>
      </c>
      <c r="CE176" t="str">
        <f>""</f>
        <v/>
      </c>
      <c r="CF176" t="str">
        <f>""</f>
        <v/>
      </c>
      <c r="CG176" t="str">
        <f>""</f>
        <v/>
      </c>
      <c r="CH176" t="str">
        <f>""</f>
        <v/>
      </c>
    </row>
    <row r="177" spans="1:86" x14ac:dyDescent="0.25">
      <c r="A177" t="s">
        <v>1140</v>
      </c>
      <c r="B177" t="s">
        <v>1141</v>
      </c>
      <c r="C177" t="s">
        <v>1992</v>
      </c>
      <c r="D177" t="s">
        <v>2010</v>
      </c>
      <c r="E177" t="s">
        <v>1142</v>
      </c>
      <c r="H177" t="s">
        <v>1143</v>
      </c>
      <c r="I177" t="s">
        <v>1144</v>
      </c>
      <c r="J177" t="str">
        <f>"67801"</f>
        <v>67801</v>
      </c>
      <c r="K177" t="s">
        <v>1998</v>
      </c>
      <c r="L177" t="s">
        <v>2045</v>
      </c>
      <c r="M177" t="s">
        <v>2063</v>
      </c>
      <c r="N177" t="s">
        <v>1992</v>
      </c>
      <c r="O177" t="s">
        <v>1992</v>
      </c>
      <c r="P177" t="s">
        <v>1992</v>
      </c>
      <c r="Q177" t="s">
        <v>1992</v>
      </c>
      <c r="R177" t="s">
        <v>1992</v>
      </c>
      <c r="S177" t="s">
        <v>1992</v>
      </c>
      <c r="T177" t="s">
        <v>1992</v>
      </c>
      <c r="U177" t="s">
        <v>1992</v>
      </c>
      <c r="V177" t="s">
        <v>1991</v>
      </c>
      <c r="W177" t="s">
        <v>1991</v>
      </c>
      <c r="X177" t="s">
        <v>1992</v>
      </c>
      <c r="Y177" t="s">
        <v>1992</v>
      </c>
      <c r="Z177" t="s">
        <v>1992</v>
      </c>
      <c r="AF177" t="s">
        <v>2001</v>
      </c>
      <c r="AG177" t="s">
        <v>1991</v>
      </c>
      <c r="AH177">
        <v>30</v>
      </c>
      <c r="AI177">
        <v>30</v>
      </c>
      <c r="AJ177" t="s">
        <v>1145</v>
      </c>
      <c r="AK177">
        <v>2490</v>
      </c>
      <c r="AL177">
        <v>27340</v>
      </c>
      <c r="AM177" t="s">
        <v>1146</v>
      </c>
      <c r="AU177" t="s">
        <v>1147</v>
      </c>
      <c r="AV177" t="s">
        <v>1053</v>
      </c>
      <c r="BF177" t="s">
        <v>1053</v>
      </c>
      <c r="BG177" t="s">
        <v>2019</v>
      </c>
      <c r="BH177" t="s">
        <v>2053</v>
      </c>
      <c r="BI177" t="s">
        <v>1053</v>
      </c>
      <c r="BO177" t="s">
        <v>1053</v>
      </c>
      <c r="BP177" t="s">
        <v>2054</v>
      </c>
      <c r="BQ177" t="s">
        <v>2055</v>
      </c>
      <c r="BR177" t="s">
        <v>1053</v>
      </c>
      <c r="BS177" t="s">
        <v>1053</v>
      </c>
      <c r="BV177" t="s">
        <v>2056</v>
      </c>
      <c r="BX177" t="str">
        <f>"SMTWTFS 0000-0045 0515-0615 2345-2359"</f>
        <v>SMTWTFS 0000-0045 0515-0615 2345-2359</v>
      </c>
      <c r="BY177" t="str">
        <f>""</f>
        <v/>
      </c>
      <c r="BZ177" t="str">
        <f>""</f>
        <v/>
      </c>
      <c r="CA177" t="str">
        <f>""</f>
        <v/>
      </c>
      <c r="CB177" t="str">
        <f>""</f>
        <v/>
      </c>
      <c r="CC177" t="str">
        <f>""</f>
        <v/>
      </c>
      <c r="CD177" t="str">
        <f>""</f>
        <v/>
      </c>
      <c r="CE177" t="str">
        <f>""</f>
        <v/>
      </c>
      <c r="CF177" t="str">
        <f>""</f>
        <v/>
      </c>
      <c r="CG177" t="str">
        <f>""</f>
        <v/>
      </c>
      <c r="CH177" t="str">
        <f>""</f>
        <v/>
      </c>
    </row>
    <row r="178" spans="1:86" x14ac:dyDescent="0.25">
      <c r="A178" t="s">
        <v>1148</v>
      </c>
      <c r="B178" t="s">
        <v>1149</v>
      </c>
      <c r="C178" t="s">
        <v>1992</v>
      </c>
      <c r="D178" t="s">
        <v>2010</v>
      </c>
      <c r="E178" t="s">
        <v>1150</v>
      </c>
      <c r="F178" t="s">
        <v>743</v>
      </c>
      <c r="H178" t="s">
        <v>1151</v>
      </c>
      <c r="I178" t="s">
        <v>3629</v>
      </c>
      <c r="J178" t="str">
        <f>"80202"</f>
        <v>80202</v>
      </c>
      <c r="K178" t="s">
        <v>1998</v>
      </c>
      <c r="L178" t="s">
        <v>1999</v>
      </c>
      <c r="M178" t="s">
        <v>1152</v>
      </c>
      <c r="N178" t="s">
        <v>1992</v>
      </c>
      <c r="O178" t="s">
        <v>1992</v>
      </c>
      <c r="P178" t="s">
        <v>1992</v>
      </c>
      <c r="Q178" t="s">
        <v>1992</v>
      </c>
      <c r="R178" t="s">
        <v>1992</v>
      </c>
      <c r="S178" t="s">
        <v>1992</v>
      </c>
      <c r="T178" t="s">
        <v>1992</v>
      </c>
      <c r="U178" t="s">
        <v>1992</v>
      </c>
      <c r="V178" t="s">
        <v>1991</v>
      </c>
      <c r="W178" t="s">
        <v>1992</v>
      </c>
      <c r="X178" t="s">
        <v>1992</v>
      </c>
      <c r="Y178" t="s">
        <v>1991</v>
      </c>
      <c r="Z178" t="s">
        <v>1991</v>
      </c>
      <c r="AB178" t="s">
        <v>1153</v>
      </c>
      <c r="AE178" t="s">
        <v>1154</v>
      </c>
      <c r="AF178" t="s">
        <v>2048</v>
      </c>
      <c r="AG178" t="s">
        <v>1991</v>
      </c>
      <c r="AH178">
        <v>30</v>
      </c>
      <c r="AI178">
        <v>30</v>
      </c>
      <c r="AJ178" t="s">
        <v>1155</v>
      </c>
      <c r="AK178">
        <v>5219</v>
      </c>
      <c r="AL178">
        <v>2000000</v>
      </c>
      <c r="AN178" t="s">
        <v>1156</v>
      </c>
      <c r="AO178" t="s">
        <v>1053</v>
      </c>
      <c r="BF178" t="s">
        <v>1053</v>
      </c>
      <c r="BG178" t="s">
        <v>1157</v>
      </c>
      <c r="BH178" t="s">
        <v>2040</v>
      </c>
      <c r="BI178" t="s">
        <v>1053</v>
      </c>
      <c r="BK178" t="s">
        <v>1053</v>
      </c>
      <c r="BX178" t="str">
        <f>"SMTWTFS 0000-0100 0600-2359"</f>
        <v>SMTWTFS 0000-0100 0600-2359</v>
      </c>
      <c r="BY178" t="str">
        <f>""</f>
        <v/>
      </c>
      <c r="BZ178" t="str">
        <f>""</f>
        <v/>
      </c>
      <c r="CA178" t="str">
        <f>""</f>
        <v/>
      </c>
      <c r="CB178" t="str">
        <f>"SMTWTFS 0000-0100 0600-2359"</f>
        <v>SMTWTFS 0000-0100 0600-2359</v>
      </c>
      <c r="CC178" t="str">
        <f>""</f>
        <v/>
      </c>
      <c r="CD178" t="str">
        <f>""</f>
        <v/>
      </c>
      <c r="CE178" t="str">
        <f>""</f>
        <v/>
      </c>
      <c r="CF178" t="str">
        <f>""</f>
        <v/>
      </c>
      <c r="CG178" t="str">
        <f>""</f>
        <v/>
      </c>
      <c r="CH178" t="str">
        <f>""</f>
        <v/>
      </c>
    </row>
    <row r="179" spans="1:86" x14ac:dyDescent="0.25">
      <c r="A179" t="s">
        <v>1158</v>
      </c>
      <c r="B179" t="s">
        <v>1159</v>
      </c>
      <c r="C179" t="s">
        <v>1992</v>
      </c>
      <c r="D179" t="s">
        <v>2331</v>
      </c>
      <c r="E179" t="s">
        <v>1160</v>
      </c>
      <c r="H179" t="s">
        <v>1161</v>
      </c>
      <c r="I179" t="s">
        <v>2044</v>
      </c>
      <c r="J179" t="str">
        <f>"88030"</f>
        <v>88030</v>
      </c>
      <c r="K179" t="s">
        <v>1998</v>
      </c>
      <c r="L179" t="s">
        <v>2045</v>
      </c>
      <c r="M179" t="s">
        <v>2063</v>
      </c>
      <c r="N179" t="s">
        <v>1992</v>
      </c>
      <c r="O179" t="s">
        <v>1992</v>
      </c>
      <c r="P179" t="s">
        <v>1992</v>
      </c>
      <c r="Q179" t="s">
        <v>1992</v>
      </c>
      <c r="R179" t="s">
        <v>1992</v>
      </c>
      <c r="S179" t="s">
        <v>1992</v>
      </c>
      <c r="T179" t="s">
        <v>1992</v>
      </c>
      <c r="U179" t="s">
        <v>1992</v>
      </c>
      <c r="V179" t="s">
        <v>1991</v>
      </c>
      <c r="W179" t="s">
        <v>1991</v>
      </c>
      <c r="X179" t="s">
        <v>1992</v>
      </c>
      <c r="Y179" t="s">
        <v>1992</v>
      </c>
      <c r="Z179" t="s">
        <v>1992</v>
      </c>
      <c r="AF179" t="s">
        <v>2048</v>
      </c>
      <c r="AG179" t="s">
        <v>1991</v>
      </c>
      <c r="AH179">
        <v>30</v>
      </c>
      <c r="AI179">
        <v>30</v>
      </c>
      <c r="AJ179" t="s">
        <v>1162</v>
      </c>
      <c r="AK179">
        <v>4338</v>
      </c>
      <c r="AL179">
        <v>15296</v>
      </c>
      <c r="AN179" t="s">
        <v>1163</v>
      </c>
      <c r="BF179" t="s">
        <v>1053</v>
      </c>
      <c r="BG179" t="s">
        <v>2019</v>
      </c>
      <c r="BH179" t="s">
        <v>2053</v>
      </c>
      <c r="BI179" t="s">
        <v>1053</v>
      </c>
      <c r="BO179" t="s">
        <v>1053</v>
      </c>
      <c r="BP179" t="s">
        <v>2101</v>
      </c>
      <c r="BQ179" t="s">
        <v>2055</v>
      </c>
      <c r="BR179" t="s">
        <v>1053</v>
      </c>
      <c r="BS179" t="s">
        <v>1053</v>
      </c>
      <c r="BV179" t="s">
        <v>2056</v>
      </c>
      <c r="BX179" t="str">
        <f>""</f>
        <v/>
      </c>
      <c r="BY179" t="str">
        <f>""</f>
        <v/>
      </c>
      <c r="BZ179" t="str">
        <f>""</f>
        <v/>
      </c>
      <c r="CA179" t="str">
        <f>""</f>
        <v/>
      </c>
      <c r="CB179" t="str">
        <f>""</f>
        <v/>
      </c>
      <c r="CC179" t="str">
        <f>""</f>
        <v/>
      </c>
      <c r="CD179" t="str">
        <f>""</f>
        <v/>
      </c>
      <c r="CE179" t="str">
        <f>""</f>
        <v/>
      </c>
      <c r="CF179" t="str">
        <f>""</f>
        <v/>
      </c>
      <c r="CG179" t="str">
        <f>""</f>
        <v/>
      </c>
      <c r="CH179" t="str">
        <f>""</f>
        <v/>
      </c>
    </row>
    <row r="180" spans="1:86" x14ac:dyDescent="0.25">
      <c r="A180" t="s">
        <v>1164</v>
      </c>
      <c r="B180" t="s">
        <v>1165</v>
      </c>
      <c r="C180" t="s">
        <v>1991</v>
      </c>
      <c r="D180" t="s">
        <v>2010</v>
      </c>
      <c r="E180" t="s">
        <v>1166</v>
      </c>
      <c r="F180" t="s">
        <v>1167</v>
      </c>
      <c r="H180" t="s">
        <v>1151</v>
      </c>
      <c r="I180" t="s">
        <v>3629</v>
      </c>
      <c r="J180" t="str">
        <f>"80202"</f>
        <v>80202</v>
      </c>
      <c r="K180" t="s">
        <v>1998</v>
      </c>
      <c r="L180" t="s">
        <v>1999</v>
      </c>
      <c r="M180" t="s">
        <v>1168</v>
      </c>
      <c r="N180" t="s">
        <v>1991</v>
      </c>
      <c r="O180" t="s">
        <v>1991</v>
      </c>
      <c r="P180" t="s">
        <v>1992</v>
      </c>
      <c r="Q180" t="s">
        <v>1991</v>
      </c>
      <c r="R180" t="s">
        <v>1991</v>
      </c>
      <c r="S180" t="s">
        <v>1992</v>
      </c>
      <c r="T180" t="s">
        <v>1992</v>
      </c>
      <c r="U180" t="s">
        <v>1991</v>
      </c>
      <c r="V180" t="s">
        <v>1991</v>
      </c>
      <c r="W180" t="s">
        <v>1991</v>
      </c>
      <c r="X180" t="s">
        <v>1992</v>
      </c>
      <c r="Y180" t="s">
        <v>1991</v>
      </c>
      <c r="Z180" t="s">
        <v>1991</v>
      </c>
      <c r="AA180" t="s">
        <v>1991</v>
      </c>
      <c r="AB180" t="s">
        <v>1153</v>
      </c>
      <c r="AE180" t="s">
        <v>2047</v>
      </c>
      <c r="AF180" t="s">
        <v>2048</v>
      </c>
      <c r="AG180" t="s">
        <v>1991</v>
      </c>
      <c r="AH180">
        <v>60</v>
      </c>
      <c r="AI180">
        <v>30</v>
      </c>
      <c r="AJ180" t="s">
        <v>1169</v>
      </c>
      <c r="AK180">
        <v>5181</v>
      </c>
      <c r="AL180">
        <v>467610</v>
      </c>
      <c r="AM180" t="s">
        <v>1170</v>
      </c>
      <c r="AN180" t="s">
        <v>1053</v>
      </c>
      <c r="AO180" t="s">
        <v>1053</v>
      </c>
      <c r="AP180" t="s">
        <v>2069</v>
      </c>
      <c r="AQ180" t="s">
        <v>1053</v>
      </c>
      <c r="AR180" t="s">
        <v>2069</v>
      </c>
      <c r="AS180" t="s">
        <v>1164</v>
      </c>
      <c r="AT180" t="s">
        <v>1171</v>
      </c>
      <c r="AU180" t="s">
        <v>1053</v>
      </c>
      <c r="AV180" t="s">
        <v>1053</v>
      </c>
      <c r="AW180" t="s">
        <v>2069</v>
      </c>
      <c r="AX180" t="s">
        <v>1053</v>
      </c>
      <c r="AY180" t="s">
        <v>2069</v>
      </c>
      <c r="AZ180" t="s">
        <v>1164</v>
      </c>
      <c r="BA180" t="s">
        <v>1171</v>
      </c>
      <c r="BB180" t="s">
        <v>1053</v>
      </c>
      <c r="BC180" t="s">
        <v>2069</v>
      </c>
      <c r="BD180" t="s">
        <v>1053</v>
      </c>
      <c r="BE180" t="s">
        <v>2069</v>
      </c>
      <c r="BF180" t="s">
        <v>1053</v>
      </c>
      <c r="BG180" t="s">
        <v>1172</v>
      </c>
      <c r="BH180" t="s">
        <v>798</v>
      </c>
      <c r="BI180" t="s">
        <v>1053</v>
      </c>
      <c r="BK180" t="s">
        <v>1053</v>
      </c>
      <c r="BL180" t="s">
        <v>1053</v>
      </c>
      <c r="BO180" t="s">
        <v>1053</v>
      </c>
      <c r="BP180" t="s">
        <v>1173</v>
      </c>
      <c r="BQ180" t="s">
        <v>2376</v>
      </c>
      <c r="BR180" t="s">
        <v>1053</v>
      </c>
      <c r="BX180" t="str">
        <f>"SMTWTFS 0530-2015"</f>
        <v>SMTWTFS 0530-2015</v>
      </c>
      <c r="BY180" t="str">
        <f>"SMTWTFS 0530-2015"</f>
        <v>SMTWTFS 0530-2015</v>
      </c>
      <c r="BZ180" t="str">
        <f>"SMTWTFS 0530-2015"</f>
        <v>SMTWTFS 0530-2015</v>
      </c>
      <c r="CA180" t="str">
        <f>"SMTWTFS 0530-2030"</f>
        <v>SMTWTFS 0530-2030</v>
      </c>
      <c r="CB180" t="str">
        <f>""</f>
        <v/>
      </c>
      <c r="CC180" t="str">
        <f>"SMTWTFS 0530-2015"</f>
        <v>SMTWTFS 0530-2015</v>
      </c>
      <c r="CD180" t="str">
        <f>""</f>
        <v/>
      </c>
      <c r="CE180" t="str">
        <f>""</f>
        <v/>
      </c>
      <c r="CF180" t="str">
        <f>"SMTWTFS 0900-1700"</f>
        <v>SMTWTFS 0900-1700</v>
      </c>
      <c r="CG180" t="str">
        <f>""</f>
        <v/>
      </c>
      <c r="CH180" t="str">
        <f>""</f>
        <v/>
      </c>
    </row>
    <row r="181" spans="1:86" x14ac:dyDescent="0.25">
      <c r="A181" t="s">
        <v>1174</v>
      </c>
      <c r="B181" t="s">
        <v>1175</v>
      </c>
      <c r="C181" t="s">
        <v>1991</v>
      </c>
      <c r="D181" t="s">
        <v>2010</v>
      </c>
      <c r="E181" t="s">
        <v>1176</v>
      </c>
      <c r="H181" t="s">
        <v>2104</v>
      </c>
      <c r="I181" t="s">
        <v>2352</v>
      </c>
      <c r="J181" t="str">
        <f>"48126"</f>
        <v>48126</v>
      </c>
      <c r="K181" t="s">
        <v>1998</v>
      </c>
      <c r="L181" t="s">
        <v>1999</v>
      </c>
      <c r="M181" t="s">
        <v>2105</v>
      </c>
      <c r="N181" t="s">
        <v>1991</v>
      </c>
      <c r="O181" t="s">
        <v>1991</v>
      </c>
      <c r="P181" t="s">
        <v>1992</v>
      </c>
      <c r="Q181" t="s">
        <v>1992</v>
      </c>
      <c r="R181" t="s">
        <v>1992</v>
      </c>
      <c r="S181" t="s">
        <v>1992</v>
      </c>
      <c r="T181" t="s">
        <v>1992</v>
      </c>
      <c r="U181" t="s">
        <v>1991</v>
      </c>
      <c r="V181" t="s">
        <v>1991</v>
      </c>
      <c r="W181" t="s">
        <v>1991</v>
      </c>
      <c r="X181" t="s">
        <v>1992</v>
      </c>
      <c r="Y181" t="s">
        <v>1991</v>
      </c>
      <c r="Z181" t="s">
        <v>1992</v>
      </c>
      <c r="AA181" t="s">
        <v>1992</v>
      </c>
      <c r="AE181" t="s">
        <v>296</v>
      </c>
      <c r="AF181" t="s">
        <v>2016</v>
      </c>
      <c r="AG181" t="s">
        <v>1991</v>
      </c>
      <c r="AH181">
        <v>45</v>
      </c>
      <c r="AI181">
        <v>30</v>
      </c>
      <c r="AJ181" t="s">
        <v>2106</v>
      </c>
      <c r="AK181">
        <v>595</v>
      </c>
      <c r="AL181">
        <v>92382</v>
      </c>
      <c r="AN181" t="s">
        <v>1053</v>
      </c>
      <c r="AO181" t="s">
        <v>1053</v>
      </c>
      <c r="AP181" t="s">
        <v>2069</v>
      </c>
      <c r="AQ181" t="s">
        <v>1053</v>
      </c>
      <c r="AR181" t="s">
        <v>2069</v>
      </c>
      <c r="AS181" t="s">
        <v>1174</v>
      </c>
      <c r="AT181" t="s">
        <v>2107</v>
      </c>
      <c r="AU181" t="s">
        <v>1053</v>
      </c>
      <c r="AV181" t="s">
        <v>1053</v>
      </c>
      <c r="AW181" t="s">
        <v>2069</v>
      </c>
      <c r="AX181" t="s">
        <v>1053</v>
      </c>
      <c r="AY181" t="s">
        <v>2069</v>
      </c>
      <c r="AZ181" t="s">
        <v>1174</v>
      </c>
      <c r="BA181" t="s">
        <v>2107</v>
      </c>
      <c r="BB181" t="s">
        <v>1053</v>
      </c>
      <c r="BC181" t="s">
        <v>2069</v>
      </c>
      <c r="BD181" t="s">
        <v>1053</v>
      </c>
      <c r="BE181" t="s">
        <v>2069</v>
      </c>
      <c r="BF181" t="s">
        <v>1053</v>
      </c>
      <c r="BG181" t="s">
        <v>300</v>
      </c>
      <c r="BH181" t="s">
        <v>644</v>
      </c>
      <c r="BI181" t="s">
        <v>1053</v>
      </c>
      <c r="BJ181" t="s">
        <v>2069</v>
      </c>
      <c r="BK181" t="s">
        <v>1053</v>
      </c>
      <c r="BL181" t="s">
        <v>2069</v>
      </c>
      <c r="BM181" t="s">
        <v>2313</v>
      </c>
      <c r="BN181" t="s">
        <v>2314</v>
      </c>
      <c r="BO181" t="s">
        <v>1053</v>
      </c>
      <c r="BP181" t="s">
        <v>301</v>
      </c>
      <c r="BQ181" t="s">
        <v>2316</v>
      </c>
      <c r="BR181" t="s">
        <v>1053</v>
      </c>
      <c r="BT181" t="s">
        <v>1053</v>
      </c>
      <c r="BX181" t="str">
        <f>"SMTWTFS 0001-0030 0600-2359"</f>
        <v>SMTWTFS 0001-0030 0600-2359</v>
      </c>
      <c r="BY181" t="str">
        <f>""</f>
        <v/>
      </c>
      <c r="BZ181" t="str">
        <f>"SMTWTFS 0600-2359"</f>
        <v>SMTWTFS 0600-2359</v>
      </c>
      <c r="CA181" t="str">
        <f>"SMTWTFS 0600-1000 1100-1430 1600-2000 2030-2359"</f>
        <v>SMTWTFS 0600-1000 1100-1430 1600-2000 2030-2359</v>
      </c>
      <c r="CB181" t="str">
        <f>""</f>
        <v/>
      </c>
      <c r="CC181" t="str">
        <f>"SMTWTFS 0001-0030 0600-2359"</f>
        <v>SMTWTFS 0001-0030 0600-2359</v>
      </c>
      <c r="CD181" t="str">
        <f>""</f>
        <v/>
      </c>
      <c r="CE181" t="str">
        <f>""</f>
        <v/>
      </c>
      <c r="CF181" t="str">
        <f>""</f>
        <v/>
      </c>
      <c r="CG181" t="str">
        <f>""</f>
        <v/>
      </c>
      <c r="CH181" t="str">
        <f>""</f>
        <v/>
      </c>
    </row>
    <row r="182" spans="1:86" x14ac:dyDescent="0.25">
      <c r="A182" t="s">
        <v>2108</v>
      </c>
      <c r="B182" t="s">
        <v>2109</v>
      </c>
      <c r="C182" t="s">
        <v>1991</v>
      </c>
      <c r="D182" t="s">
        <v>2010</v>
      </c>
      <c r="E182" t="s">
        <v>2110</v>
      </c>
      <c r="H182" t="s">
        <v>2111</v>
      </c>
      <c r="I182" t="s">
        <v>2352</v>
      </c>
      <c r="J182" t="str">
        <f>"48202"</f>
        <v>48202</v>
      </c>
      <c r="K182" t="s">
        <v>1998</v>
      </c>
      <c r="L182" t="s">
        <v>1999</v>
      </c>
      <c r="M182" t="s">
        <v>2112</v>
      </c>
      <c r="N182" t="s">
        <v>1991</v>
      </c>
      <c r="O182" t="s">
        <v>1991</v>
      </c>
      <c r="P182" t="s">
        <v>1992</v>
      </c>
      <c r="Q182" t="s">
        <v>1992</v>
      </c>
      <c r="R182" t="s">
        <v>1992</v>
      </c>
      <c r="S182" t="s">
        <v>1992</v>
      </c>
      <c r="T182" t="s">
        <v>1992</v>
      </c>
      <c r="U182" t="s">
        <v>1991</v>
      </c>
      <c r="V182" t="s">
        <v>1991</v>
      </c>
      <c r="W182" t="s">
        <v>1991</v>
      </c>
      <c r="X182" t="s">
        <v>1992</v>
      </c>
      <c r="Y182" t="s">
        <v>1991</v>
      </c>
      <c r="Z182" t="s">
        <v>1991</v>
      </c>
      <c r="AA182" t="s">
        <v>1992</v>
      </c>
      <c r="AE182" t="s">
        <v>2047</v>
      </c>
      <c r="AF182" t="s">
        <v>2016</v>
      </c>
      <c r="AG182" t="s">
        <v>1991</v>
      </c>
      <c r="AH182">
        <v>45</v>
      </c>
      <c r="AI182">
        <v>30</v>
      </c>
      <c r="AJ182" t="s">
        <v>2113</v>
      </c>
      <c r="AK182">
        <v>632</v>
      </c>
      <c r="AL182">
        <v>871121</v>
      </c>
      <c r="AM182" t="s">
        <v>2114</v>
      </c>
      <c r="AN182" t="s">
        <v>1053</v>
      </c>
      <c r="AO182" t="s">
        <v>1053</v>
      </c>
      <c r="AP182" t="s">
        <v>2115</v>
      </c>
      <c r="AQ182" t="s">
        <v>1053</v>
      </c>
      <c r="AR182" t="s">
        <v>2116</v>
      </c>
      <c r="AS182" t="s">
        <v>2108</v>
      </c>
      <c r="AT182" t="s">
        <v>2117</v>
      </c>
      <c r="AU182" t="s">
        <v>1053</v>
      </c>
      <c r="AV182" t="s">
        <v>1053</v>
      </c>
      <c r="AW182" t="s">
        <v>1053</v>
      </c>
      <c r="AX182" t="s">
        <v>1053</v>
      </c>
      <c r="AY182" t="s">
        <v>1053</v>
      </c>
      <c r="AZ182" t="s">
        <v>2108</v>
      </c>
      <c r="BA182" t="s">
        <v>2117</v>
      </c>
      <c r="BB182" t="s">
        <v>1053</v>
      </c>
      <c r="BC182" t="s">
        <v>1053</v>
      </c>
      <c r="BD182" t="s">
        <v>1053</v>
      </c>
      <c r="BE182" t="s">
        <v>1053</v>
      </c>
      <c r="BF182" t="s">
        <v>1053</v>
      </c>
      <c r="BG182" t="s">
        <v>643</v>
      </c>
      <c r="BH182" t="s">
        <v>644</v>
      </c>
      <c r="BI182" t="s">
        <v>1053</v>
      </c>
      <c r="BJ182" t="s">
        <v>2069</v>
      </c>
      <c r="BK182" t="s">
        <v>1053</v>
      </c>
      <c r="BL182" t="s">
        <v>2069</v>
      </c>
      <c r="BM182" t="s">
        <v>2118</v>
      </c>
      <c r="BN182" t="s">
        <v>2314</v>
      </c>
      <c r="BO182" t="s">
        <v>1053</v>
      </c>
      <c r="BP182" t="s">
        <v>301</v>
      </c>
      <c r="BQ182" t="s">
        <v>2316</v>
      </c>
      <c r="BR182" t="s">
        <v>1053</v>
      </c>
      <c r="BT182" t="s">
        <v>1053</v>
      </c>
      <c r="BX182" t="str">
        <f>"SMTWTFS 0000-0100 0600-2359"</f>
        <v>SMTWTFS 0000-0100 0600-2359</v>
      </c>
      <c r="BY182" t="str">
        <f>""</f>
        <v/>
      </c>
      <c r="BZ182" t="str">
        <f>"SMTWTFS 0000-0100 0600-2359"</f>
        <v>SMTWTFS 0000-0100 0600-2359</v>
      </c>
      <c r="CA182" t="str">
        <f>"SMTWTFS 0600-1200 1300-1430 1600-2000 2100-2359"</f>
        <v>SMTWTFS 0600-1200 1300-1430 1600-2000 2100-2359</v>
      </c>
      <c r="CB182" t="str">
        <f>""</f>
        <v/>
      </c>
      <c r="CC182" t="str">
        <f>"SMTWTFS 0000-0100 0600-2359"</f>
        <v>SMTWTFS 0000-0100 0600-2359</v>
      </c>
      <c r="CD182" t="str">
        <f>""</f>
        <v/>
      </c>
      <c r="CE182" t="str">
        <f>""</f>
        <v/>
      </c>
      <c r="CF182" t="str">
        <f>""</f>
        <v/>
      </c>
      <c r="CG182" t="str">
        <f>""</f>
        <v/>
      </c>
      <c r="CH182" t="str">
        <f>""</f>
        <v/>
      </c>
    </row>
    <row r="183" spans="1:86" x14ac:dyDescent="0.25">
      <c r="A183" t="s">
        <v>2119</v>
      </c>
      <c r="B183" t="s">
        <v>2120</v>
      </c>
      <c r="C183" t="s">
        <v>1991</v>
      </c>
      <c r="D183" t="s">
        <v>2010</v>
      </c>
      <c r="E183" t="s">
        <v>2121</v>
      </c>
      <c r="H183" t="s">
        <v>2122</v>
      </c>
      <c r="I183" t="s">
        <v>558</v>
      </c>
      <c r="J183" t="str">
        <f>"33442"</f>
        <v>33442</v>
      </c>
      <c r="K183" t="s">
        <v>1998</v>
      </c>
      <c r="L183" t="s">
        <v>408</v>
      </c>
      <c r="M183" t="s">
        <v>2123</v>
      </c>
      <c r="N183" t="s">
        <v>1991</v>
      </c>
      <c r="O183" t="s">
        <v>1992</v>
      </c>
      <c r="P183" t="s">
        <v>1992</v>
      </c>
      <c r="Q183" t="s">
        <v>1991</v>
      </c>
      <c r="R183" t="s">
        <v>1991</v>
      </c>
      <c r="S183" t="s">
        <v>1992</v>
      </c>
      <c r="T183" t="s">
        <v>1992</v>
      </c>
      <c r="U183" t="s">
        <v>1991</v>
      </c>
      <c r="V183" t="s">
        <v>1991</v>
      </c>
      <c r="W183" t="s">
        <v>1991</v>
      </c>
      <c r="X183" t="s">
        <v>1991</v>
      </c>
      <c r="Y183" t="s">
        <v>1992</v>
      </c>
      <c r="Z183" t="s">
        <v>1992</v>
      </c>
      <c r="AA183" t="s">
        <v>1991</v>
      </c>
      <c r="AE183" t="s">
        <v>2047</v>
      </c>
      <c r="AF183" t="s">
        <v>2016</v>
      </c>
      <c r="AG183" t="s">
        <v>1991</v>
      </c>
      <c r="AH183">
        <v>60</v>
      </c>
      <c r="AI183">
        <v>30</v>
      </c>
      <c r="AJ183" t="s">
        <v>2124</v>
      </c>
      <c r="AK183">
        <v>8</v>
      </c>
      <c r="AL183">
        <v>64583</v>
      </c>
      <c r="AM183" t="s">
        <v>2125</v>
      </c>
      <c r="AN183" t="s">
        <v>1053</v>
      </c>
      <c r="AO183" t="s">
        <v>1053</v>
      </c>
      <c r="AP183" t="s">
        <v>2069</v>
      </c>
      <c r="AQ183" t="s">
        <v>1053</v>
      </c>
      <c r="AR183" t="s">
        <v>2069</v>
      </c>
      <c r="AS183" t="s">
        <v>2119</v>
      </c>
      <c r="AT183" t="s">
        <v>2126</v>
      </c>
      <c r="AU183" t="s">
        <v>1053</v>
      </c>
      <c r="AV183" t="s">
        <v>1053</v>
      </c>
      <c r="AW183" t="s">
        <v>2069</v>
      </c>
      <c r="AX183" t="s">
        <v>1053</v>
      </c>
      <c r="AY183" t="s">
        <v>2069</v>
      </c>
      <c r="AZ183" t="s">
        <v>2119</v>
      </c>
      <c r="BA183" t="s">
        <v>2126</v>
      </c>
      <c r="BB183" t="s">
        <v>1053</v>
      </c>
      <c r="BC183" t="s">
        <v>2069</v>
      </c>
      <c r="BD183" t="s">
        <v>1053</v>
      </c>
      <c r="BE183" t="s">
        <v>2069</v>
      </c>
      <c r="BF183" t="s">
        <v>1053</v>
      </c>
      <c r="BG183" t="s">
        <v>2019</v>
      </c>
      <c r="BH183" t="s">
        <v>2127</v>
      </c>
      <c r="BI183" t="s">
        <v>1053</v>
      </c>
      <c r="BJ183" t="s">
        <v>1053</v>
      </c>
      <c r="BK183" t="s">
        <v>1053</v>
      </c>
      <c r="BL183" t="s">
        <v>1053</v>
      </c>
      <c r="BM183" t="s">
        <v>1052</v>
      </c>
      <c r="BN183" t="s">
        <v>3514</v>
      </c>
      <c r="BO183" t="s">
        <v>1053</v>
      </c>
      <c r="BP183" t="s">
        <v>653</v>
      </c>
      <c r="BQ183" t="s">
        <v>564</v>
      </c>
      <c r="BR183" t="s">
        <v>1053</v>
      </c>
      <c r="BS183" t="s">
        <v>1053</v>
      </c>
      <c r="BT183" t="s">
        <v>1053</v>
      </c>
      <c r="BU183" t="s">
        <v>2069</v>
      </c>
      <c r="BV183" t="s">
        <v>1052</v>
      </c>
      <c r="BW183" t="s">
        <v>357</v>
      </c>
      <c r="BX183" t="str">
        <f>"SMTWTFS 0830-1830"</f>
        <v>SMTWTFS 0830-1830</v>
      </c>
      <c r="BY183" t="str">
        <f>"SMTWTFS 0830-1830"</f>
        <v>SMTWTFS 0830-1830</v>
      </c>
      <c r="BZ183" t="str">
        <f>"SMTWTFS 0830-1830"</f>
        <v>SMTWTFS 0830-1830</v>
      </c>
      <c r="CA183" t="str">
        <f>"SMTWTFS 0830-1830"</f>
        <v>SMTWTFS 0830-1830</v>
      </c>
      <c r="CB183" t="str">
        <f>""</f>
        <v/>
      </c>
      <c r="CC183" t="str">
        <f>""</f>
        <v/>
      </c>
      <c r="CD183" t="str">
        <f>""</f>
        <v/>
      </c>
      <c r="CE183" t="str">
        <f>""</f>
        <v/>
      </c>
      <c r="CF183" t="str">
        <f>"SMTWTFS 1000-1630"</f>
        <v>SMTWTFS 1000-1630</v>
      </c>
      <c r="CG183" t="str">
        <f>""</f>
        <v/>
      </c>
      <c r="CH183" t="str">
        <f>""</f>
        <v/>
      </c>
    </row>
    <row r="184" spans="1:86" x14ac:dyDescent="0.25">
      <c r="A184" t="s">
        <v>2128</v>
      </c>
      <c r="B184" t="s">
        <v>2129</v>
      </c>
      <c r="C184" t="s">
        <v>1992</v>
      </c>
      <c r="D184" t="s">
        <v>2010</v>
      </c>
      <c r="E184" t="s">
        <v>2130</v>
      </c>
      <c r="F184" t="s">
        <v>2131</v>
      </c>
      <c r="H184" t="s">
        <v>2132</v>
      </c>
      <c r="I184" t="s">
        <v>660</v>
      </c>
      <c r="J184" t="str">
        <f>"03824-1909"</f>
        <v>03824-1909</v>
      </c>
      <c r="K184" t="s">
        <v>1998</v>
      </c>
      <c r="L184" t="s">
        <v>2033</v>
      </c>
      <c r="M184" t="s">
        <v>2000</v>
      </c>
      <c r="N184" t="s">
        <v>1992</v>
      </c>
      <c r="O184" t="s">
        <v>1991</v>
      </c>
      <c r="P184" t="s">
        <v>1992</v>
      </c>
      <c r="Q184" t="s">
        <v>1992</v>
      </c>
      <c r="R184" t="s">
        <v>1992</v>
      </c>
      <c r="S184" t="s">
        <v>1992</v>
      </c>
      <c r="T184" t="s">
        <v>1992</v>
      </c>
      <c r="U184" t="s">
        <v>1992</v>
      </c>
      <c r="V184" t="s">
        <v>1991</v>
      </c>
      <c r="W184" t="s">
        <v>1991</v>
      </c>
      <c r="X184" t="s">
        <v>1992</v>
      </c>
      <c r="Y184" t="s">
        <v>1992</v>
      </c>
      <c r="Z184" t="s">
        <v>1992</v>
      </c>
      <c r="AF184" t="s">
        <v>2016</v>
      </c>
      <c r="AG184" t="s">
        <v>1991</v>
      </c>
      <c r="AH184">
        <v>30</v>
      </c>
      <c r="AI184">
        <v>30</v>
      </c>
      <c r="AJ184" t="s">
        <v>2133</v>
      </c>
      <c r="AK184">
        <v>79</v>
      </c>
      <c r="AL184">
        <v>9050</v>
      </c>
      <c r="AM184" t="s">
        <v>2134</v>
      </c>
      <c r="AU184" t="s">
        <v>2135</v>
      </c>
      <c r="AV184" t="s">
        <v>1053</v>
      </c>
      <c r="BF184" t="s">
        <v>1053</v>
      </c>
      <c r="BG184" t="s">
        <v>2136</v>
      </c>
      <c r="BH184" t="s">
        <v>2137</v>
      </c>
      <c r="BI184" t="s">
        <v>1053</v>
      </c>
      <c r="BJ184" t="s">
        <v>2069</v>
      </c>
      <c r="BK184" t="s">
        <v>1053</v>
      </c>
      <c r="BL184" t="s">
        <v>2069</v>
      </c>
      <c r="BM184" t="s">
        <v>749</v>
      </c>
      <c r="BN184" t="s">
        <v>2139</v>
      </c>
      <c r="BO184" t="s">
        <v>1053</v>
      </c>
      <c r="BP184" t="s">
        <v>986</v>
      </c>
      <c r="BQ184" t="s">
        <v>2140</v>
      </c>
      <c r="BR184" t="s">
        <v>1053</v>
      </c>
      <c r="BS184" t="s">
        <v>1053</v>
      </c>
      <c r="BT184" t="s">
        <v>1053</v>
      </c>
      <c r="BU184" t="s">
        <v>1053</v>
      </c>
      <c r="BV184" t="s">
        <v>520</v>
      </c>
      <c r="BW184" t="s">
        <v>523</v>
      </c>
      <c r="BX184" t="str">
        <f>""</f>
        <v/>
      </c>
      <c r="BY184" t="str">
        <f>""</f>
        <v/>
      </c>
      <c r="BZ184" t="str">
        <f>""</f>
        <v/>
      </c>
      <c r="CA184" t="str">
        <f>""</f>
        <v/>
      </c>
      <c r="CB184" t="str">
        <f>""</f>
        <v/>
      </c>
      <c r="CC184" t="str">
        <f>"SMTWTFS 0530-2200"</f>
        <v>SMTWTFS 0530-2200</v>
      </c>
      <c r="CD184" t="str">
        <f>""</f>
        <v/>
      </c>
      <c r="CE184" t="str">
        <f>""</f>
        <v/>
      </c>
      <c r="CF184" t="str">
        <f>""</f>
        <v/>
      </c>
      <c r="CG184" t="str">
        <f>""</f>
        <v/>
      </c>
      <c r="CH184" t="str">
        <f>""</f>
        <v/>
      </c>
    </row>
    <row r="185" spans="1:86" x14ac:dyDescent="0.25">
      <c r="A185" t="s">
        <v>2141</v>
      </c>
      <c r="B185" t="s">
        <v>2142</v>
      </c>
      <c r="C185" t="s">
        <v>1992</v>
      </c>
      <c r="D185" t="s">
        <v>2010</v>
      </c>
      <c r="E185" t="s">
        <v>2143</v>
      </c>
      <c r="H185" t="s">
        <v>2144</v>
      </c>
      <c r="I185" t="s">
        <v>914</v>
      </c>
      <c r="J185" t="str">
        <f>"29536"</f>
        <v>29536</v>
      </c>
      <c r="K185" t="s">
        <v>1998</v>
      </c>
      <c r="L185" t="s">
        <v>408</v>
      </c>
      <c r="M185" t="s">
        <v>2063</v>
      </c>
      <c r="N185" t="s">
        <v>1992</v>
      </c>
      <c r="O185" t="s">
        <v>1992</v>
      </c>
      <c r="P185" t="s">
        <v>1992</v>
      </c>
      <c r="Q185" t="s">
        <v>1992</v>
      </c>
      <c r="R185" t="s">
        <v>1992</v>
      </c>
      <c r="S185" t="s">
        <v>1992</v>
      </c>
      <c r="T185" t="s">
        <v>1992</v>
      </c>
      <c r="U185" t="s">
        <v>1992</v>
      </c>
      <c r="V185" t="s">
        <v>1991</v>
      </c>
      <c r="W185" t="s">
        <v>1991</v>
      </c>
      <c r="X185" t="s">
        <v>1992</v>
      </c>
      <c r="Y185" t="s">
        <v>1992</v>
      </c>
      <c r="Z185" t="s">
        <v>1992</v>
      </c>
      <c r="AF185" t="s">
        <v>2016</v>
      </c>
      <c r="AG185" t="s">
        <v>1991</v>
      </c>
      <c r="AH185">
        <v>30</v>
      </c>
      <c r="AI185">
        <v>30</v>
      </c>
      <c r="AJ185" t="s">
        <v>2145</v>
      </c>
      <c r="AK185">
        <v>115</v>
      </c>
      <c r="AL185">
        <v>32300</v>
      </c>
      <c r="AN185" t="s">
        <v>2066</v>
      </c>
      <c r="AO185" t="s">
        <v>2063</v>
      </c>
      <c r="BF185" t="s">
        <v>1053</v>
      </c>
      <c r="BG185" t="s">
        <v>703</v>
      </c>
      <c r="BH185" t="s">
        <v>2146</v>
      </c>
      <c r="BI185" t="s">
        <v>1053</v>
      </c>
      <c r="BJ185" t="s">
        <v>1053</v>
      </c>
      <c r="BK185" t="s">
        <v>1053</v>
      </c>
      <c r="BL185" t="s">
        <v>1053</v>
      </c>
      <c r="BM185" t="s">
        <v>1049</v>
      </c>
      <c r="BN185" t="s">
        <v>1050</v>
      </c>
      <c r="BO185" t="s">
        <v>1053</v>
      </c>
      <c r="BP185" t="s">
        <v>653</v>
      </c>
      <c r="BQ185" t="s">
        <v>2127</v>
      </c>
      <c r="BR185" t="s">
        <v>1053</v>
      </c>
      <c r="BS185" t="s">
        <v>1053</v>
      </c>
      <c r="BT185" t="s">
        <v>1053</v>
      </c>
      <c r="BU185" t="s">
        <v>1053</v>
      </c>
      <c r="BV185" t="s">
        <v>1052</v>
      </c>
      <c r="BW185" t="s">
        <v>3470</v>
      </c>
      <c r="BX185" t="str">
        <f>"SMTWTFS 1113-1313 1535-1735"</f>
        <v>SMTWTFS 1113-1313 1535-1735</v>
      </c>
      <c r="BY185" t="str">
        <f>""</f>
        <v/>
      </c>
      <c r="BZ185" t="str">
        <f>""</f>
        <v/>
      </c>
      <c r="CA185" t="str">
        <f>""</f>
        <v/>
      </c>
      <c r="CB185" t="str">
        <f>""</f>
        <v/>
      </c>
      <c r="CC185" t="str">
        <f>""</f>
        <v/>
      </c>
      <c r="CD185" t="str">
        <f>""</f>
        <v/>
      </c>
      <c r="CE185" t="str">
        <f>""</f>
        <v/>
      </c>
      <c r="CF185" t="str">
        <f>""</f>
        <v/>
      </c>
      <c r="CG185" t="str">
        <f>""</f>
        <v/>
      </c>
      <c r="CH185" t="str">
        <f>""</f>
        <v/>
      </c>
    </row>
    <row r="186" spans="1:86" x14ac:dyDescent="0.25">
      <c r="A186" t="s">
        <v>2147</v>
      </c>
      <c r="B186" t="s">
        <v>2148</v>
      </c>
      <c r="D186" t="s">
        <v>2089</v>
      </c>
      <c r="E186" t="s">
        <v>2149</v>
      </c>
      <c r="F186" t="s">
        <v>497</v>
      </c>
      <c r="H186" t="s">
        <v>2150</v>
      </c>
      <c r="I186" t="s">
        <v>2014</v>
      </c>
      <c r="J186" t="str">
        <f>"20842"</f>
        <v>20842</v>
      </c>
      <c r="K186" t="s">
        <v>1998</v>
      </c>
      <c r="L186" t="s">
        <v>499</v>
      </c>
      <c r="M186" t="s">
        <v>500</v>
      </c>
      <c r="O186" t="s">
        <v>1992</v>
      </c>
      <c r="AF186" t="s">
        <v>2016</v>
      </c>
      <c r="AG186" t="s">
        <v>1991</v>
      </c>
      <c r="AJ186" t="s">
        <v>2090</v>
      </c>
      <c r="AM186" t="s">
        <v>501</v>
      </c>
      <c r="BX186" t="str">
        <f>""</f>
        <v/>
      </c>
      <c r="BY186" t="str">
        <f>""</f>
        <v/>
      </c>
      <c r="BZ186" t="str">
        <f>""</f>
        <v/>
      </c>
      <c r="CA186" t="str">
        <f>""</f>
        <v/>
      </c>
      <c r="CB186" t="str">
        <f>""</f>
        <v/>
      </c>
      <c r="CC186" t="str">
        <f>""</f>
        <v/>
      </c>
      <c r="CD186" t="str">
        <f>""</f>
        <v/>
      </c>
      <c r="CE186" t="str">
        <f>""</f>
        <v/>
      </c>
      <c r="CF186" t="str">
        <f>""</f>
        <v/>
      </c>
      <c r="CG186" t="str">
        <f>""</f>
        <v/>
      </c>
      <c r="CH186" t="str">
        <f>""</f>
        <v/>
      </c>
    </row>
    <row r="187" spans="1:86" x14ac:dyDescent="0.25">
      <c r="A187" t="s">
        <v>2151</v>
      </c>
      <c r="B187" t="s">
        <v>2152</v>
      </c>
      <c r="C187" t="s">
        <v>1992</v>
      </c>
      <c r="D187" t="s">
        <v>2028</v>
      </c>
      <c r="E187" t="s">
        <v>2153</v>
      </c>
      <c r="H187" t="s">
        <v>2154</v>
      </c>
      <c r="I187" t="s">
        <v>558</v>
      </c>
      <c r="J187" t="str">
        <f>"33444"</f>
        <v>33444</v>
      </c>
      <c r="K187" t="s">
        <v>1998</v>
      </c>
      <c r="L187" t="s">
        <v>408</v>
      </c>
      <c r="M187" t="s">
        <v>2063</v>
      </c>
      <c r="N187" t="s">
        <v>1992</v>
      </c>
      <c r="O187" t="s">
        <v>1992</v>
      </c>
      <c r="P187" t="s">
        <v>1992</v>
      </c>
      <c r="Q187" t="s">
        <v>1992</v>
      </c>
      <c r="R187" t="s">
        <v>1992</v>
      </c>
      <c r="S187" t="s">
        <v>1992</v>
      </c>
      <c r="T187" t="s">
        <v>1992</v>
      </c>
      <c r="U187" t="s">
        <v>1992</v>
      </c>
      <c r="V187" t="s">
        <v>1991</v>
      </c>
      <c r="W187" t="s">
        <v>1991</v>
      </c>
      <c r="X187" t="s">
        <v>1991</v>
      </c>
      <c r="Y187" t="s">
        <v>1992</v>
      </c>
      <c r="Z187" t="s">
        <v>1992</v>
      </c>
      <c r="AA187" t="s">
        <v>1991</v>
      </c>
      <c r="AF187" t="s">
        <v>2016</v>
      </c>
      <c r="AG187" t="s">
        <v>1991</v>
      </c>
      <c r="AH187">
        <v>30</v>
      </c>
      <c r="AI187">
        <v>30</v>
      </c>
      <c r="AJ187" t="s">
        <v>2155</v>
      </c>
      <c r="AK187">
        <v>18</v>
      </c>
      <c r="AL187">
        <v>60200</v>
      </c>
      <c r="AN187" t="s">
        <v>2066</v>
      </c>
      <c r="AO187" t="s">
        <v>2063</v>
      </c>
      <c r="BF187" t="s">
        <v>1053</v>
      </c>
      <c r="BG187" t="s">
        <v>2019</v>
      </c>
      <c r="BH187" t="s">
        <v>2127</v>
      </c>
      <c r="BI187" t="s">
        <v>1053</v>
      </c>
      <c r="BJ187" t="s">
        <v>1053</v>
      </c>
      <c r="BK187" t="s">
        <v>1053</v>
      </c>
      <c r="BL187" t="s">
        <v>1053</v>
      </c>
      <c r="BM187" t="s">
        <v>1052</v>
      </c>
      <c r="BN187" t="s">
        <v>3514</v>
      </c>
      <c r="BO187" t="s">
        <v>1053</v>
      </c>
      <c r="BP187" t="s">
        <v>653</v>
      </c>
      <c r="BQ187" t="s">
        <v>564</v>
      </c>
      <c r="BR187" t="s">
        <v>1053</v>
      </c>
      <c r="BS187" t="s">
        <v>1053</v>
      </c>
      <c r="BT187" t="s">
        <v>1053</v>
      </c>
      <c r="BU187" t="s">
        <v>2069</v>
      </c>
      <c r="BV187" t="s">
        <v>1052</v>
      </c>
      <c r="BW187" t="s">
        <v>357</v>
      </c>
      <c r="BX187" t="str">
        <f>""</f>
        <v/>
      </c>
      <c r="BY187" t="str">
        <f>""</f>
        <v/>
      </c>
      <c r="BZ187" t="str">
        <f>""</f>
        <v/>
      </c>
      <c r="CA187" t="str">
        <f>""</f>
        <v/>
      </c>
      <c r="CB187" t="str">
        <f>""</f>
        <v/>
      </c>
      <c r="CC187" t="str">
        <f>""</f>
        <v/>
      </c>
      <c r="CD187" t="str">
        <f>""</f>
        <v/>
      </c>
      <c r="CE187" t="str">
        <f>""</f>
        <v/>
      </c>
      <c r="CF187" t="str">
        <f>""</f>
        <v/>
      </c>
      <c r="CG187" t="str">
        <f>""</f>
        <v/>
      </c>
      <c r="CH187" t="str">
        <f>""</f>
        <v/>
      </c>
    </row>
    <row r="188" spans="1:86" x14ac:dyDescent="0.25">
      <c r="A188" t="s">
        <v>2156</v>
      </c>
      <c r="B188" t="s">
        <v>2157</v>
      </c>
      <c r="C188" t="s">
        <v>1991</v>
      </c>
      <c r="D188" t="s">
        <v>2010</v>
      </c>
      <c r="E188" t="s">
        <v>2158</v>
      </c>
      <c r="H188" t="s">
        <v>2159</v>
      </c>
      <c r="I188" t="s">
        <v>558</v>
      </c>
      <c r="J188" t="str">
        <f>"32720-2808"</f>
        <v>32720-2808</v>
      </c>
      <c r="K188" t="s">
        <v>1998</v>
      </c>
      <c r="L188" t="s">
        <v>408</v>
      </c>
      <c r="M188" t="s">
        <v>2160</v>
      </c>
      <c r="N188" t="s">
        <v>1991</v>
      </c>
      <c r="O188" t="s">
        <v>1991</v>
      </c>
      <c r="P188" t="s">
        <v>1992</v>
      </c>
      <c r="Q188" t="s">
        <v>1991</v>
      </c>
      <c r="R188" t="s">
        <v>1992</v>
      </c>
      <c r="S188" t="s">
        <v>1992</v>
      </c>
      <c r="T188" t="s">
        <v>1992</v>
      </c>
      <c r="U188" t="s">
        <v>1991</v>
      </c>
      <c r="V188" t="s">
        <v>1991</v>
      </c>
      <c r="W188" t="s">
        <v>1991</v>
      </c>
      <c r="X188" t="s">
        <v>1992</v>
      </c>
      <c r="Y188" t="s">
        <v>1992</v>
      </c>
      <c r="Z188" t="s">
        <v>1991</v>
      </c>
      <c r="AA188" t="s">
        <v>1992</v>
      </c>
      <c r="AE188" t="s">
        <v>2047</v>
      </c>
      <c r="AF188" t="s">
        <v>2016</v>
      </c>
      <c r="AG188" t="s">
        <v>1991</v>
      </c>
      <c r="AH188">
        <v>60</v>
      </c>
      <c r="AI188">
        <v>30</v>
      </c>
      <c r="AJ188" t="s">
        <v>2161</v>
      </c>
      <c r="AK188">
        <v>26</v>
      </c>
      <c r="AL188">
        <v>31828</v>
      </c>
      <c r="AM188" t="s">
        <v>2162</v>
      </c>
      <c r="AN188" t="s">
        <v>1053</v>
      </c>
      <c r="AO188" t="s">
        <v>1053</v>
      </c>
      <c r="AP188" t="s">
        <v>2069</v>
      </c>
      <c r="AQ188" t="s">
        <v>1053</v>
      </c>
      <c r="AR188" t="s">
        <v>2069</v>
      </c>
      <c r="AS188" t="s">
        <v>2156</v>
      </c>
      <c r="AT188" t="s">
        <v>2163</v>
      </c>
      <c r="AU188" t="s">
        <v>1053</v>
      </c>
      <c r="AV188" t="s">
        <v>1053</v>
      </c>
      <c r="AW188" t="s">
        <v>2069</v>
      </c>
      <c r="AX188" t="s">
        <v>1053</v>
      </c>
      <c r="AY188" t="s">
        <v>2069</v>
      </c>
      <c r="AZ188" t="s">
        <v>2156</v>
      </c>
      <c r="BA188" t="s">
        <v>2163</v>
      </c>
      <c r="BB188" t="s">
        <v>1053</v>
      </c>
      <c r="BC188" t="s">
        <v>2069</v>
      </c>
      <c r="BD188" t="s">
        <v>1053</v>
      </c>
      <c r="BE188" t="s">
        <v>2069</v>
      </c>
      <c r="BF188" t="s">
        <v>1053</v>
      </c>
      <c r="BG188" t="s">
        <v>2097</v>
      </c>
      <c r="BH188" t="s">
        <v>2164</v>
      </c>
      <c r="BI188" t="s">
        <v>1053</v>
      </c>
      <c r="BJ188" t="s">
        <v>1053</v>
      </c>
      <c r="BK188" t="s">
        <v>1053</v>
      </c>
      <c r="BL188" t="s">
        <v>1053</v>
      </c>
      <c r="BM188" t="s">
        <v>1049</v>
      </c>
      <c r="BN188" t="s">
        <v>1050</v>
      </c>
      <c r="BO188" t="s">
        <v>1053</v>
      </c>
      <c r="BP188" t="s">
        <v>2165</v>
      </c>
      <c r="BQ188" t="s">
        <v>564</v>
      </c>
      <c r="BR188" t="s">
        <v>1053</v>
      </c>
      <c r="BS188" t="s">
        <v>1053</v>
      </c>
      <c r="BT188" t="s">
        <v>1053</v>
      </c>
      <c r="BU188" t="s">
        <v>1053</v>
      </c>
      <c r="BV188" t="s">
        <v>1052</v>
      </c>
      <c r="BW188" t="s">
        <v>226</v>
      </c>
      <c r="BX188" t="str">
        <f>"SMTWTFS 0815-2115"</f>
        <v>SMTWTFS 0815-2115</v>
      </c>
      <c r="BY188" t="str">
        <f>"SMTWTFS 0815-2115"</f>
        <v>SMTWTFS 0815-2115</v>
      </c>
      <c r="BZ188" t="str">
        <f>"SMTWTFS 0815-2115"</f>
        <v>SMTWTFS 0815-2115</v>
      </c>
      <c r="CA188" t="str">
        <f>"SMTWTFS 0815-2115"</f>
        <v>SMTWTFS 0815-2115</v>
      </c>
      <c r="CB188" t="str">
        <f>""</f>
        <v/>
      </c>
      <c r="CC188" t="str">
        <f>"SMTWTFS 0815-2115"</f>
        <v>SMTWTFS 0815-2115</v>
      </c>
      <c r="CD188" t="str">
        <f>""</f>
        <v/>
      </c>
      <c r="CE188" t="str">
        <f>""</f>
        <v/>
      </c>
      <c r="CF188" t="str">
        <f>"SMTWTFS 0815-2115"</f>
        <v>SMTWTFS 0815-2115</v>
      </c>
      <c r="CG188" t="str">
        <f>""</f>
        <v/>
      </c>
      <c r="CH188" t="str">
        <f>""</f>
        <v/>
      </c>
    </row>
    <row r="189" spans="1:86" x14ac:dyDescent="0.25">
      <c r="A189" t="s">
        <v>2166</v>
      </c>
      <c r="B189" t="s">
        <v>2167</v>
      </c>
      <c r="C189" t="s">
        <v>1992</v>
      </c>
      <c r="D189" t="s">
        <v>2010</v>
      </c>
      <c r="E189" t="s">
        <v>2168</v>
      </c>
      <c r="H189" t="s">
        <v>2169</v>
      </c>
      <c r="I189" t="s">
        <v>2170</v>
      </c>
      <c r="J189" t="str">
        <f>"56501"</f>
        <v>56501</v>
      </c>
      <c r="K189" t="s">
        <v>1998</v>
      </c>
      <c r="L189" t="s">
        <v>1999</v>
      </c>
      <c r="M189" t="s">
        <v>2000</v>
      </c>
      <c r="N189" t="s">
        <v>1992</v>
      </c>
      <c r="O189" t="s">
        <v>1992</v>
      </c>
      <c r="P189" t="s">
        <v>1992</v>
      </c>
      <c r="Q189" t="s">
        <v>1992</v>
      </c>
      <c r="R189" t="s">
        <v>1992</v>
      </c>
      <c r="S189" t="s">
        <v>1992</v>
      </c>
      <c r="T189" t="s">
        <v>1992</v>
      </c>
      <c r="U189" t="s">
        <v>1992</v>
      </c>
      <c r="V189" t="s">
        <v>1991</v>
      </c>
      <c r="W189" t="s">
        <v>1991</v>
      </c>
      <c r="X189" t="s">
        <v>1992</v>
      </c>
      <c r="Y189" t="s">
        <v>1992</v>
      </c>
      <c r="Z189" t="s">
        <v>1992</v>
      </c>
      <c r="AF189" t="s">
        <v>2001</v>
      </c>
      <c r="AG189" t="s">
        <v>1991</v>
      </c>
      <c r="AH189">
        <v>30</v>
      </c>
      <c r="AI189">
        <v>30</v>
      </c>
      <c r="AJ189" t="s">
        <v>2171</v>
      </c>
      <c r="AK189">
        <v>1363</v>
      </c>
      <c r="AL189">
        <v>8141</v>
      </c>
      <c r="AM189" t="s">
        <v>2172</v>
      </c>
      <c r="AN189" t="s">
        <v>2066</v>
      </c>
      <c r="AO189" t="s">
        <v>2063</v>
      </c>
      <c r="AU189" t="s">
        <v>1053</v>
      </c>
      <c r="AV189" t="s">
        <v>1053</v>
      </c>
      <c r="BF189" t="s">
        <v>1053</v>
      </c>
      <c r="BG189" t="s">
        <v>703</v>
      </c>
      <c r="BH189" t="s">
        <v>2173</v>
      </c>
      <c r="BI189" t="s">
        <v>1053</v>
      </c>
      <c r="BJ189" t="s">
        <v>2069</v>
      </c>
      <c r="BK189" t="s">
        <v>1053</v>
      </c>
      <c r="BL189" t="s">
        <v>2069</v>
      </c>
      <c r="BM189" t="s">
        <v>287</v>
      </c>
      <c r="BN189" t="s">
        <v>288</v>
      </c>
      <c r="BO189" t="s">
        <v>1053</v>
      </c>
      <c r="BP189" t="s">
        <v>950</v>
      </c>
      <c r="BQ189" t="s">
        <v>2006</v>
      </c>
      <c r="BR189" t="s">
        <v>1053</v>
      </c>
      <c r="BS189" t="s">
        <v>1053</v>
      </c>
      <c r="BT189" t="s">
        <v>1053</v>
      </c>
      <c r="BU189" t="s">
        <v>1053</v>
      </c>
      <c r="BV189" t="s">
        <v>951</v>
      </c>
      <c r="BW189" t="s">
        <v>952</v>
      </c>
      <c r="BX189" t="str">
        <f>"SMTWTFS 0000-0800"</f>
        <v>SMTWTFS 0000-0800</v>
      </c>
      <c r="BY189" t="str">
        <f>""</f>
        <v/>
      </c>
      <c r="BZ189" t="str">
        <f>""</f>
        <v/>
      </c>
      <c r="CA189" t="str">
        <f>""</f>
        <v/>
      </c>
      <c r="CB189" t="str">
        <f>"-MTWTF- 0600-1800; ------S 0900-1700"</f>
        <v>-MTWTF- 0600-1800; ------S 0900-1700</v>
      </c>
      <c r="CC189" t="str">
        <f>""</f>
        <v/>
      </c>
      <c r="CD189" t="str">
        <f>""</f>
        <v/>
      </c>
      <c r="CE189" t="str">
        <f>""</f>
        <v/>
      </c>
      <c r="CF189" t="str">
        <f>""</f>
        <v/>
      </c>
      <c r="CG189" t="str">
        <f>""</f>
        <v/>
      </c>
      <c r="CH189" t="str">
        <f>""</f>
        <v/>
      </c>
    </row>
    <row r="190" spans="1:86" x14ac:dyDescent="0.25">
      <c r="A190" t="s">
        <v>2174</v>
      </c>
      <c r="B190" t="s">
        <v>2175</v>
      </c>
      <c r="C190" t="s">
        <v>1991</v>
      </c>
      <c r="D190" t="s">
        <v>2010</v>
      </c>
      <c r="E190" t="s">
        <v>2176</v>
      </c>
      <c r="F190" t="s">
        <v>2177</v>
      </c>
      <c r="H190" t="s">
        <v>2132</v>
      </c>
      <c r="I190" t="s">
        <v>700</v>
      </c>
      <c r="J190" t="str">
        <f>"27701-2887"</f>
        <v>27701-2887</v>
      </c>
      <c r="K190" t="s">
        <v>1998</v>
      </c>
      <c r="L190" t="s">
        <v>408</v>
      </c>
      <c r="M190" t="s">
        <v>2178</v>
      </c>
      <c r="N190" t="s">
        <v>1991</v>
      </c>
      <c r="O190" t="s">
        <v>1991</v>
      </c>
      <c r="P190" t="s">
        <v>1992</v>
      </c>
      <c r="Q190" t="s">
        <v>1991</v>
      </c>
      <c r="R190" t="s">
        <v>1991</v>
      </c>
      <c r="S190" t="s">
        <v>1992</v>
      </c>
      <c r="T190" t="s">
        <v>1992</v>
      </c>
      <c r="U190" t="s">
        <v>1991</v>
      </c>
      <c r="V190" t="s">
        <v>1991</v>
      </c>
      <c r="W190" t="s">
        <v>1991</v>
      </c>
      <c r="X190" t="s">
        <v>1992</v>
      </c>
      <c r="Y190" t="s">
        <v>1992</v>
      </c>
      <c r="Z190" t="s">
        <v>1992</v>
      </c>
      <c r="AE190" t="s">
        <v>2047</v>
      </c>
      <c r="AF190" t="s">
        <v>2016</v>
      </c>
      <c r="AG190" t="s">
        <v>1991</v>
      </c>
      <c r="AH190">
        <v>45</v>
      </c>
      <c r="AI190">
        <v>30</v>
      </c>
      <c r="AJ190" t="s">
        <v>2179</v>
      </c>
      <c r="AK190">
        <v>400</v>
      </c>
      <c r="AL190">
        <v>200000</v>
      </c>
      <c r="AN190" t="s">
        <v>1053</v>
      </c>
      <c r="AO190" t="s">
        <v>1053</v>
      </c>
      <c r="AP190" t="s">
        <v>2069</v>
      </c>
      <c r="AQ190" t="s">
        <v>1053</v>
      </c>
      <c r="AR190" t="s">
        <v>2069</v>
      </c>
      <c r="AS190" t="s">
        <v>2180</v>
      </c>
      <c r="AT190" t="s">
        <v>2181</v>
      </c>
      <c r="AU190" t="s">
        <v>1053</v>
      </c>
      <c r="AV190" t="s">
        <v>1053</v>
      </c>
      <c r="AW190" t="s">
        <v>2069</v>
      </c>
      <c r="AX190" t="s">
        <v>1053</v>
      </c>
      <c r="AY190" t="s">
        <v>2069</v>
      </c>
      <c r="AZ190" t="s">
        <v>2174</v>
      </c>
      <c r="BA190" t="s">
        <v>2182</v>
      </c>
      <c r="BB190" t="s">
        <v>1053</v>
      </c>
      <c r="BC190" t="s">
        <v>2069</v>
      </c>
      <c r="BD190" t="s">
        <v>1053</v>
      </c>
      <c r="BE190" t="s">
        <v>2069</v>
      </c>
      <c r="BF190" t="s">
        <v>1053</v>
      </c>
      <c r="BG190" t="s">
        <v>703</v>
      </c>
      <c r="BH190" t="s">
        <v>704</v>
      </c>
      <c r="BI190" t="s">
        <v>1053</v>
      </c>
      <c r="BJ190" t="s">
        <v>1053</v>
      </c>
      <c r="BK190" t="s">
        <v>1053</v>
      </c>
      <c r="BL190" t="s">
        <v>1053</v>
      </c>
      <c r="BM190" t="s">
        <v>705</v>
      </c>
      <c r="BO190" t="s">
        <v>1053</v>
      </c>
      <c r="BP190" t="s">
        <v>2375</v>
      </c>
      <c r="BQ190" t="s">
        <v>427</v>
      </c>
      <c r="BR190" t="s">
        <v>1053</v>
      </c>
      <c r="BS190" t="s">
        <v>1053</v>
      </c>
      <c r="BT190" t="s">
        <v>1053</v>
      </c>
      <c r="BU190" t="s">
        <v>1053</v>
      </c>
      <c r="BV190" t="s">
        <v>416</v>
      </c>
      <c r="BW190" t="s">
        <v>417</v>
      </c>
      <c r="BX190" t="str">
        <f>"SMTWTFS 0630-2100"</f>
        <v>SMTWTFS 0630-2100</v>
      </c>
      <c r="BY190" t="str">
        <f>"SMTWTFS 0645-2100"</f>
        <v>SMTWTFS 0645-2100</v>
      </c>
      <c r="BZ190" t="str">
        <f>"SMTWTFS 0645-2100"</f>
        <v>SMTWTFS 0645-2100</v>
      </c>
      <c r="CA190" t="str">
        <f>"SMTWTFS 0645-2100"</f>
        <v>SMTWTFS 0645-2100</v>
      </c>
      <c r="CB190" t="str">
        <f>""</f>
        <v/>
      </c>
      <c r="CC190" t="str">
        <f>"SMTWTFS 0630-2100"</f>
        <v>SMTWTFS 0630-2100</v>
      </c>
      <c r="CD190" t="str">
        <f>""</f>
        <v/>
      </c>
      <c r="CE190" t="str">
        <f>""</f>
        <v/>
      </c>
      <c r="CF190" t="str">
        <f>"SMTWTFS 0645-2100"</f>
        <v>SMTWTFS 0645-2100</v>
      </c>
      <c r="CG190" t="str">
        <f>""</f>
        <v/>
      </c>
      <c r="CH190" t="str">
        <f>""</f>
        <v/>
      </c>
    </row>
    <row r="191" spans="1:86" x14ac:dyDescent="0.25">
      <c r="A191" t="s">
        <v>2183</v>
      </c>
      <c r="B191" t="s">
        <v>2184</v>
      </c>
      <c r="C191" t="s">
        <v>1992</v>
      </c>
      <c r="D191" t="s">
        <v>2010</v>
      </c>
      <c r="E191" t="s">
        <v>2185</v>
      </c>
      <c r="H191" t="s">
        <v>2186</v>
      </c>
      <c r="I191" t="s">
        <v>914</v>
      </c>
      <c r="J191" t="str">
        <f>"29042"</f>
        <v>29042</v>
      </c>
      <c r="K191" t="s">
        <v>1998</v>
      </c>
      <c r="L191" t="s">
        <v>408</v>
      </c>
      <c r="M191" t="s">
        <v>2063</v>
      </c>
      <c r="N191" t="s">
        <v>1992</v>
      </c>
      <c r="O191" t="s">
        <v>1992</v>
      </c>
      <c r="P191" t="s">
        <v>1992</v>
      </c>
      <c r="Q191" t="s">
        <v>1992</v>
      </c>
      <c r="R191" t="s">
        <v>1992</v>
      </c>
      <c r="S191" t="s">
        <v>1992</v>
      </c>
      <c r="T191" t="s">
        <v>1992</v>
      </c>
      <c r="U191" t="s">
        <v>1992</v>
      </c>
      <c r="V191" t="s">
        <v>1991</v>
      </c>
      <c r="W191" t="s">
        <v>1991</v>
      </c>
      <c r="X191" t="s">
        <v>1992</v>
      </c>
      <c r="Y191" t="s">
        <v>1992</v>
      </c>
      <c r="Z191" t="s">
        <v>1992</v>
      </c>
      <c r="AA191" t="s">
        <v>1992</v>
      </c>
      <c r="AE191" t="s">
        <v>2353</v>
      </c>
      <c r="AF191" t="s">
        <v>2016</v>
      </c>
      <c r="AG191" t="s">
        <v>1991</v>
      </c>
      <c r="AH191">
        <v>30</v>
      </c>
      <c r="AI191">
        <v>30</v>
      </c>
      <c r="AJ191" t="s">
        <v>2187</v>
      </c>
      <c r="AK191">
        <v>248</v>
      </c>
      <c r="AL191">
        <v>7000</v>
      </c>
      <c r="AN191" t="s">
        <v>2066</v>
      </c>
      <c r="AO191" t="s">
        <v>2063</v>
      </c>
      <c r="AU191" t="s">
        <v>2066</v>
      </c>
      <c r="BF191" t="s">
        <v>1053</v>
      </c>
      <c r="BG191" t="s">
        <v>703</v>
      </c>
      <c r="BH191" t="s">
        <v>2188</v>
      </c>
      <c r="BI191" t="s">
        <v>1053</v>
      </c>
      <c r="BJ191" t="s">
        <v>1053</v>
      </c>
      <c r="BK191" t="s">
        <v>1053</v>
      </c>
      <c r="BL191" t="s">
        <v>1053</v>
      </c>
      <c r="BM191" t="s">
        <v>414</v>
      </c>
      <c r="BN191" t="s">
        <v>412</v>
      </c>
      <c r="BO191" t="s">
        <v>1053</v>
      </c>
      <c r="BP191" t="s">
        <v>2375</v>
      </c>
      <c r="BQ191" t="s">
        <v>2189</v>
      </c>
      <c r="BR191" t="s">
        <v>1053</v>
      </c>
      <c r="BS191" t="s">
        <v>1053</v>
      </c>
      <c r="BT191" t="s">
        <v>1053</v>
      </c>
      <c r="BU191" t="s">
        <v>1053</v>
      </c>
      <c r="BV191" t="s">
        <v>416</v>
      </c>
      <c r="BW191" t="s">
        <v>782</v>
      </c>
      <c r="BX191" t="str">
        <f>""</f>
        <v/>
      </c>
      <c r="BY191" t="str">
        <f>""</f>
        <v/>
      </c>
      <c r="BZ191" t="str">
        <f>""</f>
        <v/>
      </c>
      <c r="CA191" t="str">
        <f>""</f>
        <v/>
      </c>
      <c r="CB191" t="str">
        <f>""</f>
        <v/>
      </c>
      <c r="CC191" t="str">
        <f>""</f>
        <v/>
      </c>
      <c r="CD191" t="str">
        <f>""</f>
        <v/>
      </c>
      <c r="CE191" t="str">
        <f>""</f>
        <v/>
      </c>
      <c r="CF191" t="str">
        <f>""</f>
        <v/>
      </c>
      <c r="CG191" t="str">
        <f>""</f>
        <v/>
      </c>
      <c r="CH191" t="str">
        <f>""</f>
        <v/>
      </c>
    </row>
    <row r="192" spans="1:86" x14ac:dyDescent="0.25">
      <c r="A192" t="s">
        <v>2190</v>
      </c>
      <c r="B192" t="s">
        <v>2191</v>
      </c>
      <c r="C192" t="s">
        <v>1992</v>
      </c>
      <c r="D192" t="s">
        <v>2010</v>
      </c>
      <c r="E192" t="s">
        <v>2192</v>
      </c>
      <c r="H192" t="s">
        <v>2193</v>
      </c>
      <c r="I192" t="s">
        <v>2352</v>
      </c>
      <c r="J192" t="str">
        <f>"49047-1448"</f>
        <v>49047-1448</v>
      </c>
      <c r="K192" t="s">
        <v>1998</v>
      </c>
      <c r="L192" t="s">
        <v>1999</v>
      </c>
      <c r="M192" t="s">
        <v>2063</v>
      </c>
      <c r="N192" t="s">
        <v>1992</v>
      </c>
      <c r="O192" t="s">
        <v>1992</v>
      </c>
      <c r="P192" t="s">
        <v>1992</v>
      </c>
      <c r="Q192" t="s">
        <v>1992</v>
      </c>
      <c r="R192" t="s">
        <v>1992</v>
      </c>
      <c r="S192" t="s">
        <v>1992</v>
      </c>
      <c r="T192" t="s">
        <v>1992</v>
      </c>
      <c r="U192" t="s">
        <v>1992</v>
      </c>
      <c r="V192" t="s">
        <v>1991</v>
      </c>
      <c r="W192" t="s">
        <v>1991</v>
      </c>
      <c r="X192" t="s">
        <v>1992</v>
      </c>
      <c r="Y192" t="s">
        <v>1992</v>
      </c>
      <c r="Z192" t="s">
        <v>1992</v>
      </c>
      <c r="AF192" t="s">
        <v>2016</v>
      </c>
      <c r="AG192" t="s">
        <v>1991</v>
      </c>
      <c r="AH192">
        <v>30</v>
      </c>
      <c r="AI192">
        <v>30</v>
      </c>
      <c r="AJ192" t="s">
        <v>2194</v>
      </c>
      <c r="AK192">
        <v>767</v>
      </c>
      <c r="AL192">
        <v>6589</v>
      </c>
      <c r="AN192" t="s">
        <v>2066</v>
      </c>
      <c r="AO192" t="s">
        <v>2311</v>
      </c>
      <c r="BF192" t="s">
        <v>1053</v>
      </c>
      <c r="BG192" t="s">
        <v>467</v>
      </c>
      <c r="BH192" t="s">
        <v>2312</v>
      </c>
      <c r="BI192" t="s">
        <v>1053</v>
      </c>
      <c r="BJ192" t="s">
        <v>2069</v>
      </c>
      <c r="BK192" t="s">
        <v>1053</v>
      </c>
      <c r="BL192" t="s">
        <v>2069</v>
      </c>
      <c r="BM192" t="s">
        <v>2313</v>
      </c>
      <c r="BN192" t="s">
        <v>2314</v>
      </c>
      <c r="BO192" t="s">
        <v>1053</v>
      </c>
      <c r="BP192" t="s">
        <v>301</v>
      </c>
      <c r="BQ192" t="s">
        <v>2316</v>
      </c>
      <c r="BR192" t="s">
        <v>1053</v>
      </c>
      <c r="BT192" t="s">
        <v>1053</v>
      </c>
      <c r="BX192" t="str">
        <f>"S-----S 1000-2200; -MTWTF- 0800-2200"</f>
        <v>S-----S 1000-2200; -MTWTF- 0800-2200</v>
      </c>
      <c r="BY192" t="str">
        <f>""</f>
        <v/>
      </c>
      <c r="BZ192" t="str">
        <f>""</f>
        <v/>
      </c>
      <c r="CA192" t="str">
        <f>""</f>
        <v/>
      </c>
      <c r="CB192" t="str">
        <f>""</f>
        <v/>
      </c>
      <c r="CC192" t="str">
        <f>""</f>
        <v/>
      </c>
      <c r="CD192" t="str">
        <f>""</f>
        <v/>
      </c>
      <c r="CE192" t="str">
        <f>""</f>
        <v/>
      </c>
      <c r="CF192" t="str">
        <f>""</f>
        <v/>
      </c>
      <c r="CG192" t="str">
        <f>""</f>
        <v/>
      </c>
      <c r="CH192" t="str">
        <f>""</f>
        <v/>
      </c>
    </row>
    <row r="193" spans="1:86" x14ac:dyDescent="0.25">
      <c r="A193" t="s">
        <v>2195</v>
      </c>
      <c r="B193" t="s">
        <v>2196</v>
      </c>
      <c r="C193" t="s">
        <v>1992</v>
      </c>
      <c r="D193" t="s">
        <v>2010</v>
      </c>
      <c r="E193" t="s">
        <v>2197</v>
      </c>
      <c r="H193" t="s">
        <v>2198</v>
      </c>
      <c r="I193" t="s">
        <v>660</v>
      </c>
      <c r="J193" t="str">
        <f>"03820-3327"</f>
        <v>03820-3327</v>
      </c>
      <c r="K193" t="s">
        <v>1998</v>
      </c>
      <c r="L193" t="s">
        <v>2033</v>
      </c>
      <c r="M193" t="s">
        <v>2000</v>
      </c>
      <c r="N193" t="s">
        <v>1992</v>
      </c>
      <c r="O193" t="s">
        <v>1991</v>
      </c>
      <c r="P193" t="s">
        <v>1992</v>
      </c>
      <c r="Q193" t="s">
        <v>1992</v>
      </c>
      <c r="R193" t="s">
        <v>1992</v>
      </c>
      <c r="S193" t="s">
        <v>1992</v>
      </c>
      <c r="T193" t="s">
        <v>1992</v>
      </c>
      <c r="U193" t="s">
        <v>1992</v>
      </c>
      <c r="V193" t="s">
        <v>1991</v>
      </c>
      <c r="W193" t="s">
        <v>1991</v>
      </c>
      <c r="X193" t="s">
        <v>1992</v>
      </c>
      <c r="Y193" t="s">
        <v>1991</v>
      </c>
      <c r="Z193" t="s">
        <v>1992</v>
      </c>
      <c r="AA193" t="s">
        <v>1992</v>
      </c>
      <c r="AF193" t="s">
        <v>2016</v>
      </c>
      <c r="AG193" t="s">
        <v>1991</v>
      </c>
      <c r="AH193">
        <v>30</v>
      </c>
      <c r="AI193">
        <v>30</v>
      </c>
      <c r="AJ193" t="s">
        <v>2199</v>
      </c>
      <c r="AK193">
        <v>70</v>
      </c>
      <c r="AL193">
        <v>28422</v>
      </c>
      <c r="AM193" t="s">
        <v>2200</v>
      </c>
      <c r="BF193" t="s">
        <v>1053</v>
      </c>
      <c r="BG193" t="s">
        <v>2345</v>
      </c>
      <c r="BH193" t="s">
        <v>2201</v>
      </c>
      <c r="BI193" t="s">
        <v>1053</v>
      </c>
      <c r="BJ193" t="s">
        <v>2069</v>
      </c>
      <c r="BK193" t="s">
        <v>1053</v>
      </c>
      <c r="BL193" t="s">
        <v>2069</v>
      </c>
      <c r="BM193" t="s">
        <v>2202</v>
      </c>
      <c r="BN193" t="s">
        <v>2139</v>
      </c>
      <c r="BO193" t="s">
        <v>1053</v>
      </c>
      <c r="BP193" t="s">
        <v>986</v>
      </c>
      <c r="BQ193" t="s">
        <v>2140</v>
      </c>
      <c r="BR193" t="s">
        <v>1053</v>
      </c>
      <c r="BS193" t="s">
        <v>1053</v>
      </c>
      <c r="BT193" t="s">
        <v>1053</v>
      </c>
      <c r="BU193" t="s">
        <v>1053</v>
      </c>
      <c r="BV193" t="s">
        <v>520</v>
      </c>
      <c r="BW193" t="s">
        <v>523</v>
      </c>
      <c r="BX193" t="str">
        <f>"S-----S 0630-2100; -MTWTF- 0615-2100"</f>
        <v>S-----S 0630-2100; -MTWTF- 0615-2100</v>
      </c>
      <c r="BY193" t="str">
        <f>""</f>
        <v/>
      </c>
      <c r="BZ193" t="str">
        <f>""</f>
        <v/>
      </c>
      <c r="CA193" t="str">
        <f>""</f>
        <v/>
      </c>
      <c r="CB193" t="str">
        <f>""</f>
        <v/>
      </c>
      <c r="CC193" t="str">
        <f>"S-----S 0630-2100; -MTWTF- 0615-2100"</f>
        <v>S-----S 0630-2100; -MTWTF- 0615-2100</v>
      </c>
      <c r="CD193" t="str">
        <f>""</f>
        <v/>
      </c>
      <c r="CE193" t="str">
        <f>""</f>
        <v/>
      </c>
      <c r="CF193" t="str">
        <f>""</f>
        <v/>
      </c>
      <c r="CG193" t="str">
        <f>""</f>
        <v/>
      </c>
      <c r="CH193" t="str">
        <f>""</f>
        <v/>
      </c>
    </row>
    <row r="194" spans="1:86" x14ac:dyDescent="0.25">
      <c r="A194" t="s">
        <v>2203</v>
      </c>
      <c r="B194" t="s">
        <v>2204</v>
      </c>
      <c r="C194" t="s">
        <v>1992</v>
      </c>
      <c r="D194" t="s">
        <v>2028</v>
      </c>
      <c r="E194" t="s">
        <v>2205</v>
      </c>
      <c r="H194" t="s">
        <v>2206</v>
      </c>
      <c r="I194" t="s">
        <v>2388</v>
      </c>
      <c r="J194" t="str">
        <f>"19335"</f>
        <v>19335</v>
      </c>
      <c r="K194" t="s">
        <v>1998</v>
      </c>
      <c r="L194" t="s">
        <v>2015</v>
      </c>
      <c r="M194" t="s">
        <v>2063</v>
      </c>
      <c r="N194" t="s">
        <v>1992</v>
      </c>
      <c r="O194" t="s">
        <v>1992</v>
      </c>
      <c r="P194" t="s">
        <v>1992</v>
      </c>
      <c r="Q194" t="s">
        <v>1992</v>
      </c>
      <c r="R194" t="s">
        <v>1992</v>
      </c>
      <c r="S194" t="s">
        <v>1992</v>
      </c>
      <c r="T194" t="s">
        <v>1992</v>
      </c>
      <c r="U194" t="s">
        <v>1992</v>
      </c>
      <c r="V194" t="s">
        <v>1991</v>
      </c>
      <c r="W194" t="s">
        <v>1991</v>
      </c>
      <c r="X194" t="s">
        <v>1991</v>
      </c>
      <c r="Y194" t="s">
        <v>1992</v>
      </c>
      <c r="Z194" t="s">
        <v>1992</v>
      </c>
      <c r="AF194" t="s">
        <v>2016</v>
      </c>
      <c r="AG194" t="s">
        <v>1991</v>
      </c>
      <c r="AH194">
        <v>30</v>
      </c>
      <c r="AI194">
        <v>30</v>
      </c>
      <c r="AJ194" t="s">
        <v>2207</v>
      </c>
      <c r="AK194">
        <v>260</v>
      </c>
      <c r="AL194">
        <v>7885</v>
      </c>
      <c r="AN194" t="s">
        <v>2066</v>
      </c>
      <c r="AO194" t="s">
        <v>2063</v>
      </c>
      <c r="BF194" t="s">
        <v>1053</v>
      </c>
      <c r="BG194" t="s">
        <v>235</v>
      </c>
      <c r="BH194" t="s">
        <v>3641</v>
      </c>
      <c r="BI194" t="s">
        <v>1053</v>
      </c>
      <c r="BJ194" t="s">
        <v>1053</v>
      </c>
      <c r="BK194" t="s">
        <v>1053</v>
      </c>
      <c r="BL194" t="s">
        <v>1053</v>
      </c>
      <c r="BM194" t="s">
        <v>3642</v>
      </c>
      <c r="BN194" t="s">
        <v>3643</v>
      </c>
      <c r="BO194" t="s">
        <v>1053</v>
      </c>
      <c r="BP194" t="s">
        <v>2397</v>
      </c>
      <c r="BQ194" t="s">
        <v>318</v>
      </c>
      <c r="BR194" t="s">
        <v>1053</v>
      </c>
      <c r="BS194" t="s">
        <v>1053</v>
      </c>
      <c r="BT194" t="s">
        <v>1053</v>
      </c>
      <c r="BU194" t="s">
        <v>1053</v>
      </c>
      <c r="BV194" t="s">
        <v>319</v>
      </c>
      <c r="BW194" t="s">
        <v>226</v>
      </c>
      <c r="BX194" t="str">
        <f>""</f>
        <v/>
      </c>
      <c r="BY194" t="str">
        <f>""</f>
        <v/>
      </c>
      <c r="BZ194" t="str">
        <f>""</f>
        <v/>
      </c>
      <c r="CA194" t="str">
        <f>""</f>
        <v/>
      </c>
      <c r="CB194" t="str">
        <f>""</f>
        <v/>
      </c>
      <c r="CC194" t="str">
        <f>""</f>
        <v/>
      </c>
      <c r="CD194" t="str">
        <f>""</f>
        <v/>
      </c>
      <c r="CE194" t="str">
        <f>""</f>
        <v/>
      </c>
      <c r="CF194" t="str">
        <f>""</f>
        <v/>
      </c>
      <c r="CG194" t="str">
        <f>""</f>
        <v/>
      </c>
      <c r="CH194" t="str">
        <f>""</f>
        <v/>
      </c>
    </row>
    <row r="195" spans="1:86" x14ac:dyDescent="0.25">
      <c r="A195" t="s">
        <v>2208</v>
      </c>
      <c r="B195" t="s">
        <v>2209</v>
      </c>
      <c r="C195" t="s">
        <v>1992</v>
      </c>
      <c r="D195" t="s">
        <v>1993</v>
      </c>
      <c r="E195" t="s">
        <v>2210</v>
      </c>
      <c r="F195" t="s">
        <v>2211</v>
      </c>
      <c r="H195" t="s">
        <v>2212</v>
      </c>
      <c r="I195" t="s">
        <v>576</v>
      </c>
      <c r="J195" t="str">
        <f>"99006"</f>
        <v>99006</v>
      </c>
      <c r="K195" t="s">
        <v>1998</v>
      </c>
      <c r="L195" t="s">
        <v>231</v>
      </c>
      <c r="M195" t="s">
        <v>2000</v>
      </c>
      <c r="N195" t="s">
        <v>1992</v>
      </c>
      <c r="O195" t="s">
        <v>1992</v>
      </c>
      <c r="P195" t="s">
        <v>1992</v>
      </c>
      <c r="Q195" t="s">
        <v>1992</v>
      </c>
      <c r="R195" t="s">
        <v>1992</v>
      </c>
      <c r="S195" t="s">
        <v>1992</v>
      </c>
      <c r="T195" t="s">
        <v>1992</v>
      </c>
      <c r="U195" t="s">
        <v>1992</v>
      </c>
      <c r="V195" t="s">
        <v>1991</v>
      </c>
      <c r="Z195" t="s">
        <v>1991</v>
      </c>
      <c r="AF195" t="s">
        <v>2064</v>
      </c>
      <c r="AG195" t="s">
        <v>1991</v>
      </c>
      <c r="AH195">
        <v>15</v>
      </c>
      <c r="AI195">
        <v>15</v>
      </c>
      <c r="AJ195" t="s">
        <v>2213</v>
      </c>
      <c r="AK195">
        <v>2104</v>
      </c>
      <c r="BX195" t="str">
        <f>""</f>
        <v/>
      </c>
      <c r="BY195" t="str">
        <f>""</f>
        <v/>
      </c>
      <c r="BZ195" t="str">
        <f>""</f>
        <v/>
      </c>
      <c r="CA195" t="str">
        <f>""</f>
        <v/>
      </c>
      <c r="CB195" t="str">
        <f>""</f>
        <v/>
      </c>
      <c r="CC195" t="str">
        <f>""</f>
        <v/>
      </c>
      <c r="CD195" t="str">
        <f>""</f>
        <v/>
      </c>
      <c r="CE195" t="str">
        <f>""</f>
        <v/>
      </c>
      <c r="CF195" t="str">
        <f>""</f>
        <v/>
      </c>
      <c r="CG195" t="str">
        <f>""</f>
        <v/>
      </c>
      <c r="CH195" t="str">
        <f>""</f>
        <v/>
      </c>
    </row>
    <row r="196" spans="1:86" x14ac:dyDescent="0.25">
      <c r="A196" t="s">
        <v>2214</v>
      </c>
      <c r="B196" t="s">
        <v>2215</v>
      </c>
      <c r="C196" t="s">
        <v>1992</v>
      </c>
      <c r="D196" t="s">
        <v>2010</v>
      </c>
      <c r="E196" t="s">
        <v>2460</v>
      </c>
      <c r="H196" t="s">
        <v>2461</v>
      </c>
      <c r="I196" t="s">
        <v>2367</v>
      </c>
      <c r="J196" t="str">
        <f>"62832-1602"</f>
        <v>62832-1602</v>
      </c>
      <c r="K196" t="s">
        <v>1998</v>
      </c>
      <c r="L196" t="s">
        <v>1999</v>
      </c>
      <c r="M196" t="s">
        <v>2063</v>
      </c>
      <c r="N196" t="s">
        <v>1992</v>
      </c>
      <c r="O196" t="s">
        <v>1992</v>
      </c>
      <c r="P196" t="s">
        <v>1992</v>
      </c>
      <c r="Q196" t="s">
        <v>1992</v>
      </c>
      <c r="R196" t="s">
        <v>1992</v>
      </c>
      <c r="S196" t="s">
        <v>1992</v>
      </c>
      <c r="T196" t="s">
        <v>1992</v>
      </c>
      <c r="U196" t="s">
        <v>1992</v>
      </c>
      <c r="V196" t="s">
        <v>1991</v>
      </c>
      <c r="W196" t="s">
        <v>1991</v>
      </c>
      <c r="X196" t="s">
        <v>1992</v>
      </c>
      <c r="Y196" t="s">
        <v>1992</v>
      </c>
      <c r="Z196" t="s">
        <v>1992</v>
      </c>
      <c r="AF196" t="s">
        <v>2001</v>
      </c>
      <c r="AG196" t="s">
        <v>1991</v>
      </c>
      <c r="AH196">
        <v>30</v>
      </c>
      <c r="AI196">
        <v>30</v>
      </c>
      <c r="AJ196" t="s">
        <v>2462</v>
      </c>
      <c r="AK196">
        <v>464</v>
      </c>
      <c r="AL196">
        <v>6427</v>
      </c>
      <c r="AN196" t="s">
        <v>2066</v>
      </c>
      <c r="AO196" t="s">
        <v>2063</v>
      </c>
      <c r="BF196" t="s">
        <v>1053</v>
      </c>
      <c r="BG196" t="s">
        <v>2371</v>
      </c>
      <c r="BH196" t="s">
        <v>3669</v>
      </c>
      <c r="BI196" t="s">
        <v>1053</v>
      </c>
      <c r="BJ196" t="s">
        <v>1053</v>
      </c>
      <c r="BK196" t="s">
        <v>1053</v>
      </c>
      <c r="BL196" t="s">
        <v>1053</v>
      </c>
      <c r="BM196" t="s">
        <v>2373</v>
      </c>
      <c r="BN196" t="s">
        <v>2374</v>
      </c>
      <c r="BO196" t="s">
        <v>1053</v>
      </c>
      <c r="BP196" t="s">
        <v>986</v>
      </c>
      <c r="BQ196" t="s">
        <v>2376</v>
      </c>
      <c r="BR196" t="s">
        <v>1053</v>
      </c>
      <c r="BS196" t="s">
        <v>1053</v>
      </c>
      <c r="BT196" t="s">
        <v>1053</v>
      </c>
      <c r="BU196" t="s">
        <v>1053</v>
      </c>
      <c r="BV196" t="s">
        <v>987</v>
      </c>
      <c r="BX196" t="str">
        <f>"SMTWTFS 1520-1720 1950-2150"</f>
        <v>SMTWTFS 1520-1720 1950-2150</v>
      </c>
      <c r="BY196" t="str">
        <f>""</f>
        <v/>
      </c>
      <c r="BZ196" t="str">
        <f>""</f>
        <v/>
      </c>
      <c r="CA196" t="str">
        <f>""</f>
        <v/>
      </c>
      <c r="CB196" t="str">
        <f>""</f>
        <v/>
      </c>
      <c r="CC196" t="str">
        <f>""</f>
        <v/>
      </c>
      <c r="CD196" t="str">
        <f>""</f>
        <v/>
      </c>
      <c r="CE196" t="str">
        <f>""</f>
        <v/>
      </c>
      <c r="CF196" t="str">
        <f>""</f>
        <v/>
      </c>
      <c r="CG196" t="str">
        <f>""</f>
        <v/>
      </c>
      <c r="CH196" t="str">
        <f>""</f>
        <v/>
      </c>
    </row>
    <row r="197" spans="1:86" x14ac:dyDescent="0.25">
      <c r="A197" t="s">
        <v>2463</v>
      </c>
      <c r="B197" t="s">
        <v>2464</v>
      </c>
      <c r="C197" t="s">
        <v>1992</v>
      </c>
      <c r="D197" t="s">
        <v>2010</v>
      </c>
      <c r="E197" t="s">
        <v>2465</v>
      </c>
      <c r="H197" t="s">
        <v>2466</v>
      </c>
      <c r="I197" t="s">
        <v>2352</v>
      </c>
      <c r="J197" t="str">
        <f>"48429-1713"</f>
        <v>48429-1713</v>
      </c>
      <c r="K197" t="s">
        <v>1998</v>
      </c>
      <c r="L197" t="s">
        <v>1999</v>
      </c>
      <c r="M197" t="s">
        <v>2063</v>
      </c>
      <c r="N197" t="s">
        <v>1992</v>
      </c>
      <c r="O197" t="s">
        <v>1991</v>
      </c>
      <c r="P197" t="s">
        <v>1992</v>
      </c>
      <c r="Q197" t="s">
        <v>1992</v>
      </c>
      <c r="R197" t="s">
        <v>1992</v>
      </c>
      <c r="S197" t="s">
        <v>1992</v>
      </c>
      <c r="T197" t="s">
        <v>1992</v>
      </c>
      <c r="U197" t="s">
        <v>1992</v>
      </c>
      <c r="V197" t="s">
        <v>1991</v>
      </c>
      <c r="W197" t="s">
        <v>1991</v>
      </c>
      <c r="X197" t="s">
        <v>1991</v>
      </c>
      <c r="Y197" t="s">
        <v>1992</v>
      </c>
      <c r="Z197" t="s">
        <v>1992</v>
      </c>
      <c r="AA197" t="s">
        <v>1992</v>
      </c>
      <c r="AF197" t="s">
        <v>2016</v>
      </c>
      <c r="AG197" t="s">
        <v>1991</v>
      </c>
      <c r="AH197">
        <v>30</v>
      </c>
      <c r="AI197">
        <v>30</v>
      </c>
      <c r="AJ197" t="s">
        <v>2467</v>
      </c>
      <c r="AK197">
        <v>795</v>
      </c>
      <c r="AL197">
        <v>3678</v>
      </c>
      <c r="AN197" t="s">
        <v>2066</v>
      </c>
      <c r="AO197" t="s">
        <v>2311</v>
      </c>
      <c r="BF197" t="s">
        <v>1053</v>
      </c>
      <c r="BG197" t="s">
        <v>467</v>
      </c>
      <c r="BH197" t="s">
        <v>2312</v>
      </c>
      <c r="BI197" t="s">
        <v>1053</v>
      </c>
      <c r="BJ197" t="s">
        <v>2069</v>
      </c>
      <c r="BK197" t="s">
        <v>1053</v>
      </c>
      <c r="BL197" t="s">
        <v>2069</v>
      </c>
      <c r="BM197" t="s">
        <v>2313</v>
      </c>
      <c r="BN197" t="s">
        <v>2314</v>
      </c>
      <c r="BO197" t="s">
        <v>1053</v>
      </c>
      <c r="BP197" t="s">
        <v>301</v>
      </c>
      <c r="BQ197" t="s">
        <v>2316</v>
      </c>
      <c r="BR197" t="s">
        <v>1053</v>
      </c>
      <c r="BT197" t="s">
        <v>1053</v>
      </c>
      <c r="BX197" t="str">
        <f>"S-T---- 0645-0800 1300-1700 2115-2230; -M----- 0645-0800 2115-2230; ---WTFS 0645-0800 1000-1700 2115-2230"</f>
        <v>S-T---- 0645-0800 1300-1700 2115-2230; -M----- 0645-0800 2115-2230; ---WTFS 0645-0800 1000-1700 2115-2230</v>
      </c>
      <c r="BY197" t="str">
        <f>""</f>
        <v/>
      </c>
      <c r="BZ197" t="str">
        <f>""</f>
        <v/>
      </c>
      <c r="CA197" t="str">
        <f>""</f>
        <v/>
      </c>
      <c r="CB197" t="str">
        <f>""</f>
        <v/>
      </c>
      <c r="CC197" t="str">
        <f>"S-T---- 0645-0800 1300-1700 2115-2230; -M----- 0645-0800 2115-2230; ---WTFS 0645-0800 1000-1700 2115-2230"</f>
        <v>S-T---- 0645-0800 1300-1700 2115-2230; -M----- 0645-0800 2115-2230; ---WTFS 0645-0800 1000-1700 2115-2230</v>
      </c>
      <c r="CD197" t="str">
        <f>""</f>
        <v/>
      </c>
      <c r="CE197" t="str">
        <f>""</f>
        <v/>
      </c>
      <c r="CF197" t="str">
        <f>""</f>
        <v/>
      </c>
      <c r="CG197" t="str">
        <f>""</f>
        <v/>
      </c>
      <c r="CH197" t="str">
        <f>""</f>
        <v/>
      </c>
    </row>
    <row r="198" spans="1:86" x14ac:dyDescent="0.25">
      <c r="A198" t="s">
        <v>2468</v>
      </c>
      <c r="B198" t="s">
        <v>2469</v>
      </c>
      <c r="D198" t="s">
        <v>2089</v>
      </c>
      <c r="E198" t="s">
        <v>2470</v>
      </c>
      <c r="F198" t="s">
        <v>497</v>
      </c>
      <c r="H198" t="s">
        <v>2471</v>
      </c>
      <c r="I198" t="s">
        <v>2014</v>
      </c>
      <c r="J198" t="str">
        <f>"21075"</f>
        <v>21075</v>
      </c>
      <c r="K198" t="s">
        <v>1998</v>
      </c>
      <c r="L198" t="s">
        <v>499</v>
      </c>
      <c r="M198" t="s">
        <v>500</v>
      </c>
      <c r="O198" t="s">
        <v>1991</v>
      </c>
      <c r="AF198" t="s">
        <v>2016</v>
      </c>
      <c r="AG198" t="s">
        <v>1991</v>
      </c>
      <c r="AJ198" t="s">
        <v>2090</v>
      </c>
      <c r="AM198" t="s">
        <v>501</v>
      </c>
      <c r="BX198" t="str">
        <f>""</f>
        <v/>
      </c>
      <c r="BY198" t="str">
        <f>""</f>
        <v/>
      </c>
      <c r="BZ198" t="str">
        <f>""</f>
        <v/>
      </c>
      <c r="CA198" t="str">
        <f>""</f>
        <v/>
      </c>
      <c r="CB198" t="str">
        <f>""</f>
        <v/>
      </c>
      <c r="CC198" t="str">
        <f>""</f>
        <v/>
      </c>
      <c r="CD198" t="str">
        <f>""</f>
        <v/>
      </c>
      <c r="CE198" t="str">
        <f>""</f>
        <v/>
      </c>
      <c r="CF198" t="str">
        <f>""</f>
        <v/>
      </c>
      <c r="CG198" t="str">
        <f>""</f>
        <v/>
      </c>
      <c r="CH198" t="str">
        <f>""</f>
        <v/>
      </c>
    </row>
    <row r="199" spans="1:86" x14ac:dyDescent="0.25">
      <c r="A199" t="s">
        <v>2472</v>
      </c>
      <c r="B199" t="s">
        <v>2473</v>
      </c>
      <c r="C199" t="s">
        <v>1992</v>
      </c>
      <c r="D199" t="s">
        <v>2010</v>
      </c>
      <c r="E199" t="s">
        <v>2474</v>
      </c>
      <c r="H199" t="s">
        <v>2475</v>
      </c>
      <c r="I199" t="s">
        <v>2381</v>
      </c>
      <c r="J199" t="str">
        <f>"78840"</f>
        <v>78840</v>
      </c>
      <c r="K199" t="s">
        <v>1998</v>
      </c>
      <c r="L199" t="s">
        <v>2045</v>
      </c>
      <c r="M199" t="s">
        <v>2476</v>
      </c>
      <c r="N199" t="s">
        <v>1992</v>
      </c>
      <c r="O199" t="s">
        <v>1992</v>
      </c>
      <c r="P199" t="s">
        <v>1992</v>
      </c>
      <c r="Q199" t="s">
        <v>1992</v>
      </c>
      <c r="R199" t="s">
        <v>1992</v>
      </c>
      <c r="S199" t="s">
        <v>1992</v>
      </c>
      <c r="T199" t="s">
        <v>1992</v>
      </c>
      <c r="U199" t="s">
        <v>1992</v>
      </c>
      <c r="V199" t="s">
        <v>1991</v>
      </c>
      <c r="W199" t="s">
        <v>1991</v>
      </c>
      <c r="X199" t="s">
        <v>1992</v>
      </c>
      <c r="Y199" t="s">
        <v>1992</v>
      </c>
      <c r="Z199" t="s">
        <v>1992</v>
      </c>
      <c r="AF199" t="s">
        <v>2001</v>
      </c>
      <c r="AG199" t="s">
        <v>1991</v>
      </c>
      <c r="AH199">
        <v>30</v>
      </c>
      <c r="AI199">
        <v>30</v>
      </c>
      <c r="AJ199" t="s">
        <v>2477</v>
      </c>
      <c r="AK199">
        <v>962</v>
      </c>
      <c r="AL199">
        <v>37500</v>
      </c>
      <c r="AO199" t="s">
        <v>2063</v>
      </c>
      <c r="BF199" t="s">
        <v>1053</v>
      </c>
      <c r="BG199" t="s">
        <v>2019</v>
      </c>
      <c r="BH199" t="s">
        <v>2383</v>
      </c>
      <c r="BI199" t="s">
        <v>1053</v>
      </c>
      <c r="BJ199" t="s">
        <v>2069</v>
      </c>
      <c r="BK199" t="s">
        <v>1053</v>
      </c>
      <c r="BL199" t="s">
        <v>2069</v>
      </c>
      <c r="BM199" t="s">
        <v>2099</v>
      </c>
      <c r="BN199" t="s">
        <v>2100</v>
      </c>
      <c r="BO199" t="s">
        <v>1053</v>
      </c>
      <c r="BP199" t="s">
        <v>2101</v>
      </c>
      <c r="BQ199" t="s">
        <v>2055</v>
      </c>
      <c r="BR199" t="s">
        <v>1053</v>
      </c>
      <c r="BS199" t="s">
        <v>1053</v>
      </c>
      <c r="BT199" t="s">
        <v>1053</v>
      </c>
      <c r="BU199" t="s">
        <v>1053</v>
      </c>
      <c r="BV199" t="s">
        <v>2056</v>
      </c>
      <c r="BX199" t="str">
        <f>""</f>
        <v/>
      </c>
      <c r="BY199" t="str">
        <f>""</f>
        <v/>
      </c>
      <c r="BZ199" t="str">
        <f>""</f>
        <v/>
      </c>
      <c r="CA199" t="str">
        <f>""</f>
        <v/>
      </c>
      <c r="CB199" t="str">
        <f>""</f>
        <v/>
      </c>
      <c r="CC199" t="str">
        <f>""</f>
        <v/>
      </c>
      <c r="CD199" t="str">
        <f>""</f>
        <v/>
      </c>
      <c r="CE199" t="str">
        <f>""</f>
        <v/>
      </c>
      <c r="CF199" t="str">
        <f>""</f>
        <v/>
      </c>
      <c r="CG199" t="str">
        <f>""</f>
        <v/>
      </c>
      <c r="CH199" t="str">
        <f>""</f>
        <v/>
      </c>
    </row>
    <row r="200" spans="1:86" x14ac:dyDescent="0.25">
      <c r="A200" t="s">
        <v>2478</v>
      </c>
      <c r="B200" t="s">
        <v>2479</v>
      </c>
      <c r="D200" t="s">
        <v>2089</v>
      </c>
      <c r="E200" t="s">
        <v>2480</v>
      </c>
      <c r="F200" t="s">
        <v>497</v>
      </c>
      <c r="H200" t="s">
        <v>2481</v>
      </c>
      <c r="I200" t="s">
        <v>2340</v>
      </c>
      <c r="J200" t="str">
        <f>"25414"</f>
        <v>25414</v>
      </c>
      <c r="K200" t="s">
        <v>1998</v>
      </c>
      <c r="L200" t="s">
        <v>499</v>
      </c>
      <c r="M200" t="s">
        <v>500</v>
      </c>
      <c r="O200" t="s">
        <v>1992</v>
      </c>
      <c r="AF200" t="s">
        <v>2016</v>
      </c>
      <c r="AG200" t="s">
        <v>1991</v>
      </c>
      <c r="AJ200" t="s">
        <v>2090</v>
      </c>
      <c r="AM200" t="s">
        <v>501</v>
      </c>
      <c r="BX200" t="str">
        <f>""</f>
        <v/>
      </c>
      <c r="BY200" t="str">
        <f>""</f>
        <v/>
      </c>
      <c r="BZ200" t="str">
        <f>""</f>
        <v/>
      </c>
      <c r="CA200" t="str">
        <f>""</f>
        <v/>
      </c>
      <c r="CB200" t="str">
        <f>""</f>
        <v/>
      </c>
      <c r="CC200" t="str">
        <f>""</f>
        <v/>
      </c>
      <c r="CD200" t="str">
        <f>""</f>
        <v/>
      </c>
      <c r="CE200" t="str">
        <f>""</f>
        <v/>
      </c>
      <c r="CF200" t="str">
        <f>""</f>
        <v/>
      </c>
      <c r="CG200" t="str">
        <f>""</f>
        <v/>
      </c>
      <c r="CH200" t="str">
        <f>""</f>
        <v/>
      </c>
    </row>
    <row r="201" spans="1:86" x14ac:dyDescent="0.25">
      <c r="A201" t="s">
        <v>2482</v>
      </c>
      <c r="B201" t="s">
        <v>2483</v>
      </c>
      <c r="C201" t="s">
        <v>1992</v>
      </c>
      <c r="D201" t="s">
        <v>1993</v>
      </c>
      <c r="E201" t="s">
        <v>2484</v>
      </c>
      <c r="F201" t="s">
        <v>2485</v>
      </c>
      <c r="G201" t="s">
        <v>445</v>
      </c>
      <c r="H201" t="s">
        <v>2486</v>
      </c>
      <c r="I201" t="s">
        <v>2321</v>
      </c>
      <c r="J201" t="str">
        <f>"14048"</f>
        <v>14048</v>
      </c>
      <c r="K201" t="s">
        <v>1998</v>
      </c>
      <c r="L201" t="s">
        <v>2033</v>
      </c>
      <c r="M201" t="s">
        <v>2487</v>
      </c>
      <c r="N201" t="s">
        <v>1992</v>
      </c>
      <c r="O201" t="s">
        <v>1992</v>
      </c>
      <c r="P201" t="s">
        <v>1992</v>
      </c>
      <c r="Q201" t="s">
        <v>1992</v>
      </c>
      <c r="R201" t="s">
        <v>1992</v>
      </c>
      <c r="S201" t="s">
        <v>1992</v>
      </c>
      <c r="T201" t="s">
        <v>1992</v>
      </c>
      <c r="U201" t="s">
        <v>1992</v>
      </c>
      <c r="V201" t="s">
        <v>1991</v>
      </c>
      <c r="W201" t="s">
        <v>1992</v>
      </c>
      <c r="X201" t="s">
        <v>1992</v>
      </c>
      <c r="Y201" t="s">
        <v>1992</v>
      </c>
      <c r="Z201" t="s">
        <v>1991</v>
      </c>
      <c r="AA201" t="s">
        <v>1992</v>
      </c>
      <c r="AF201" t="s">
        <v>2016</v>
      </c>
      <c r="AG201" t="s">
        <v>1991</v>
      </c>
      <c r="AH201">
        <v>30</v>
      </c>
      <c r="AI201">
        <v>30</v>
      </c>
      <c r="AJ201" t="s">
        <v>2488</v>
      </c>
      <c r="AK201">
        <v>600</v>
      </c>
      <c r="AL201">
        <v>12300</v>
      </c>
      <c r="AM201" t="s">
        <v>2298</v>
      </c>
      <c r="AN201" t="s">
        <v>2485</v>
      </c>
      <c r="AO201" t="s">
        <v>1053</v>
      </c>
      <c r="BF201" t="s">
        <v>1053</v>
      </c>
      <c r="BG201" t="s">
        <v>2489</v>
      </c>
      <c r="BH201" t="s">
        <v>2490</v>
      </c>
      <c r="BI201" t="s">
        <v>1053</v>
      </c>
      <c r="BK201" t="s">
        <v>1053</v>
      </c>
      <c r="BO201" t="s">
        <v>1053</v>
      </c>
      <c r="BP201" t="s">
        <v>634</v>
      </c>
      <c r="BQ201" t="s">
        <v>635</v>
      </c>
      <c r="BR201" t="s">
        <v>1053</v>
      </c>
      <c r="BT201" t="s">
        <v>1053</v>
      </c>
      <c r="BV201" t="s">
        <v>2324</v>
      </c>
      <c r="BX201" t="str">
        <f>"S------ 0630-1700; -MTWTFS 0630-1900"</f>
        <v>S------ 0630-1700; -MTWTFS 0630-1900</v>
      </c>
      <c r="BY201" t="str">
        <f>""</f>
        <v/>
      </c>
      <c r="BZ201" t="str">
        <f>""</f>
        <v/>
      </c>
      <c r="CA201" t="str">
        <f>""</f>
        <v/>
      </c>
      <c r="CB201" t="str">
        <f>""</f>
        <v/>
      </c>
      <c r="CC201" t="str">
        <f>""</f>
        <v/>
      </c>
      <c r="CD201" t="str">
        <f>""</f>
        <v/>
      </c>
      <c r="CE201" t="str">
        <f>""</f>
        <v/>
      </c>
      <c r="CF201" t="str">
        <f>""</f>
        <v/>
      </c>
      <c r="CG201" t="str">
        <f>""</f>
        <v/>
      </c>
      <c r="CH201" t="str">
        <f>""</f>
        <v/>
      </c>
    </row>
    <row r="202" spans="1:86" x14ac:dyDescent="0.25">
      <c r="A202" t="s">
        <v>2491</v>
      </c>
      <c r="B202" t="s">
        <v>2492</v>
      </c>
      <c r="C202" t="s">
        <v>1992</v>
      </c>
      <c r="D202" t="s">
        <v>2010</v>
      </c>
      <c r="E202" t="s">
        <v>2493</v>
      </c>
      <c r="F202" t="s">
        <v>2494</v>
      </c>
      <c r="H202" t="s">
        <v>2495</v>
      </c>
      <c r="I202" t="s">
        <v>2170</v>
      </c>
      <c r="J202" t="str">
        <f>"55806"</f>
        <v>55806</v>
      </c>
      <c r="K202" t="s">
        <v>1998</v>
      </c>
      <c r="L202" t="s">
        <v>1999</v>
      </c>
      <c r="M202" t="s">
        <v>2496</v>
      </c>
      <c r="N202" t="s">
        <v>1992</v>
      </c>
      <c r="O202" t="s">
        <v>1992</v>
      </c>
      <c r="P202" t="s">
        <v>1992</v>
      </c>
      <c r="Q202" t="s">
        <v>1992</v>
      </c>
      <c r="R202" t="s">
        <v>1992</v>
      </c>
      <c r="S202" t="s">
        <v>1992</v>
      </c>
      <c r="T202" t="s">
        <v>1992</v>
      </c>
      <c r="U202" t="s">
        <v>1992</v>
      </c>
      <c r="V202" t="s">
        <v>1991</v>
      </c>
      <c r="W202" t="s">
        <v>1992</v>
      </c>
      <c r="X202" t="s">
        <v>1992</v>
      </c>
      <c r="Y202" t="s">
        <v>1992</v>
      </c>
      <c r="Z202" t="s">
        <v>1991</v>
      </c>
      <c r="AA202" t="s">
        <v>1991</v>
      </c>
      <c r="AE202" t="s">
        <v>3631</v>
      </c>
      <c r="AF202" t="s">
        <v>2001</v>
      </c>
      <c r="AG202" t="s">
        <v>1991</v>
      </c>
      <c r="AH202">
        <v>30</v>
      </c>
      <c r="AI202">
        <v>30</v>
      </c>
      <c r="AJ202" t="s">
        <v>2497</v>
      </c>
      <c r="AK202">
        <v>634</v>
      </c>
      <c r="AL202">
        <v>85000</v>
      </c>
      <c r="AM202" t="s">
        <v>2498</v>
      </c>
      <c r="AN202" t="s">
        <v>2499</v>
      </c>
      <c r="AO202" t="s">
        <v>1053</v>
      </c>
      <c r="BF202" t="s">
        <v>1053</v>
      </c>
      <c r="BG202" t="s">
        <v>235</v>
      </c>
      <c r="BH202" t="s">
        <v>2500</v>
      </c>
      <c r="BI202" t="s">
        <v>1053</v>
      </c>
      <c r="BX202" t="str">
        <f>"SMTWTFS 0700-2030"</f>
        <v>SMTWTFS 0700-2030</v>
      </c>
      <c r="BY202" t="str">
        <f>""</f>
        <v/>
      </c>
      <c r="BZ202" t="str">
        <f>""</f>
        <v/>
      </c>
      <c r="CA202" t="str">
        <f>""</f>
        <v/>
      </c>
      <c r="CB202" t="str">
        <f>""</f>
        <v/>
      </c>
      <c r="CC202" t="str">
        <f>""</f>
        <v/>
      </c>
      <c r="CD202" t="str">
        <f>""</f>
        <v/>
      </c>
      <c r="CE202" t="str">
        <f>""</f>
        <v/>
      </c>
      <c r="CF202" t="str">
        <f>""</f>
        <v/>
      </c>
      <c r="CG202" t="str">
        <f>""</f>
        <v/>
      </c>
      <c r="CH202" t="str">
        <f>""</f>
        <v/>
      </c>
    </row>
    <row r="203" spans="1:86" x14ac:dyDescent="0.25">
      <c r="A203" t="s">
        <v>2501</v>
      </c>
      <c r="B203" t="s">
        <v>2502</v>
      </c>
      <c r="C203" t="s">
        <v>1992</v>
      </c>
      <c r="D203" t="s">
        <v>2010</v>
      </c>
      <c r="E203" t="s">
        <v>2503</v>
      </c>
      <c r="F203" t="s">
        <v>1117</v>
      </c>
      <c r="H203" t="s">
        <v>2504</v>
      </c>
      <c r="I203" t="s">
        <v>2061</v>
      </c>
      <c r="J203" t="str">
        <f>"96025-2024"</f>
        <v>96025-2024</v>
      </c>
      <c r="K203" t="s">
        <v>1998</v>
      </c>
      <c r="L203" t="s">
        <v>2062</v>
      </c>
      <c r="M203" t="s">
        <v>2063</v>
      </c>
      <c r="N203" t="s">
        <v>1992</v>
      </c>
      <c r="O203" t="s">
        <v>1992</v>
      </c>
      <c r="P203" t="s">
        <v>1992</v>
      </c>
      <c r="Q203" t="s">
        <v>1992</v>
      </c>
      <c r="R203" t="s">
        <v>1992</v>
      </c>
      <c r="S203" t="s">
        <v>1992</v>
      </c>
      <c r="T203" t="s">
        <v>1992</v>
      </c>
      <c r="U203" t="s">
        <v>1992</v>
      </c>
      <c r="V203" t="s">
        <v>1991</v>
      </c>
      <c r="W203" t="s">
        <v>1991</v>
      </c>
      <c r="X203" t="s">
        <v>1992</v>
      </c>
      <c r="Y203" t="s">
        <v>1992</v>
      </c>
      <c r="Z203" t="s">
        <v>1992</v>
      </c>
      <c r="AA203" t="s">
        <v>1992</v>
      </c>
      <c r="AF203" t="s">
        <v>2064</v>
      </c>
      <c r="AG203" t="s">
        <v>1991</v>
      </c>
      <c r="AH203">
        <v>30</v>
      </c>
      <c r="AI203">
        <v>30</v>
      </c>
      <c r="AJ203" t="s">
        <v>2505</v>
      </c>
      <c r="AK203">
        <v>2307</v>
      </c>
      <c r="AL203">
        <v>1836</v>
      </c>
      <c r="AN203" t="s">
        <v>2066</v>
      </c>
      <c r="AO203" t="s">
        <v>2063</v>
      </c>
      <c r="AU203" t="s">
        <v>2506</v>
      </c>
      <c r="AV203" t="s">
        <v>1053</v>
      </c>
      <c r="BF203" t="s">
        <v>1053</v>
      </c>
      <c r="BG203" t="s">
        <v>2067</v>
      </c>
      <c r="BH203" t="s">
        <v>3489</v>
      </c>
      <c r="BI203" t="s">
        <v>1053</v>
      </c>
      <c r="BK203" t="s">
        <v>1053</v>
      </c>
      <c r="BO203" t="s">
        <v>1053</v>
      </c>
      <c r="BP203" t="s">
        <v>2507</v>
      </c>
      <c r="BQ203" t="s">
        <v>2073</v>
      </c>
      <c r="BR203" t="s">
        <v>1053</v>
      </c>
      <c r="BS203" t="s">
        <v>1053</v>
      </c>
      <c r="BX203" t="str">
        <f>"SMTWTFS 0000-0100 0400-0600"</f>
        <v>SMTWTFS 0000-0100 0400-0600</v>
      </c>
      <c r="BY203" t="str">
        <f>""</f>
        <v/>
      </c>
      <c r="BZ203" t="str">
        <f>""</f>
        <v/>
      </c>
      <c r="CA203" t="str">
        <f>""</f>
        <v/>
      </c>
      <c r="CB203" t="str">
        <f>""</f>
        <v/>
      </c>
      <c r="CC203" t="str">
        <f>""</f>
        <v/>
      </c>
      <c r="CD203" t="str">
        <f>""</f>
        <v/>
      </c>
      <c r="CE203" t="str">
        <f>""</f>
        <v/>
      </c>
      <c r="CF203" t="str">
        <f>""</f>
        <v/>
      </c>
      <c r="CG203" t="str">
        <f>""</f>
        <v/>
      </c>
      <c r="CH203" t="str">
        <f>""</f>
        <v/>
      </c>
    </row>
    <row r="204" spans="1:86" x14ac:dyDescent="0.25">
      <c r="A204" t="s">
        <v>2508</v>
      </c>
      <c r="B204" t="s">
        <v>2509</v>
      </c>
      <c r="C204" t="s">
        <v>1992</v>
      </c>
      <c r="D204" t="s">
        <v>1993</v>
      </c>
      <c r="E204" t="s">
        <v>2510</v>
      </c>
      <c r="H204" t="s">
        <v>2495</v>
      </c>
      <c r="I204" t="s">
        <v>2170</v>
      </c>
      <c r="J204" t="str">
        <f>"55812"</f>
        <v>55812</v>
      </c>
      <c r="K204" t="s">
        <v>1998</v>
      </c>
      <c r="L204" t="s">
        <v>1999</v>
      </c>
      <c r="M204" t="s">
        <v>2511</v>
      </c>
      <c r="N204" t="s">
        <v>1992</v>
      </c>
      <c r="O204" t="s">
        <v>1992</v>
      </c>
      <c r="P204" t="s">
        <v>1992</v>
      </c>
      <c r="Q204" t="s">
        <v>1992</v>
      </c>
      <c r="R204" t="s">
        <v>1992</v>
      </c>
      <c r="S204" t="s">
        <v>1992</v>
      </c>
      <c r="T204" t="s">
        <v>1992</v>
      </c>
      <c r="U204" t="s">
        <v>1992</v>
      </c>
      <c r="V204" t="s">
        <v>1991</v>
      </c>
      <c r="W204" t="s">
        <v>1992</v>
      </c>
      <c r="X204" t="s">
        <v>1992</v>
      </c>
      <c r="Y204" t="s">
        <v>1992</v>
      </c>
      <c r="Z204" t="s">
        <v>1991</v>
      </c>
      <c r="AA204" t="s">
        <v>1991</v>
      </c>
      <c r="AE204" t="s">
        <v>2512</v>
      </c>
      <c r="AF204" t="s">
        <v>2001</v>
      </c>
      <c r="AG204" t="s">
        <v>1991</v>
      </c>
      <c r="AH204">
        <v>30</v>
      </c>
      <c r="AI204">
        <v>30</v>
      </c>
      <c r="AJ204" t="s">
        <v>2513</v>
      </c>
      <c r="AK204">
        <v>1108</v>
      </c>
      <c r="AL204">
        <v>85000</v>
      </c>
      <c r="BF204" t="s">
        <v>1053</v>
      </c>
      <c r="BG204" t="s">
        <v>2067</v>
      </c>
      <c r="BH204" t="s">
        <v>286</v>
      </c>
      <c r="BI204" t="s">
        <v>1053</v>
      </c>
      <c r="BJ204" t="s">
        <v>2069</v>
      </c>
      <c r="BK204" t="s">
        <v>1053</v>
      </c>
      <c r="BL204" t="s">
        <v>2069</v>
      </c>
      <c r="BM204" t="s">
        <v>287</v>
      </c>
      <c r="BN204" t="s">
        <v>288</v>
      </c>
      <c r="BO204" t="s">
        <v>1053</v>
      </c>
      <c r="BP204" t="s">
        <v>2514</v>
      </c>
      <c r="BQ204" t="s">
        <v>2006</v>
      </c>
      <c r="BR204" t="s">
        <v>1053</v>
      </c>
      <c r="BS204" t="s">
        <v>1053</v>
      </c>
      <c r="BT204" t="s">
        <v>1053</v>
      </c>
      <c r="BU204" t="s">
        <v>1053</v>
      </c>
      <c r="BX204" t="str">
        <f>""</f>
        <v/>
      </c>
      <c r="BY204" t="str">
        <f>""</f>
        <v/>
      </c>
      <c r="BZ204" t="str">
        <f>""</f>
        <v/>
      </c>
      <c r="CA204" t="str">
        <f>""</f>
        <v/>
      </c>
      <c r="CB204" t="str">
        <f>""</f>
        <v/>
      </c>
      <c r="CC204" t="str">
        <f>""</f>
        <v/>
      </c>
      <c r="CD204" t="str">
        <f>""</f>
        <v/>
      </c>
      <c r="CE204" t="str">
        <f>""</f>
        <v/>
      </c>
      <c r="CF204" t="str">
        <f>""</f>
        <v/>
      </c>
      <c r="CG204" t="str">
        <f>""</f>
        <v/>
      </c>
      <c r="CH204" t="str">
        <f>""</f>
        <v/>
      </c>
    </row>
    <row r="205" spans="1:86" x14ac:dyDescent="0.25">
      <c r="A205" t="s">
        <v>2515</v>
      </c>
      <c r="B205" t="s">
        <v>2516</v>
      </c>
      <c r="C205" t="s">
        <v>1992</v>
      </c>
      <c r="D205" t="s">
        <v>1993</v>
      </c>
      <c r="E205" t="s">
        <v>2517</v>
      </c>
      <c r="F205" t="s">
        <v>2518</v>
      </c>
      <c r="H205" t="s">
        <v>1110</v>
      </c>
      <c r="I205" t="s">
        <v>2367</v>
      </c>
      <c r="J205" t="str">
        <f>"61834-9378"</f>
        <v>61834-9378</v>
      </c>
      <c r="K205" t="s">
        <v>1998</v>
      </c>
      <c r="L205" t="s">
        <v>1999</v>
      </c>
      <c r="M205" t="s">
        <v>2063</v>
      </c>
      <c r="N205" t="s">
        <v>1992</v>
      </c>
      <c r="O205" t="s">
        <v>1992</v>
      </c>
      <c r="P205" t="s">
        <v>1992</v>
      </c>
      <c r="Q205" t="s">
        <v>1992</v>
      </c>
      <c r="R205" t="s">
        <v>1992</v>
      </c>
      <c r="S205" t="s">
        <v>1992</v>
      </c>
      <c r="T205" t="s">
        <v>1992</v>
      </c>
      <c r="U205" t="s">
        <v>1992</v>
      </c>
      <c r="V205" t="s">
        <v>1991</v>
      </c>
      <c r="W205" t="s">
        <v>1992</v>
      </c>
      <c r="X205" t="s">
        <v>1992</v>
      </c>
      <c r="Y205" t="s">
        <v>1992</v>
      </c>
      <c r="Z205" t="s">
        <v>1991</v>
      </c>
      <c r="AF205" t="s">
        <v>2001</v>
      </c>
      <c r="AG205" t="s">
        <v>1991</v>
      </c>
      <c r="AH205">
        <v>30</v>
      </c>
      <c r="AI205">
        <v>30</v>
      </c>
      <c r="AJ205" t="s">
        <v>2519</v>
      </c>
      <c r="AK205">
        <v>659</v>
      </c>
      <c r="AL205">
        <v>32760</v>
      </c>
      <c r="AM205" t="s">
        <v>2520</v>
      </c>
      <c r="AN205" t="s">
        <v>2521</v>
      </c>
      <c r="AO205" t="s">
        <v>2311</v>
      </c>
      <c r="BF205" t="s">
        <v>1053</v>
      </c>
      <c r="BG205" t="s">
        <v>2371</v>
      </c>
      <c r="BH205" t="s">
        <v>2522</v>
      </c>
      <c r="BI205" t="s">
        <v>1053</v>
      </c>
      <c r="BJ205" t="s">
        <v>1053</v>
      </c>
      <c r="BK205" t="s">
        <v>1053</v>
      </c>
      <c r="BL205" t="s">
        <v>1053</v>
      </c>
      <c r="BO205" t="s">
        <v>1053</v>
      </c>
      <c r="BP205" t="s">
        <v>3838</v>
      </c>
      <c r="BQ205" t="s">
        <v>2523</v>
      </c>
      <c r="BR205" t="s">
        <v>1053</v>
      </c>
      <c r="BS205" t="s">
        <v>1053</v>
      </c>
      <c r="BT205" t="s">
        <v>1053</v>
      </c>
      <c r="BU205" t="s">
        <v>1053</v>
      </c>
      <c r="BV205" t="s">
        <v>987</v>
      </c>
      <c r="BX205" t="str">
        <f>"SMTWTFS 0001-2359"</f>
        <v>SMTWTFS 0001-2359</v>
      </c>
      <c r="BY205" t="str">
        <f>""</f>
        <v/>
      </c>
      <c r="BZ205" t="str">
        <f>""</f>
        <v/>
      </c>
      <c r="CA205" t="str">
        <f>""</f>
        <v/>
      </c>
      <c r="CB205" t="str">
        <f>""</f>
        <v/>
      </c>
      <c r="CC205" t="str">
        <f>""</f>
        <v/>
      </c>
      <c r="CD205" t="str">
        <f>""</f>
        <v/>
      </c>
      <c r="CE205" t="str">
        <f>""</f>
        <v/>
      </c>
      <c r="CF205" t="str">
        <f>""</f>
        <v/>
      </c>
      <c r="CG205" t="str">
        <f>""</f>
        <v/>
      </c>
      <c r="CH205" t="str">
        <f>""</f>
        <v/>
      </c>
    </row>
    <row r="206" spans="1:86" x14ac:dyDescent="0.25">
      <c r="A206" t="s">
        <v>2524</v>
      </c>
      <c r="B206" t="s">
        <v>2525</v>
      </c>
      <c r="C206" t="s">
        <v>1992</v>
      </c>
      <c r="D206" t="s">
        <v>2010</v>
      </c>
      <c r="E206" t="s">
        <v>2526</v>
      </c>
      <c r="H206" t="s">
        <v>2527</v>
      </c>
      <c r="I206" t="s">
        <v>2528</v>
      </c>
      <c r="J206" t="str">
        <f>"58301"</f>
        <v>58301</v>
      </c>
      <c r="K206" t="s">
        <v>1998</v>
      </c>
      <c r="L206" t="s">
        <v>1999</v>
      </c>
      <c r="M206" t="s">
        <v>2063</v>
      </c>
      <c r="N206" t="s">
        <v>1992</v>
      </c>
      <c r="O206" t="s">
        <v>1992</v>
      </c>
      <c r="P206" t="s">
        <v>1992</v>
      </c>
      <c r="Q206" t="s">
        <v>1992</v>
      </c>
      <c r="R206" t="s">
        <v>1992</v>
      </c>
      <c r="S206" t="s">
        <v>1992</v>
      </c>
      <c r="T206" t="s">
        <v>1992</v>
      </c>
      <c r="U206" t="s">
        <v>1992</v>
      </c>
      <c r="V206" t="s">
        <v>1991</v>
      </c>
      <c r="W206" t="s">
        <v>1991</v>
      </c>
      <c r="X206" t="s">
        <v>1992</v>
      </c>
      <c r="Y206" t="s">
        <v>1992</v>
      </c>
      <c r="Z206" t="s">
        <v>1992</v>
      </c>
      <c r="AF206" t="s">
        <v>2001</v>
      </c>
      <c r="AG206" t="s">
        <v>1991</v>
      </c>
      <c r="AH206">
        <v>30</v>
      </c>
      <c r="AI206">
        <v>30</v>
      </c>
      <c r="AJ206" t="s">
        <v>2529</v>
      </c>
      <c r="AK206">
        <v>1467</v>
      </c>
      <c r="AL206">
        <v>6708</v>
      </c>
      <c r="AM206" t="s">
        <v>2172</v>
      </c>
      <c r="AN206" t="s">
        <v>2066</v>
      </c>
      <c r="AO206" t="s">
        <v>2063</v>
      </c>
      <c r="AU206" t="s">
        <v>1053</v>
      </c>
      <c r="AV206" t="s">
        <v>1053</v>
      </c>
      <c r="BF206" t="s">
        <v>1053</v>
      </c>
      <c r="BG206" t="s">
        <v>703</v>
      </c>
      <c r="BH206" t="s">
        <v>2173</v>
      </c>
      <c r="BI206" t="s">
        <v>1053</v>
      </c>
      <c r="BJ206" t="s">
        <v>2069</v>
      </c>
      <c r="BK206" t="s">
        <v>1053</v>
      </c>
      <c r="BL206" t="s">
        <v>2069</v>
      </c>
      <c r="BM206" t="s">
        <v>287</v>
      </c>
      <c r="BN206" t="s">
        <v>288</v>
      </c>
      <c r="BO206" t="s">
        <v>1053</v>
      </c>
      <c r="BP206" t="s">
        <v>950</v>
      </c>
      <c r="BQ206" t="s">
        <v>2006</v>
      </c>
      <c r="BR206" t="s">
        <v>1053</v>
      </c>
      <c r="BS206" t="s">
        <v>1053</v>
      </c>
      <c r="BT206" t="s">
        <v>1053</v>
      </c>
      <c r="BU206" t="s">
        <v>1053</v>
      </c>
      <c r="BV206" t="s">
        <v>951</v>
      </c>
      <c r="BW206" t="s">
        <v>952</v>
      </c>
      <c r="BX206" t="str">
        <f>"SMTWTFS 0525-0640 2230-2350"</f>
        <v>SMTWTFS 0525-0640 2230-2350</v>
      </c>
      <c r="BY206" t="str">
        <f>""</f>
        <v/>
      </c>
      <c r="BZ206" t="str">
        <f>""</f>
        <v/>
      </c>
      <c r="CA206" t="str">
        <f>""</f>
        <v/>
      </c>
      <c r="CB206" t="str">
        <f>""</f>
        <v/>
      </c>
      <c r="CC206" t="str">
        <f>""</f>
        <v/>
      </c>
      <c r="CD206" t="str">
        <f>""</f>
        <v/>
      </c>
      <c r="CE206" t="str">
        <f>""</f>
        <v/>
      </c>
      <c r="CF206" t="str">
        <f>""</f>
        <v/>
      </c>
      <c r="CG206" t="str">
        <f>""</f>
        <v/>
      </c>
      <c r="CH206" t="str">
        <f>""</f>
        <v/>
      </c>
    </row>
    <row r="207" spans="1:86" x14ac:dyDescent="0.25">
      <c r="A207" t="s">
        <v>2530</v>
      </c>
      <c r="B207" t="s">
        <v>2531</v>
      </c>
      <c r="C207" t="s">
        <v>1992</v>
      </c>
      <c r="D207" t="s">
        <v>2010</v>
      </c>
      <c r="E207" t="s">
        <v>2532</v>
      </c>
      <c r="F207" t="s">
        <v>2533</v>
      </c>
      <c r="H207" t="s">
        <v>2534</v>
      </c>
      <c r="I207" t="s">
        <v>795</v>
      </c>
      <c r="J207" t="str">
        <f>"52801"</f>
        <v>52801</v>
      </c>
      <c r="K207" t="s">
        <v>1998</v>
      </c>
      <c r="L207" t="s">
        <v>1999</v>
      </c>
      <c r="M207" t="s">
        <v>2063</v>
      </c>
      <c r="N207" t="s">
        <v>1992</v>
      </c>
      <c r="O207" t="s">
        <v>1992</v>
      </c>
      <c r="P207" t="s">
        <v>1992</v>
      </c>
      <c r="Q207" t="s">
        <v>1992</v>
      </c>
      <c r="R207" t="s">
        <v>1992</v>
      </c>
      <c r="S207" t="s">
        <v>1992</v>
      </c>
      <c r="T207" t="s">
        <v>1992</v>
      </c>
      <c r="U207" t="s">
        <v>1992</v>
      </c>
      <c r="V207" t="s">
        <v>1991</v>
      </c>
      <c r="W207" t="s">
        <v>1992</v>
      </c>
      <c r="X207" t="s">
        <v>1992</v>
      </c>
      <c r="Y207" t="s">
        <v>1992</v>
      </c>
      <c r="Z207" t="s">
        <v>1991</v>
      </c>
      <c r="AF207" t="s">
        <v>2001</v>
      </c>
      <c r="AG207" t="s">
        <v>1991</v>
      </c>
      <c r="AH207">
        <v>30</v>
      </c>
      <c r="AI207">
        <v>30</v>
      </c>
      <c r="AJ207" t="s">
        <v>2535</v>
      </c>
      <c r="AK207">
        <v>565</v>
      </c>
      <c r="AL207">
        <v>99514</v>
      </c>
      <c r="BX207" t="str">
        <f>"SMTWTFS 0900-2100"</f>
        <v>SMTWTFS 0900-2100</v>
      </c>
      <c r="BY207" t="str">
        <f>""</f>
        <v/>
      </c>
      <c r="BZ207" t="str">
        <f>""</f>
        <v/>
      </c>
      <c r="CA207" t="str">
        <f>""</f>
        <v/>
      </c>
      <c r="CB207" t="str">
        <f>""</f>
        <v/>
      </c>
      <c r="CC207" t="str">
        <f>""</f>
        <v/>
      </c>
      <c r="CD207" t="str">
        <f>""</f>
        <v/>
      </c>
      <c r="CE207" t="str">
        <f>""</f>
        <v/>
      </c>
      <c r="CF207" t="str">
        <f>""</f>
        <v/>
      </c>
      <c r="CG207" t="str">
        <f>""</f>
        <v/>
      </c>
      <c r="CH207" t="str">
        <f>""</f>
        <v/>
      </c>
    </row>
    <row r="208" spans="1:86" x14ac:dyDescent="0.25">
      <c r="A208" t="s">
        <v>2536</v>
      </c>
      <c r="B208" t="s">
        <v>2537</v>
      </c>
      <c r="C208" t="s">
        <v>1992</v>
      </c>
      <c r="D208" t="s">
        <v>2010</v>
      </c>
      <c r="E208" t="s">
        <v>2538</v>
      </c>
      <c r="F208" t="s">
        <v>743</v>
      </c>
      <c r="H208" t="s">
        <v>2198</v>
      </c>
      <c r="I208" t="s">
        <v>2539</v>
      </c>
      <c r="J208" t="str">
        <f>"19904-4106"</f>
        <v>19904-4106</v>
      </c>
      <c r="K208" t="s">
        <v>1998</v>
      </c>
      <c r="L208" t="s">
        <v>2015</v>
      </c>
      <c r="M208" t="s">
        <v>2540</v>
      </c>
      <c r="N208" t="s">
        <v>1992</v>
      </c>
      <c r="O208" t="s">
        <v>1992</v>
      </c>
      <c r="P208" t="s">
        <v>1992</v>
      </c>
      <c r="Q208" t="s">
        <v>1992</v>
      </c>
      <c r="R208" t="s">
        <v>1992</v>
      </c>
      <c r="S208" t="s">
        <v>1992</v>
      </c>
      <c r="T208" t="s">
        <v>1992</v>
      </c>
      <c r="U208" t="s">
        <v>1992</v>
      </c>
      <c r="V208" t="s">
        <v>1991</v>
      </c>
      <c r="W208" t="s">
        <v>1992</v>
      </c>
      <c r="X208" t="s">
        <v>1992</v>
      </c>
      <c r="Y208" t="s">
        <v>1992</v>
      </c>
      <c r="Z208" t="s">
        <v>1991</v>
      </c>
      <c r="AE208" t="s">
        <v>3631</v>
      </c>
      <c r="AF208" t="s">
        <v>2016</v>
      </c>
      <c r="AG208" t="s">
        <v>1991</v>
      </c>
      <c r="AH208">
        <v>30</v>
      </c>
      <c r="AI208">
        <v>30</v>
      </c>
      <c r="AJ208" t="s">
        <v>2541</v>
      </c>
      <c r="AK208">
        <v>30</v>
      </c>
      <c r="AL208">
        <v>34735</v>
      </c>
      <c r="AM208" t="s">
        <v>2542</v>
      </c>
      <c r="BX208" t="str">
        <f>"SMTWTFS 0000-2359"</f>
        <v>SMTWTFS 0000-2359</v>
      </c>
      <c r="BY208" t="str">
        <f>""</f>
        <v/>
      </c>
      <c r="BZ208" t="str">
        <f>""</f>
        <v/>
      </c>
      <c r="CA208" t="str">
        <f>""</f>
        <v/>
      </c>
      <c r="CB208" t="str">
        <f>"SMTWTFS 0000-2359"</f>
        <v>SMTWTFS 0000-2359</v>
      </c>
      <c r="CC208" t="str">
        <f>""</f>
        <v/>
      </c>
      <c r="CD208" t="str">
        <f>""</f>
        <v/>
      </c>
      <c r="CE208" t="str">
        <f>""</f>
        <v/>
      </c>
      <c r="CF208" t="str">
        <f>""</f>
        <v/>
      </c>
      <c r="CG208" t="str">
        <f>""</f>
        <v/>
      </c>
      <c r="CH208" t="str">
        <f>""</f>
        <v/>
      </c>
    </row>
    <row r="209" spans="1:86" x14ac:dyDescent="0.25">
      <c r="A209" t="s">
        <v>2543</v>
      </c>
      <c r="B209" t="s">
        <v>2544</v>
      </c>
      <c r="C209" t="s">
        <v>1992</v>
      </c>
      <c r="D209" t="s">
        <v>2010</v>
      </c>
      <c r="E209" t="s">
        <v>2545</v>
      </c>
      <c r="H209" t="s">
        <v>2546</v>
      </c>
      <c r="I209" t="s">
        <v>2367</v>
      </c>
      <c r="J209" t="str">
        <f>"60420-1321"</f>
        <v>60420-1321</v>
      </c>
      <c r="K209" t="s">
        <v>1998</v>
      </c>
      <c r="L209" t="s">
        <v>1999</v>
      </c>
      <c r="M209" t="s">
        <v>2063</v>
      </c>
      <c r="N209" t="s">
        <v>1992</v>
      </c>
      <c r="O209" t="s">
        <v>1992</v>
      </c>
      <c r="P209" t="s">
        <v>1992</v>
      </c>
      <c r="Q209" t="s">
        <v>1992</v>
      </c>
      <c r="R209" t="s">
        <v>1992</v>
      </c>
      <c r="S209" t="s">
        <v>1992</v>
      </c>
      <c r="T209" t="s">
        <v>1992</v>
      </c>
      <c r="U209" t="s">
        <v>1992</v>
      </c>
      <c r="V209" t="s">
        <v>1991</v>
      </c>
      <c r="W209" t="s">
        <v>1991</v>
      </c>
      <c r="X209" t="s">
        <v>1992</v>
      </c>
      <c r="Y209" t="s">
        <v>1992</v>
      </c>
      <c r="Z209" t="s">
        <v>1992</v>
      </c>
      <c r="AF209" t="s">
        <v>2001</v>
      </c>
      <c r="AG209" t="s">
        <v>1991</v>
      </c>
      <c r="AH209">
        <v>30</v>
      </c>
      <c r="AI209">
        <v>30</v>
      </c>
      <c r="AJ209" t="s">
        <v>2547</v>
      </c>
      <c r="AK209">
        <v>634</v>
      </c>
      <c r="AL209">
        <v>4500</v>
      </c>
      <c r="AN209" t="s">
        <v>2066</v>
      </c>
      <c r="AO209" t="s">
        <v>2063</v>
      </c>
      <c r="BF209" t="s">
        <v>1053</v>
      </c>
      <c r="BG209" t="s">
        <v>2548</v>
      </c>
      <c r="BH209" t="s">
        <v>733</v>
      </c>
      <c r="BI209" t="s">
        <v>1053</v>
      </c>
      <c r="BJ209" t="s">
        <v>1053</v>
      </c>
      <c r="BK209" t="s">
        <v>1053</v>
      </c>
      <c r="BL209" t="s">
        <v>1053</v>
      </c>
      <c r="BM209" t="s">
        <v>2373</v>
      </c>
      <c r="BN209" t="s">
        <v>2374</v>
      </c>
      <c r="BO209" t="s">
        <v>1053</v>
      </c>
      <c r="BP209" t="s">
        <v>2375</v>
      </c>
      <c r="BQ209" t="s">
        <v>2376</v>
      </c>
      <c r="BR209" t="s">
        <v>1053</v>
      </c>
      <c r="BX209" t="str">
        <f>"SMTWTFS 0745-1025 1715-1900"</f>
        <v>SMTWTFS 0745-1025 1715-1900</v>
      </c>
      <c r="BY209" t="str">
        <f>""</f>
        <v/>
      </c>
      <c r="BZ209" t="str">
        <f>""</f>
        <v/>
      </c>
      <c r="CA209" t="str">
        <f>""</f>
        <v/>
      </c>
      <c r="CB209" t="str">
        <f>""</f>
        <v/>
      </c>
      <c r="CC209" t="str">
        <f>""</f>
        <v/>
      </c>
      <c r="CD209" t="str">
        <f>""</f>
        <v/>
      </c>
      <c r="CE209" t="str">
        <f>""</f>
        <v/>
      </c>
      <c r="CF209" t="str">
        <f>""</f>
        <v/>
      </c>
      <c r="CG209" t="str">
        <f>""</f>
        <v/>
      </c>
      <c r="CH209" t="str">
        <f>""</f>
        <v/>
      </c>
    </row>
    <row r="210" spans="1:86" x14ac:dyDescent="0.25">
      <c r="A210" t="s">
        <v>2549</v>
      </c>
      <c r="B210" t="s">
        <v>2550</v>
      </c>
      <c r="C210" t="s">
        <v>1992</v>
      </c>
      <c r="D210" t="s">
        <v>1993</v>
      </c>
      <c r="E210" t="s">
        <v>2551</v>
      </c>
      <c r="F210" t="s">
        <v>2552</v>
      </c>
      <c r="H210" t="s">
        <v>2553</v>
      </c>
      <c r="I210" t="s">
        <v>558</v>
      </c>
      <c r="J210" t="str">
        <f>"32118-4273"</f>
        <v>32118-4273</v>
      </c>
      <c r="K210" t="s">
        <v>1998</v>
      </c>
      <c r="L210" t="s">
        <v>408</v>
      </c>
      <c r="M210" t="s">
        <v>2063</v>
      </c>
      <c r="N210" t="s">
        <v>1992</v>
      </c>
      <c r="O210" t="s">
        <v>1992</v>
      </c>
      <c r="P210" t="s">
        <v>1992</v>
      </c>
      <c r="Q210" t="s">
        <v>1992</v>
      </c>
      <c r="R210" t="s">
        <v>1992</v>
      </c>
      <c r="S210" t="s">
        <v>1992</v>
      </c>
      <c r="T210" t="s">
        <v>1992</v>
      </c>
      <c r="U210" t="s">
        <v>1992</v>
      </c>
      <c r="V210" t="s">
        <v>1991</v>
      </c>
      <c r="W210" t="s">
        <v>1992</v>
      </c>
      <c r="X210" t="s">
        <v>1992</v>
      </c>
      <c r="Y210" t="s">
        <v>1991</v>
      </c>
      <c r="Z210" t="s">
        <v>1991</v>
      </c>
      <c r="AF210" t="s">
        <v>2016</v>
      </c>
      <c r="AG210" t="s">
        <v>1991</v>
      </c>
      <c r="AH210">
        <v>30</v>
      </c>
      <c r="AI210">
        <v>30</v>
      </c>
      <c r="AJ210" t="s">
        <v>2554</v>
      </c>
      <c r="AK210">
        <v>18</v>
      </c>
      <c r="AL210">
        <v>64183</v>
      </c>
      <c r="BX210" t="str">
        <f>""</f>
        <v/>
      </c>
      <c r="BY210" t="str">
        <f>""</f>
        <v/>
      </c>
      <c r="BZ210" t="str">
        <f>""</f>
        <v/>
      </c>
      <c r="CA210" t="str">
        <f>""</f>
        <v/>
      </c>
      <c r="CB210" t="str">
        <f>""</f>
        <v/>
      </c>
      <c r="CC210" t="str">
        <f>""</f>
        <v/>
      </c>
      <c r="CD210" t="str">
        <f>""</f>
        <v/>
      </c>
      <c r="CE210" t="str">
        <f>""</f>
        <v/>
      </c>
      <c r="CF210" t="str">
        <f>""</f>
        <v/>
      </c>
      <c r="CG210" t="str">
        <f>""</f>
        <v/>
      </c>
      <c r="CH210" t="str">
        <f>""</f>
        <v/>
      </c>
    </row>
    <row r="211" spans="1:86" x14ac:dyDescent="0.25">
      <c r="A211" t="s">
        <v>2555</v>
      </c>
      <c r="B211" t="s">
        <v>2556</v>
      </c>
      <c r="C211" t="s">
        <v>1992</v>
      </c>
      <c r="D211" t="s">
        <v>2028</v>
      </c>
      <c r="E211" t="s">
        <v>2557</v>
      </c>
      <c r="H211" t="s">
        <v>2558</v>
      </c>
      <c r="I211" t="s">
        <v>3623</v>
      </c>
      <c r="J211" t="str">
        <f>"46311"</f>
        <v>46311</v>
      </c>
      <c r="K211" t="s">
        <v>1998</v>
      </c>
      <c r="L211" t="s">
        <v>1999</v>
      </c>
      <c r="M211" t="s">
        <v>2063</v>
      </c>
      <c r="N211" t="s">
        <v>1992</v>
      </c>
      <c r="O211" t="s">
        <v>1992</v>
      </c>
      <c r="P211" t="s">
        <v>1992</v>
      </c>
      <c r="Q211" t="s">
        <v>1992</v>
      </c>
      <c r="R211" t="s">
        <v>1992</v>
      </c>
      <c r="S211" t="s">
        <v>1992</v>
      </c>
      <c r="T211" t="s">
        <v>1992</v>
      </c>
      <c r="U211" t="s">
        <v>1992</v>
      </c>
      <c r="V211" t="s">
        <v>1991</v>
      </c>
      <c r="W211" t="s">
        <v>1991</v>
      </c>
      <c r="X211" t="s">
        <v>1992</v>
      </c>
      <c r="Y211" t="s">
        <v>1992</v>
      </c>
      <c r="Z211" t="s">
        <v>1992</v>
      </c>
      <c r="AF211" t="s">
        <v>2001</v>
      </c>
      <c r="AG211" t="s">
        <v>1991</v>
      </c>
      <c r="AH211">
        <v>30</v>
      </c>
      <c r="AI211">
        <v>30</v>
      </c>
      <c r="AJ211" t="s">
        <v>2559</v>
      </c>
      <c r="AK211">
        <v>624</v>
      </c>
      <c r="AL211">
        <v>10923</v>
      </c>
      <c r="AN211" t="s">
        <v>2066</v>
      </c>
      <c r="AO211" t="s">
        <v>2311</v>
      </c>
      <c r="BF211" t="s">
        <v>1053</v>
      </c>
      <c r="BG211" t="s">
        <v>2097</v>
      </c>
      <c r="BH211" t="s">
        <v>2312</v>
      </c>
      <c r="BI211" t="s">
        <v>1053</v>
      </c>
      <c r="BJ211" t="s">
        <v>2069</v>
      </c>
      <c r="BK211" t="s">
        <v>1053</v>
      </c>
      <c r="BL211" t="s">
        <v>2069</v>
      </c>
      <c r="BM211" t="s">
        <v>2313</v>
      </c>
      <c r="BN211" t="s">
        <v>2314</v>
      </c>
      <c r="BO211" t="s">
        <v>1053</v>
      </c>
      <c r="BP211" t="s">
        <v>2315</v>
      </c>
      <c r="BQ211" t="s">
        <v>2316</v>
      </c>
      <c r="BR211" t="s">
        <v>1053</v>
      </c>
      <c r="BT211" t="s">
        <v>1053</v>
      </c>
      <c r="BX211" t="str">
        <f>""</f>
        <v/>
      </c>
      <c r="BY211" t="str">
        <f>""</f>
        <v/>
      </c>
      <c r="BZ211" t="str">
        <f>""</f>
        <v/>
      </c>
      <c r="CA211" t="str">
        <f>""</f>
        <v/>
      </c>
      <c r="CB211" t="str">
        <f>""</f>
        <v/>
      </c>
      <c r="CC211" t="str">
        <f>""</f>
        <v/>
      </c>
      <c r="CD211" t="str">
        <f>""</f>
        <v/>
      </c>
      <c r="CE211" t="str">
        <f>""</f>
        <v/>
      </c>
      <c r="CF211" t="str">
        <f>""</f>
        <v/>
      </c>
      <c r="CG211" t="str">
        <f>""</f>
        <v/>
      </c>
      <c r="CH211" t="str">
        <f>""</f>
        <v/>
      </c>
    </row>
    <row r="212" spans="1:86" x14ac:dyDescent="0.25">
      <c r="A212" t="s">
        <v>2560</v>
      </c>
      <c r="B212" t="s">
        <v>2561</v>
      </c>
      <c r="D212" t="s">
        <v>2089</v>
      </c>
      <c r="E212" t="s">
        <v>2562</v>
      </c>
      <c r="F212" t="s">
        <v>497</v>
      </c>
      <c r="H212" t="s">
        <v>2563</v>
      </c>
      <c r="I212" t="s">
        <v>2014</v>
      </c>
      <c r="J212" t="str">
        <f>"21040"</f>
        <v>21040</v>
      </c>
      <c r="K212" t="s">
        <v>1998</v>
      </c>
      <c r="L212" t="s">
        <v>499</v>
      </c>
      <c r="M212" t="s">
        <v>500</v>
      </c>
      <c r="O212" t="s">
        <v>1991</v>
      </c>
      <c r="AF212" t="s">
        <v>2016</v>
      </c>
      <c r="AG212" t="s">
        <v>1991</v>
      </c>
      <c r="AJ212" t="s">
        <v>2090</v>
      </c>
      <c r="AM212" t="s">
        <v>2564</v>
      </c>
      <c r="BX212" t="str">
        <f>""</f>
        <v/>
      </c>
      <c r="BY212" t="str">
        <f>""</f>
        <v/>
      </c>
      <c r="BZ212" t="str">
        <f>""</f>
        <v/>
      </c>
      <c r="CA212" t="str">
        <f>""</f>
        <v/>
      </c>
      <c r="CB212" t="str">
        <f>""</f>
        <v/>
      </c>
      <c r="CC212" t="str">
        <f>""</f>
        <v/>
      </c>
      <c r="CD212" t="str">
        <f>""</f>
        <v/>
      </c>
      <c r="CE212" t="str">
        <f>""</f>
        <v/>
      </c>
      <c r="CF212" t="str">
        <f>""</f>
        <v/>
      </c>
      <c r="CG212" t="str">
        <f>""</f>
        <v/>
      </c>
      <c r="CH212" t="str">
        <f>""</f>
        <v/>
      </c>
    </row>
    <row r="213" spans="1:86" x14ac:dyDescent="0.25">
      <c r="A213" t="s">
        <v>2565</v>
      </c>
      <c r="B213" t="s">
        <v>2566</v>
      </c>
      <c r="C213" t="s">
        <v>1991</v>
      </c>
      <c r="D213" t="s">
        <v>2010</v>
      </c>
      <c r="E213" t="s">
        <v>2567</v>
      </c>
      <c r="H213" t="s">
        <v>2568</v>
      </c>
      <c r="I213" t="s">
        <v>576</v>
      </c>
      <c r="J213" t="str">
        <f>"98020-4132"</f>
        <v>98020-4132</v>
      </c>
      <c r="K213" t="s">
        <v>1998</v>
      </c>
      <c r="L213" t="s">
        <v>231</v>
      </c>
      <c r="M213" t="s">
        <v>2569</v>
      </c>
      <c r="N213" t="s">
        <v>1991</v>
      </c>
      <c r="O213" t="s">
        <v>1991</v>
      </c>
      <c r="P213" t="s">
        <v>1992</v>
      </c>
      <c r="Q213" t="s">
        <v>1991</v>
      </c>
      <c r="R213" t="s">
        <v>1991</v>
      </c>
      <c r="S213" t="s">
        <v>1992</v>
      </c>
      <c r="T213" t="s">
        <v>1992</v>
      </c>
      <c r="U213" t="s">
        <v>1991</v>
      </c>
      <c r="V213" t="s">
        <v>1991</v>
      </c>
      <c r="W213" t="s">
        <v>1991</v>
      </c>
      <c r="X213" t="s">
        <v>1992</v>
      </c>
      <c r="Y213" t="s">
        <v>1992</v>
      </c>
      <c r="Z213" t="s">
        <v>1992</v>
      </c>
      <c r="AA213" t="s">
        <v>1992</v>
      </c>
      <c r="AE213" t="s">
        <v>2047</v>
      </c>
      <c r="AF213" t="s">
        <v>2064</v>
      </c>
      <c r="AG213" t="s">
        <v>1991</v>
      </c>
      <c r="AH213">
        <v>60</v>
      </c>
      <c r="AI213">
        <v>30</v>
      </c>
      <c r="AJ213" t="s">
        <v>2570</v>
      </c>
      <c r="AK213">
        <v>9</v>
      </c>
      <c r="AL213">
        <v>32000</v>
      </c>
      <c r="AN213" t="s">
        <v>1053</v>
      </c>
      <c r="AO213" t="s">
        <v>1053</v>
      </c>
      <c r="AP213" t="s">
        <v>2069</v>
      </c>
      <c r="AQ213" t="s">
        <v>1053</v>
      </c>
      <c r="AR213" t="s">
        <v>2069</v>
      </c>
      <c r="AS213" t="s">
        <v>2565</v>
      </c>
      <c r="AT213" t="s">
        <v>2571</v>
      </c>
      <c r="AU213" t="s">
        <v>1053</v>
      </c>
      <c r="AV213" t="s">
        <v>1053</v>
      </c>
      <c r="AW213" t="s">
        <v>2069</v>
      </c>
      <c r="AX213" t="s">
        <v>1053</v>
      </c>
      <c r="AY213" t="s">
        <v>2069</v>
      </c>
      <c r="AZ213" t="s">
        <v>2565</v>
      </c>
      <c r="BA213" t="s">
        <v>2571</v>
      </c>
      <c r="BB213" t="s">
        <v>1053</v>
      </c>
      <c r="BC213" t="s">
        <v>2069</v>
      </c>
      <c r="BD213" t="s">
        <v>1053</v>
      </c>
      <c r="BE213" t="s">
        <v>2069</v>
      </c>
      <c r="BF213" t="s">
        <v>1053</v>
      </c>
      <c r="BG213" t="s">
        <v>2019</v>
      </c>
      <c r="BH213" t="s">
        <v>240</v>
      </c>
      <c r="BI213" t="s">
        <v>1053</v>
      </c>
      <c r="BJ213" t="s">
        <v>1053</v>
      </c>
      <c r="BK213" t="s">
        <v>1053</v>
      </c>
      <c r="BM213" t="s">
        <v>241</v>
      </c>
      <c r="BN213" t="s">
        <v>242</v>
      </c>
      <c r="BO213" t="s">
        <v>1053</v>
      </c>
      <c r="BP213" t="s">
        <v>2572</v>
      </c>
      <c r="BQ213" t="s">
        <v>240</v>
      </c>
      <c r="BR213" t="s">
        <v>1053</v>
      </c>
      <c r="BS213" t="s">
        <v>1053</v>
      </c>
      <c r="BT213" t="s">
        <v>1053</v>
      </c>
      <c r="BU213" t="s">
        <v>1053</v>
      </c>
      <c r="BV213" t="s">
        <v>241</v>
      </c>
      <c r="BW213" t="s">
        <v>242</v>
      </c>
      <c r="BX213" t="str">
        <f>"SMTWTFS 0715-1230 1300-2145"</f>
        <v>SMTWTFS 0715-1230 1300-2145</v>
      </c>
      <c r="BY213" t="str">
        <f>"SMTWTFS 0715-1230 1300-2145"</f>
        <v>SMTWTFS 0715-1230 1300-2145</v>
      </c>
      <c r="BZ213" t="str">
        <f>"SMTWTFS 0715-1230 1300-2145"</f>
        <v>SMTWTFS 0715-1230 1300-2145</v>
      </c>
      <c r="CA213" t="str">
        <f>"SMTWTFS 0715-1230 1300-2145"</f>
        <v>SMTWTFS 0715-1230 1300-2145</v>
      </c>
      <c r="CB213" t="str">
        <f>""</f>
        <v/>
      </c>
      <c r="CC213" t="str">
        <f>"SMTWTFS 0715-1230 1300-2145"</f>
        <v>SMTWTFS 0715-1230 1300-2145</v>
      </c>
      <c r="CD213" t="str">
        <f>""</f>
        <v/>
      </c>
      <c r="CE213" t="str">
        <f>""</f>
        <v/>
      </c>
      <c r="CF213" t="str">
        <f>"SMTWTFS 0715-1230 1300-2145"</f>
        <v>SMTWTFS 0715-1230 1300-2145</v>
      </c>
      <c r="CG213" t="str">
        <f>""</f>
        <v/>
      </c>
      <c r="CH213" t="str">
        <f>"SMTWTFS 0000-2359"</f>
        <v>SMTWTFS 0000-2359</v>
      </c>
    </row>
    <row r="214" spans="1:86" x14ac:dyDescent="0.25">
      <c r="A214" t="s">
        <v>2573</v>
      </c>
      <c r="B214" t="s">
        <v>2574</v>
      </c>
      <c r="C214" t="s">
        <v>1992</v>
      </c>
      <c r="D214" t="s">
        <v>2010</v>
      </c>
      <c r="E214" t="s">
        <v>2575</v>
      </c>
      <c r="H214" t="s">
        <v>2576</v>
      </c>
      <c r="I214" t="s">
        <v>2367</v>
      </c>
      <c r="J214" t="str">
        <f>"62401-3772"</f>
        <v>62401-3772</v>
      </c>
      <c r="K214" t="s">
        <v>1998</v>
      </c>
      <c r="L214" t="s">
        <v>1999</v>
      </c>
      <c r="M214" t="s">
        <v>2063</v>
      </c>
      <c r="N214" t="s">
        <v>1992</v>
      </c>
      <c r="O214" t="s">
        <v>1992</v>
      </c>
      <c r="P214" t="s">
        <v>1992</v>
      </c>
      <c r="Q214" t="s">
        <v>1992</v>
      </c>
      <c r="R214" t="s">
        <v>1992</v>
      </c>
      <c r="S214" t="s">
        <v>1992</v>
      </c>
      <c r="T214" t="s">
        <v>1992</v>
      </c>
      <c r="U214" t="s">
        <v>1992</v>
      </c>
      <c r="V214" t="s">
        <v>1991</v>
      </c>
      <c r="W214" t="s">
        <v>1991</v>
      </c>
      <c r="X214" t="s">
        <v>1992</v>
      </c>
      <c r="Y214" t="s">
        <v>1992</v>
      </c>
      <c r="Z214" t="s">
        <v>1992</v>
      </c>
      <c r="AF214" t="s">
        <v>2001</v>
      </c>
      <c r="AG214" t="s">
        <v>1991</v>
      </c>
      <c r="AH214">
        <v>30</v>
      </c>
      <c r="AI214">
        <v>30</v>
      </c>
      <c r="AJ214" t="s">
        <v>2577</v>
      </c>
      <c r="AK214">
        <v>594</v>
      </c>
      <c r="AL214">
        <v>34000</v>
      </c>
      <c r="AN214" t="s">
        <v>2066</v>
      </c>
      <c r="AO214" t="s">
        <v>2063</v>
      </c>
      <c r="BF214" t="s">
        <v>1053</v>
      </c>
      <c r="BG214" t="s">
        <v>2548</v>
      </c>
      <c r="BH214" t="s">
        <v>733</v>
      </c>
      <c r="BI214" t="s">
        <v>1053</v>
      </c>
      <c r="BJ214" t="s">
        <v>1053</v>
      </c>
      <c r="BK214" t="s">
        <v>1053</v>
      </c>
      <c r="BL214" t="s">
        <v>1053</v>
      </c>
      <c r="BM214" t="s">
        <v>2373</v>
      </c>
      <c r="BN214" t="s">
        <v>2374</v>
      </c>
      <c r="BO214" t="s">
        <v>1053</v>
      </c>
      <c r="BP214" t="s">
        <v>986</v>
      </c>
      <c r="BQ214" t="s">
        <v>2376</v>
      </c>
      <c r="BR214" t="s">
        <v>1053</v>
      </c>
      <c r="BS214" t="s">
        <v>1053</v>
      </c>
      <c r="BT214" t="s">
        <v>1053</v>
      </c>
      <c r="BU214" t="s">
        <v>1053</v>
      </c>
      <c r="BV214" t="s">
        <v>987</v>
      </c>
      <c r="BX214" t="str">
        <f>"SMTWTFS 0357-0642 1642-2033 2237-2359"</f>
        <v>SMTWTFS 0357-0642 1642-2033 2237-2359</v>
      </c>
      <c r="BY214" t="str">
        <f>""</f>
        <v/>
      </c>
      <c r="BZ214" t="str">
        <f>""</f>
        <v/>
      </c>
      <c r="CA214" t="str">
        <f>""</f>
        <v/>
      </c>
      <c r="CB214" t="str">
        <f>""</f>
        <v/>
      </c>
      <c r="CC214" t="str">
        <f>""</f>
        <v/>
      </c>
      <c r="CD214" t="str">
        <f>""</f>
        <v/>
      </c>
      <c r="CE214" t="str">
        <f>""</f>
        <v/>
      </c>
      <c r="CF214" t="str">
        <f>""</f>
        <v/>
      </c>
      <c r="CG214" t="str">
        <f>""</f>
        <v/>
      </c>
      <c r="CH214" t="str">
        <f>""</f>
        <v/>
      </c>
    </row>
    <row r="215" spans="1:86" x14ac:dyDescent="0.25">
      <c r="A215" t="s">
        <v>1342</v>
      </c>
      <c r="B215" t="s">
        <v>1343</v>
      </c>
      <c r="C215" t="s">
        <v>1992</v>
      </c>
      <c r="D215" t="s">
        <v>2028</v>
      </c>
      <c r="E215" t="s">
        <v>1344</v>
      </c>
      <c r="F215" t="s">
        <v>2030</v>
      </c>
      <c r="H215" t="s">
        <v>1345</v>
      </c>
      <c r="I215" t="s">
        <v>2032</v>
      </c>
      <c r="J215" t="str">
        <f>"08215"</f>
        <v>08215</v>
      </c>
      <c r="K215" t="s">
        <v>1998</v>
      </c>
      <c r="L215" t="s">
        <v>2033</v>
      </c>
      <c r="M215" t="s">
        <v>2034</v>
      </c>
      <c r="N215" t="s">
        <v>1992</v>
      </c>
      <c r="O215" t="s">
        <v>1992</v>
      </c>
      <c r="P215" t="s">
        <v>1992</v>
      </c>
      <c r="Q215" t="s">
        <v>1992</v>
      </c>
      <c r="R215" t="s">
        <v>1992</v>
      </c>
      <c r="S215" t="s">
        <v>1992</v>
      </c>
      <c r="T215" t="s">
        <v>1992</v>
      </c>
      <c r="U215" t="s">
        <v>1992</v>
      </c>
      <c r="V215" t="s">
        <v>1991</v>
      </c>
      <c r="W215" t="s">
        <v>1992</v>
      </c>
      <c r="X215" t="s">
        <v>1991</v>
      </c>
      <c r="Y215" t="s">
        <v>1992</v>
      </c>
      <c r="Z215" t="s">
        <v>1992</v>
      </c>
      <c r="AF215" t="s">
        <v>2016</v>
      </c>
      <c r="AG215" t="s">
        <v>1991</v>
      </c>
      <c r="AH215">
        <v>30</v>
      </c>
      <c r="AI215">
        <v>30</v>
      </c>
      <c r="AJ215" t="s">
        <v>1346</v>
      </c>
      <c r="AK215">
        <v>59</v>
      </c>
      <c r="AL215">
        <v>4454</v>
      </c>
      <c r="AM215" t="s">
        <v>2036</v>
      </c>
      <c r="BX215" t="str">
        <f>""</f>
        <v/>
      </c>
      <c r="BY215" t="str">
        <f>""</f>
        <v/>
      </c>
      <c r="BZ215" t="str">
        <f>""</f>
        <v/>
      </c>
      <c r="CA215" t="str">
        <f>""</f>
        <v/>
      </c>
      <c r="CB215" t="str">
        <f>""</f>
        <v/>
      </c>
      <c r="CC215" t="str">
        <f>""</f>
        <v/>
      </c>
      <c r="CD215" t="str">
        <f>""</f>
        <v/>
      </c>
      <c r="CE215" t="str">
        <f>""</f>
        <v/>
      </c>
      <c r="CF215" t="str">
        <f>""</f>
        <v/>
      </c>
      <c r="CG215" t="str">
        <f>""</f>
        <v/>
      </c>
      <c r="CH215" t="str">
        <f>""</f>
        <v/>
      </c>
    </row>
    <row r="216" spans="1:86" x14ac:dyDescent="0.25">
      <c r="A216" t="s">
        <v>1347</v>
      </c>
      <c r="B216" t="s">
        <v>1348</v>
      </c>
      <c r="C216" t="s">
        <v>1992</v>
      </c>
      <c r="D216" t="s">
        <v>1993</v>
      </c>
      <c r="E216" t="s">
        <v>1349</v>
      </c>
      <c r="F216" t="s">
        <v>1350</v>
      </c>
      <c r="H216" t="s">
        <v>1351</v>
      </c>
      <c r="I216" t="s">
        <v>2061</v>
      </c>
      <c r="J216" t="str">
        <f>"95501"</f>
        <v>95501</v>
      </c>
      <c r="K216" t="s">
        <v>1998</v>
      </c>
      <c r="L216" t="s">
        <v>2062</v>
      </c>
      <c r="M216" t="s">
        <v>2063</v>
      </c>
      <c r="N216" t="s">
        <v>1992</v>
      </c>
      <c r="O216" t="s">
        <v>1992</v>
      </c>
      <c r="P216" t="s">
        <v>1992</v>
      </c>
      <c r="Q216" t="s">
        <v>1992</v>
      </c>
      <c r="R216" t="s">
        <v>1992</v>
      </c>
      <c r="S216" t="s">
        <v>1992</v>
      </c>
      <c r="T216" t="s">
        <v>1992</v>
      </c>
      <c r="U216" t="s">
        <v>1992</v>
      </c>
      <c r="V216" t="s">
        <v>1991</v>
      </c>
      <c r="W216" t="s">
        <v>1992</v>
      </c>
      <c r="X216" t="s">
        <v>1992</v>
      </c>
      <c r="Y216" t="s">
        <v>1991</v>
      </c>
      <c r="Z216" t="s">
        <v>1992</v>
      </c>
      <c r="AA216" t="s">
        <v>1992</v>
      </c>
      <c r="AF216" t="s">
        <v>2064</v>
      </c>
      <c r="AG216" t="s">
        <v>1991</v>
      </c>
      <c r="AH216">
        <v>30</v>
      </c>
      <c r="AI216">
        <v>30</v>
      </c>
      <c r="AJ216" t="s">
        <v>1352</v>
      </c>
      <c r="AK216">
        <v>20</v>
      </c>
      <c r="AL216">
        <v>25700</v>
      </c>
      <c r="AN216" t="s">
        <v>308</v>
      </c>
      <c r="AO216" t="s">
        <v>2063</v>
      </c>
      <c r="BF216" t="s">
        <v>1053</v>
      </c>
      <c r="BG216" t="s">
        <v>309</v>
      </c>
      <c r="BH216" t="s">
        <v>2301</v>
      </c>
      <c r="BI216" t="s">
        <v>1053</v>
      </c>
      <c r="BK216" t="s">
        <v>1053</v>
      </c>
      <c r="BO216" t="s">
        <v>1053</v>
      </c>
      <c r="BP216" t="s">
        <v>310</v>
      </c>
      <c r="BQ216" t="s">
        <v>311</v>
      </c>
      <c r="BR216" t="s">
        <v>1053</v>
      </c>
      <c r="BS216" t="s">
        <v>1053</v>
      </c>
      <c r="BT216" t="s">
        <v>1053</v>
      </c>
      <c r="BU216" t="s">
        <v>1053</v>
      </c>
      <c r="BX216" t="str">
        <f>""</f>
        <v/>
      </c>
      <c r="BY216" t="str">
        <f>""</f>
        <v/>
      </c>
      <c r="BZ216" t="str">
        <f>""</f>
        <v/>
      </c>
      <c r="CA216" t="str">
        <f>""</f>
        <v/>
      </c>
      <c r="CB216" t="str">
        <f>""</f>
        <v/>
      </c>
      <c r="CC216" t="str">
        <f>""</f>
        <v/>
      </c>
      <c r="CD216" t="str">
        <f>""</f>
        <v/>
      </c>
      <c r="CE216" t="str">
        <f>""</f>
        <v/>
      </c>
      <c r="CF216" t="str">
        <f>""</f>
        <v/>
      </c>
      <c r="CG216" t="str">
        <f>""</f>
        <v/>
      </c>
      <c r="CH216" t="str">
        <f>""</f>
        <v/>
      </c>
    </row>
    <row r="217" spans="1:86" x14ac:dyDescent="0.25">
      <c r="A217" t="s">
        <v>1353</v>
      </c>
      <c r="B217" t="s">
        <v>1354</v>
      </c>
      <c r="C217" t="s">
        <v>1992</v>
      </c>
      <c r="D217" t="s">
        <v>1993</v>
      </c>
      <c r="E217" t="s">
        <v>1355</v>
      </c>
      <c r="F217" t="s">
        <v>1356</v>
      </c>
      <c r="H217" t="s">
        <v>1357</v>
      </c>
      <c r="I217" t="s">
        <v>2061</v>
      </c>
      <c r="J217" t="str">
        <f>"95758"</f>
        <v>95758</v>
      </c>
      <c r="K217" t="s">
        <v>1998</v>
      </c>
      <c r="L217" t="s">
        <v>2062</v>
      </c>
      <c r="M217" t="s">
        <v>2063</v>
      </c>
      <c r="N217" t="s">
        <v>1992</v>
      </c>
      <c r="O217" t="s">
        <v>1992</v>
      </c>
      <c r="P217" t="s">
        <v>1992</v>
      </c>
      <c r="Q217" t="s">
        <v>1992</v>
      </c>
      <c r="R217" t="s">
        <v>1992</v>
      </c>
      <c r="S217" t="s">
        <v>1992</v>
      </c>
      <c r="T217" t="s">
        <v>1992</v>
      </c>
      <c r="U217" t="s">
        <v>1992</v>
      </c>
      <c r="V217" t="s">
        <v>1991</v>
      </c>
      <c r="W217" t="s">
        <v>1992</v>
      </c>
      <c r="X217" t="s">
        <v>1992</v>
      </c>
      <c r="Y217" t="s">
        <v>1991</v>
      </c>
      <c r="Z217" t="s">
        <v>1992</v>
      </c>
      <c r="AA217" t="s">
        <v>1991</v>
      </c>
      <c r="AF217" t="s">
        <v>2064</v>
      </c>
      <c r="AG217" t="s">
        <v>1991</v>
      </c>
      <c r="AH217">
        <v>30</v>
      </c>
      <c r="AI217">
        <v>30</v>
      </c>
      <c r="AJ217" t="s">
        <v>1358</v>
      </c>
      <c r="AK217">
        <v>17</v>
      </c>
      <c r="AL217">
        <v>59854</v>
      </c>
      <c r="AM217" t="s">
        <v>1359</v>
      </c>
      <c r="AN217" t="s">
        <v>308</v>
      </c>
      <c r="AO217" t="s">
        <v>2063</v>
      </c>
      <c r="BF217" t="s">
        <v>1053</v>
      </c>
      <c r="BG217" t="s">
        <v>309</v>
      </c>
      <c r="BH217" t="s">
        <v>2301</v>
      </c>
      <c r="BI217" t="s">
        <v>1053</v>
      </c>
      <c r="BK217" t="s">
        <v>1053</v>
      </c>
      <c r="BO217" t="s">
        <v>1053</v>
      </c>
      <c r="BP217" t="s">
        <v>2302</v>
      </c>
      <c r="BQ217" t="s">
        <v>2303</v>
      </c>
      <c r="BR217" t="s">
        <v>1053</v>
      </c>
      <c r="BS217" t="s">
        <v>1053</v>
      </c>
      <c r="BT217" t="s">
        <v>1053</v>
      </c>
      <c r="BU217" t="s">
        <v>1053</v>
      </c>
      <c r="BX217" t="str">
        <f>""</f>
        <v/>
      </c>
      <c r="BY217" t="str">
        <f>""</f>
        <v/>
      </c>
      <c r="BZ217" t="str">
        <f>""</f>
        <v/>
      </c>
      <c r="CA217" t="str">
        <f>""</f>
        <v/>
      </c>
      <c r="CB217" t="str">
        <f>""</f>
        <v/>
      </c>
      <c r="CC217" t="str">
        <f>""</f>
        <v/>
      </c>
      <c r="CD217" t="str">
        <f>""</f>
        <v/>
      </c>
      <c r="CE217" t="str">
        <f>""</f>
        <v/>
      </c>
      <c r="CF217" t="str">
        <f>""</f>
        <v/>
      </c>
      <c r="CG217" t="str">
        <f>""</f>
        <v/>
      </c>
      <c r="CH217" t="str">
        <f>""</f>
        <v/>
      </c>
    </row>
    <row r="218" spans="1:86" x14ac:dyDescent="0.25">
      <c r="A218" t="s">
        <v>1360</v>
      </c>
      <c r="B218" t="s">
        <v>1361</v>
      </c>
      <c r="C218" t="s">
        <v>1992</v>
      </c>
      <c r="D218" t="s">
        <v>2010</v>
      </c>
      <c r="E218" t="s">
        <v>1362</v>
      </c>
      <c r="H218" t="s">
        <v>1363</v>
      </c>
      <c r="I218" t="s">
        <v>3623</v>
      </c>
      <c r="J218" t="str">
        <f>"46515"</f>
        <v>46515</v>
      </c>
      <c r="K218" t="s">
        <v>1998</v>
      </c>
      <c r="L218" t="s">
        <v>1999</v>
      </c>
      <c r="M218" t="s">
        <v>2063</v>
      </c>
      <c r="N218" t="s">
        <v>1992</v>
      </c>
      <c r="O218" t="s">
        <v>1992</v>
      </c>
      <c r="P218" t="s">
        <v>1992</v>
      </c>
      <c r="Q218" t="s">
        <v>1992</v>
      </c>
      <c r="R218" t="s">
        <v>1992</v>
      </c>
      <c r="S218" t="s">
        <v>1992</v>
      </c>
      <c r="T218" t="s">
        <v>1992</v>
      </c>
      <c r="U218" t="s">
        <v>1992</v>
      </c>
      <c r="V218" t="s">
        <v>1991</v>
      </c>
      <c r="W218" t="s">
        <v>1991</v>
      </c>
      <c r="X218" t="s">
        <v>1992</v>
      </c>
      <c r="Y218" t="s">
        <v>1992</v>
      </c>
      <c r="Z218" t="s">
        <v>1992</v>
      </c>
      <c r="AF218" t="s">
        <v>2016</v>
      </c>
      <c r="AG218" t="s">
        <v>1991</v>
      </c>
      <c r="AH218">
        <v>30</v>
      </c>
      <c r="AI218">
        <v>30</v>
      </c>
      <c r="AJ218" t="s">
        <v>1364</v>
      </c>
      <c r="AK218">
        <v>752</v>
      </c>
      <c r="AL218">
        <v>43627</v>
      </c>
      <c r="AN218" t="s">
        <v>1365</v>
      </c>
      <c r="AO218" t="s">
        <v>2311</v>
      </c>
      <c r="BF218" t="s">
        <v>1053</v>
      </c>
      <c r="BG218" t="s">
        <v>2097</v>
      </c>
      <c r="BH218" t="s">
        <v>2312</v>
      </c>
      <c r="BI218" t="s">
        <v>1053</v>
      </c>
      <c r="BJ218" t="s">
        <v>2069</v>
      </c>
      <c r="BK218" t="s">
        <v>1053</v>
      </c>
      <c r="BL218" t="s">
        <v>2069</v>
      </c>
      <c r="BM218" t="s">
        <v>2313</v>
      </c>
      <c r="BN218" t="s">
        <v>2314</v>
      </c>
      <c r="BO218" t="s">
        <v>1053</v>
      </c>
      <c r="BP218" t="s">
        <v>301</v>
      </c>
      <c r="BQ218" t="s">
        <v>2316</v>
      </c>
      <c r="BR218" t="s">
        <v>1053</v>
      </c>
      <c r="BT218" t="s">
        <v>1053</v>
      </c>
      <c r="BX218" t="str">
        <f>"SMTWTFS 0000-0139 0600-0900 2100-2359"</f>
        <v>SMTWTFS 0000-0139 0600-0900 2100-2359</v>
      </c>
      <c r="BY218" t="str">
        <f>""</f>
        <v/>
      </c>
      <c r="BZ218" t="str">
        <f>""</f>
        <v/>
      </c>
      <c r="CA218" t="str">
        <f>""</f>
        <v/>
      </c>
      <c r="CB218" t="str">
        <f>""</f>
        <v/>
      </c>
      <c r="CC218" t="str">
        <f>""</f>
        <v/>
      </c>
      <c r="CD218" t="str">
        <f>""</f>
        <v/>
      </c>
      <c r="CE218" t="str">
        <f>""</f>
        <v/>
      </c>
      <c r="CF218" t="str">
        <f>""</f>
        <v/>
      </c>
      <c r="CG218" t="str">
        <f>""</f>
        <v/>
      </c>
      <c r="CH218" t="str">
        <f>""</f>
        <v/>
      </c>
    </row>
    <row r="219" spans="1:86" x14ac:dyDescent="0.25">
      <c r="A219" t="s">
        <v>1366</v>
      </c>
      <c r="B219" t="s">
        <v>1367</v>
      </c>
      <c r="C219" t="s">
        <v>1992</v>
      </c>
      <c r="D219" t="s">
        <v>2028</v>
      </c>
      <c r="E219" t="s">
        <v>1368</v>
      </c>
      <c r="F219" t="s">
        <v>1369</v>
      </c>
      <c r="H219" t="s">
        <v>1370</v>
      </c>
      <c r="I219" t="s">
        <v>1371</v>
      </c>
      <c r="J219" t="str">
        <f>"89801"</f>
        <v>89801</v>
      </c>
      <c r="K219" t="s">
        <v>1998</v>
      </c>
      <c r="L219" t="s">
        <v>2062</v>
      </c>
      <c r="M219" t="s">
        <v>2063</v>
      </c>
      <c r="N219" t="s">
        <v>1992</v>
      </c>
      <c r="O219" t="s">
        <v>1992</v>
      </c>
      <c r="P219" t="s">
        <v>1992</v>
      </c>
      <c r="Q219" t="s">
        <v>1992</v>
      </c>
      <c r="R219" t="s">
        <v>1992</v>
      </c>
      <c r="S219" t="s">
        <v>1992</v>
      </c>
      <c r="T219" t="s">
        <v>1992</v>
      </c>
      <c r="U219" t="s">
        <v>1992</v>
      </c>
      <c r="V219" t="s">
        <v>1991</v>
      </c>
      <c r="W219" t="s">
        <v>1991</v>
      </c>
      <c r="X219" t="s">
        <v>1992</v>
      </c>
      <c r="Y219" t="s">
        <v>1992</v>
      </c>
      <c r="Z219" t="s">
        <v>1992</v>
      </c>
      <c r="AA219" t="s">
        <v>1992</v>
      </c>
      <c r="AF219" t="s">
        <v>2064</v>
      </c>
      <c r="AG219" t="s">
        <v>1991</v>
      </c>
      <c r="AH219">
        <v>30</v>
      </c>
      <c r="AI219">
        <v>30</v>
      </c>
      <c r="AJ219" t="s">
        <v>1372</v>
      </c>
      <c r="AK219">
        <v>5063</v>
      </c>
      <c r="AL219">
        <v>21500</v>
      </c>
      <c r="AM219" t="s">
        <v>1373</v>
      </c>
      <c r="AN219" t="s">
        <v>2066</v>
      </c>
      <c r="AO219" t="s">
        <v>2063</v>
      </c>
      <c r="BF219" t="s">
        <v>1053</v>
      </c>
      <c r="BG219" t="s">
        <v>2067</v>
      </c>
      <c r="BH219" t="s">
        <v>348</v>
      </c>
      <c r="BI219" t="s">
        <v>1053</v>
      </c>
      <c r="BO219" t="s">
        <v>1053</v>
      </c>
      <c r="BP219" t="s">
        <v>675</v>
      </c>
      <c r="BQ219" t="s">
        <v>2073</v>
      </c>
      <c r="BR219" t="s">
        <v>1053</v>
      </c>
      <c r="BS219" t="s">
        <v>1053</v>
      </c>
      <c r="BX219" t="str">
        <f>"SMTWTFS 0000-0001"</f>
        <v>SMTWTFS 0000-0001</v>
      </c>
      <c r="BY219" t="str">
        <f>""</f>
        <v/>
      </c>
      <c r="BZ219" t="str">
        <f>""</f>
        <v/>
      </c>
      <c r="CA219" t="str">
        <f>""</f>
        <v/>
      </c>
      <c r="CB219" t="str">
        <f>""</f>
        <v/>
      </c>
      <c r="CC219" t="str">
        <f>""</f>
        <v/>
      </c>
      <c r="CD219" t="str">
        <f>""</f>
        <v/>
      </c>
      <c r="CE219" t="str">
        <f>""</f>
        <v/>
      </c>
      <c r="CF219" t="str">
        <f>""</f>
        <v/>
      </c>
      <c r="CG219" t="str">
        <f>""</f>
        <v/>
      </c>
      <c r="CH219" t="str">
        <f>""</f>
        <v/>
      </c>
    </row>
    <row r="220" spans="1:86" x14ac:dyDescent="0.25">
      <c r="A220" t="s">
        <v>1374</v>
      </c>
      <c r="B220" t="s">
        <v>1375</v>
      </c>
      <c r="C220" t="s">
        <v>1991</v>
      </c>
      <c r="D220" t="s">
        <v>2010</v>
      </c>
      <c r="E220" t="s">
        <v>1376</v>
      </c>
      <c r="H220" t="s">
        <v>1377</v>
      </c>
      <c r="I220" t="s">
        <v>2381</v>
      </c>
      <c r="J220" t="str">
        <f>"79901"</f>
        <v>79901</v>
      </c>
      <c r="K220" t="s">
        <v>1998</v>
      </c>
      <c r="L220" t="s">
        <v>2045</v>
      </c>
      <c r="M220" t="s">
        <v>1378</v>
      </c>
      <c r="N220" t="s">
        <v>1991</v>
      </c>
      <c r="O220" t="s">
        <v>1992</v>
      </c>
      <c r="P220" t="s">
        <v>1992</v>
      </c>
      <c r="Q220" t="s">
        <v>1991</v>
      </c>
      <c r="R220" t="s">
        <v>1991</v>
      </c>
      <c r="S220" t="s">
        <v>1992</v>
      </c>
      <c r="T220" t="s">
        <v>1992</v>
      </c>
      <c r="U220" t="s">
        <v>1991</v>
      </c>
      <c r="V220" t="s">
        <v>1991</v>
      </c>
      <c r="W220" t="s">
        <v>1991</v>
      </c>
      <c r="X220" t="s">
        <v>1992</v>
      </c>
      <c r="Y220" t="s">
        <v>1992</v>
      </c>
      <c r="Z220" t="s">
        <v>1992</v>
      </c>
      <c r="AA220" t="s">
        <v>1992</v>
      </c>
      <c r="AE220" t="s">
        <v>2047</v>
      </c>
      <c r="AF220" t="s">
        <v>2048</v>
      </c>
      <c r="AG220" t="s">
        <v>1991</v>
      </c>
      <c r="AH220">
        <v>60</v>
      </c>
      <c r="AI220">
        <v>30</v>
      </c>
      <c r="AJ220" t="s">
        <v>1379</v>
      </c>
      <c r="AK220">
        <v>3724</v>
      </c>
      <c r="AL220">
        <v>609415</v>
      </c>
      <c r="AN220" t="s">
        <v>1053</v>
      </c>
      <c r="AO220" t="s">
        <v>1053</v>
      </c>
      <c r="AQ220" t="s">
        <v>1053</v>
      </c>
      <c r="AS220" t="s">
        <v>1374</v>
      </c>
      <c r="AT220" t="s">
        <v>1380</v>
      </c>
      <c r="BF220" t="s">
        <v>1053</v>
      </c>
      <c r="BG220" t="s">
        <v>2019</v>
      </c>
      <c r="BH220" t="s">
        <v>2053</v>
      </c>
      <c r="BI220" t="s">
        <v>1053</v>
      </c>
      <c r="BO220" t="s">
        <v>1053</v>
      </c>
      <c r="BP220" t="s">
        <v>2101</v>
      </c>
      <c r="BQ220" t="s">
        <v>2055</v>
      </c>
      <c r="BR220" t="s">
        <v>1053</v>
      </c>
      <c r="BS220" t="s">
        <v>1053</v>
      </c>
      <c r="BV220" t="s">
        <v>2056</v>
      </c>
      <c r="BX220" t="str">
        <f>"SMTWTFS 0915-1630"</f>
        <v>SMTWTFS 0915-1630</v>
      </c>
      <c r="BY220" t="str">
        <f>"SMTWTFS 0915-1630"</f>
        <v>SMTWTFS 0915-1630</v>
      </c>
      <c r="BZ220" t="str">
        <f>"SMTWTFS 0915-1630"</f>
        <v>SMTWTFS 0915-1630</v>
      </c>
      <c r="CA220" t="str">
        <f>"SMTWTFS 0915-1630"</f>
        <v>SMTWTFS 0915-1630</v>
      </c>
      <c r="CB220" t="str">
        <f>""</f>
        <v/>
      </c>
      <c r="CC220" t="str">
        <f>""</f>
        <v/>
      </c>
      <c r="CD220" t="str">
        <f>""</f>
        <v/>
      </c>
      <c r="CE220" t="str">
        <f>""</f>
        <v/>
      </c>
      <c r="CF220" t="str">
        <f>"SMTWTFS 0915-1630"</f>
        <v>SMTWTFS 0915-1630</v>
      </c>
      <c r="CG220" t="str">
        <f>""</f>
        <v/>
      </c>
      <c r="CH220" t="str">
        <f>""</f>
        <v/>
      </c>
    </row>
    <row r="221" spans="1:86" x14ac:dyDescent="0.25">
      <c r="A221" t="s">
        <v>1381</v>
      </c>
      <c r="B221" t="s">
        <v>1382</v>
      </c>
      <c r="C221" t="s">
        <v>1992</v>
      </c>
      <c r="D221" t="s">
        <v>1993</v>
      </c>
      <c r="E221" t="s">
        <v>1383</v>
      </c>
      <c r="F221" t="s">
        <v>1384</v>
      </c>
      <c r="H221" t="s">
        <v>1385</v>
      </c>
      <c r="I221" t="s">
        <v>2295</v>
      </c>
      <c r="J221" t="str">
        <f>"97138-6162"</f>
        <v>97138-6162</v>
      </c>
      <c r="K221" t="s">
        <v>1998</v>
      </c>
      <c r="L221" t="s">
        <v>231</v>
      </c>
      <c r="M221" t="s">
        <v>1386</v>
      </c>
      <c r="N221" t="s">
        <v>1992</v>
      </c>
      <c r="O221" t="s">
        <v>1992</v>
      </c>
      <c r="P221" t="s">
        <v>1992</v>
      </c>
      <c r="Q221" t="s">
        <v>1992</v>
      </c>
      <c r="R221" t="s">
        <v>1992</v>
      </c>
      <c r="S221" t="s">
        <v>1992</v>
      </c>
      <c r="T221" t="s">
        <v>1992</v>
      </c>
      <c r="U221" t="s">
        <v>1992</v>
      </c>
      <c r="V221" t="s">
        <v>1991</v>
      </c>
      <c r="W221" t="s">
        <v>1992</v>
      </c>
      <c r="X221" t="s">
        <v>1992</v>
      </c>
      <c r="Y221" t="s">
        <v>1991</v>
      </c>
      <c r="Z221" t="s">
        <v>1992</v>
      </c>
      <c r="AE221" t="s">
        <v>1387</v>
      </c>
      <c r="AF221" t="s">
        <v>2064</v>
      </c>
      <c r="AG221" t="s">
        <v>1991</v>
      </c>
      <c r="AH221">
        <v>15</v>
      </c>
      <c r="AI221">
        <v>15</v>
      </c>
      <c r="AJ221" t="s">
        <v>1388</v>
      </c>
      <c r="AK221">
        <v>450</v>
      </c>
      <c r="AL221">
        <v>1200</v>
      </c>
      <c r="AM221" t="s">
        <v>2298</v>
      </c>
      <c r="AN221" t="s">
        <v>1389</v>
      </c>
      <c r="AO221" t="s">
        <v>2063</v>
      </c>
      <c r="BF221" t="s">
        <v>1053</v>
      </c>
      <c r="BG221" t="s">
        <v>330</v>
      </c>
      <c r="BH221" t="s">
        <v>236</v>
      </c>
      <c r="BI221" t="s">
        <v>1053</v>
      </c>
      <c r="BJ221" t="s">
        <v>1053</v>
      </c>
      <c r="BK221" t="s">
        <v>1053</v>
      </c>
      <c r="BL221" t="s">
        <v>1053</v>
      </c>
      <c r="BX221" t="str">
        <f>""</f>
        <v/>
      </c>
      <c r="BY221" t="str">
        <f>""</f>
        <v/>
      </c>
      <c r="BZ221" t="str">
        <f>""</f>
        <v/>
      </c>
      <c r="CA221" t="str">
        <f>""</f>
        <v/>
      </c>
      <c r="CB221" t="str">
        <f>""</f>
        <v/>
      </c>
      <c r="CC221" t="str">
        <f>""</f>
        <v/>
      </c>
      <c r="CD221" t="str">
        <f>""</f>
        <v/>
      </c>
      <c r="CE221" t="str">
        <f>""</f>
        <v/>
      </c>
      <c r="CF221" t="str">
        <f>""</f>
        <v/>
      </c>
      <c r="CG221" t="str">
        <f>""</f>
        <v/>
      </c>
      <c r="CH221" t="str">
        <f>""</f>
        <v/>
      </c>
    </row>
    <row r="222" spans="1:86" x14ac:dyDescent="0.25">
      <c r="A222" t="s">
        <v>1390</v>
      </c>
      <c r="B222" t="s">
        <v>1391</v>
      </c>
      <c r="C222" t="s">
        <v>1992</v>
      </c>
      <c r="D222" t="s">
        <v>2010</v>
      </c>
      <c r="E222" t="s">
        <v>1392</v>
      </c>
      <c r="H222" t="s">
        <v>1393</v>
      </c>
      <c r="I222" t="s">
        <v>2388</v>
      </c>
      <c r="J222" t="str">
        <f>"17022"</f>
        <v>17022</v>
      </c>
      <c r="K222" t="s">
        <v>1998</v>
      </c>
      <c r="L222" t="s">
        <v>2015</v>
      </c>
      <c r="M222" t="s">
        <v>2063</v>
      </c>
      <c r="N222" t="s">
        <v>1992</v>
      </c>
      <c r="O222" t="s">
        <v>1991</v>
      </c>
      <c r="P222" t="s">
        <v>1992</v>
      </c>
      <c r="Q222" t="s">
        <v>1992</v>
      </c>
      <c r="R222" t="s">
        <v>1992</v>
      </c>
      <c r="S222" t="s">
        <v>1992</v>
      </c>
      <c r="T222" t="s">
        <v>1992</v>
      </c>
      <c r="U222" t="s">
        <v>1992</v>
      </c>
      <c r="V222" t="s">
        <v>1991</v>
      </c>
      <c r="W222" t="s">
        <v>1991</v>
      </c>
      <c r="X222" t="s">
        <v>1992</v>
      </c>
      <c r="Y222" t="s">
        <v>1992</v>
      </c>
      <c r="Z222" t="s">
        <v>1992</v>
      </c>
      <c r="AF222" t="s">
        <v>2016</v>
      </c>
      <c r="AG222" t="s">
        <v>1991</v>
      </c>
      <c r="AH222">
        <v>30</v>
      </c>
      <c r="AI222">
        <v>30</v>
      </c>
      <c r="AJ222" t="s">
        <v>1394</v>
      </c>
      <c r="AK222">
        <v>481</v>
      </c>
      <c r="AL222">
        <v>11897</v>
      </c>
      <c r="AN222" t="s">
        <v>2066</v>
      </c>
      <c r="AO222" t="s">
        <v>2063</v>
      </c>
      <c r="BF222" t="s">
        <v>1053</v>
      </c>
      <c r="BG222" t="s">
        <v>235</v>
      </c>
      <c r="BH222" t="s">
        <v>1395</v>
      </c>
      <c r="BI222" t="s">
        <v>1053</v>
      </c>
      <c r="BJ222" t="s">
        <v>1053</v>
      </c>
      <c r="BK222" t="s">
        <v>1053</v>
      </c>
      <c r="BL222" t="s">
        <v>1053</v>
      </c>
      <c r="BM222" t="s">
        <v>3642</v>
      </c>
      <c r="BN222" t="s">
        <v>3643</v>
      </c>
      <c r="BO222" t="s">
        <v>1053</v>
      </c>
      <c r="BP222" t="s">
        <v>2375</v>
      </c>
      <c r="BQ222" t="s">
        <v>318</v>
      </c>
      <c r="BR222" t="s">
        <v>1053</v>
      </c>
      <c r="BS222" t="s">
        <v>1053</v>
      </c>
      <c r="BT222" t="s">
        <v>1053</v>
      </c>
      <c r="BU222" t="s">
        <v>1053</v>
      </c>
      <c r="BV222" t="s">
        <v>319</v>
      </c>
      <c r="BW222" t="s">
        <v>226</v>
      </c>
      <c r="BX222" t="str">
        <f>"S-----S 0700-1500; -MTWTF- 0600-1500"</f>
        <v>S-----S 0700-1500; -MTWTF- 0600-1500</v>
      </c>
      <c r="BY222" t="str">
        <f>""</f>
        <v/>
      </c>
      <c r="BZ222" t="str">
        <f>""</f>
        <v/>
      </c>
      <c r="CA222" t="str">
        <f>""</f>
        <v/>
      </c>
      <c r="CB222" t="str">
        <f>""</f>
        <v/>
      </c>
      <c r="CC222" t="str">
        <f>"S-----S 0700-1500; -MTWTF- 0600-1500"</f>
        <v>S-----S 0700-1500; -MTWTF- 0600-1500</v>
      </c>
      <c r="CD222" t="str">
        <f>""</f>
        <v/>
      </c>
      <c r="CE222" t="str">
        <f>""</f>
        <v/>
      </c>
      <c r="CF222" t="str">
        <f>""</f>
        <v/>
      </c>
      <c r="CG222" t="str">
        <f>""</f>
        <v/>
      </c>
      <c r="CH222" t="str">
        <f>""</f>
        <v/>
      </c>
    </row>
    <row r="223" spans="1:86" x14ac:dyDescent="0.25">
      <c r="A223" t="s">
        <v>1396</v>
      </c>
      <c r="B223" t="s">
        <v>1397</v>
      </c>
      <c r="C223" t="s">
        <v>1992</v>
      </c>
      <c r="D223" t="s">
        <v>2010</v>
      </c>
      <c r="E223" t="s">
        <v>1398</v>
      </c>
      <c r="H223" t="s">
        <v>1399</v>
      </c>
      <c r="I223" t="s">
        <v>2334</v>
      </c>
      <c r="J223" t="str">
        <f>"44035"</f>
        <v>44035</v>
      </c>
      <c r="K223" t="s">
        <v>1998</v>
      </c>
      <c r="L223" t="s">
        <v>1999</v>
      </c>
      <c r="M223" t="s">
        <v>2063</v>
      </c>
      <c r="N223" t="s">
        <v>1992</v>
      </c>
      <c r="O223" t="s">
        <v>1992</v>
      </c>
      <c r="P223" t="s">
        <v>1992</v>
      </c>
      <c r="Q223" t="s">
        <v>1992</v>
      </c>
      <c r="R223" t="s">
        <v>1992</v>
      </c>
      <c r="S223" t="s">
        <v>1992</v>
      </c>
      <c r="T223" t="s">
        <v>1992</v>
      </c>
      <c r="U223" t="s">
        <v>1992</v>
      </c>
      <c r="V223" t="s">
        <v>1991</v>
      </c>
      <c r="W223" t="s">
        <v>1991</v>
      </c>
      <c r="X223" t="s">
        <v>1992</v>
      </c>
      <c r="Y223" t="s">
        <v>1992</v>
      </c>
      <c r="Z223" t="s">
        <v>1992</v>
      </c>
      <c r="AF223" t="s">
        <v>2016</v>
      </c>
      <c r="AG223" t="s">
        <v>1991</v>
      </c>
      <c r="AH223">
        <v>30</v>
      </c>
      <c r="AI223">
        <v>30</v>
      </c>
      <c r="AJ223" t="s">
        <v>1400</v>
      </c>
      <c r="AK223">
        <v>728</v>
      </c>
      <c r="AL223">
        <v>56746</v>
      </c>
      <c r="AN223" t="s">
        <v>425</v>
      </c>
      <c r="AO223" t="s">
        <v>2311</v>
      </c>
      <c r="BF223" t="s">
        <v>1053</v>
      </c>
      <c r="BG223" t="s">
        <v>2097</v>
      </c>
      <c r="BH223" t="s">
        <v>2312</v>
      </c>
      <c r="BI223" t="s">
        <v>1053</v>
      </c>
      <c r="BJ223" t="s">
        <v>2069</v>
      </c>
      <c r="BK223" t="s">
        <v>1053</v>
      </c>
      <c r="BL223" t="s">
        <v>2069</v>
      </c>
      <c r="BM223" t="s">
        <v>2313</v>
      </c>
      <c r="BN223" t="s">
        <v>2314</v>
      </c>
      <c r="BO223" t="s">
        <v>1053</v>
      </c>
      <c r="BP223" t="s">
        <v>2315</v>
      </c>
      <c r="BQ223" t="s">
        <v>2316</v>
      </c>
      <c r="BR223" t="s">
        <v>1053</v>
      </c>
      <c r="BT223" t="s">
        <v>1053</v>
      </c>
      <c r="BX223" t="str">
        <f>"SMTWTFS 0200-0600"</f>
        <v>SMTWTFS 0200-0600</v>
      </c>
      <c r="BY223" t="str">
        <f>""</f>
        <v/>
      </c>
      <c r="BZ223" t="str">
        <f>""</f>
        <v/>
      </c>
      <c r="CA223" t="str">
        <f>""</f>
        <v/>
      </c>
      <c r="CB223" t="str">
        <f>""</f>
        <v/>
      </c>
      <c r="CC223" t="str">
        <f>""</f>
        <v/>
      </c>
      <c r="CD223" t="str">
        <f>""</f>
        <v/>
      </c>
      <c r="CE223" t="str">
        <f>""</f>
        <v/>
      </c>
      <c r="CF223" t="str">
        <f>""</f>
        <v/>
      </c>
      <c r="CG223" t="str">
        <f>""</f>
        <v/>
      </c>
      <c r="CH223" t="str">
        <f>""</f>
        <v/>
      </c>
    </row>
    <row r="224" spans="1:86" x14ac:dyDescent="0.25">
      <c r="A224" t="s">
        <v>1401</v>
      </c>
      <c r="B224" t="s">
        <v>1402</v>
      </c>
      <c r="C224" t="s">
        <v>1992</v>
      </c>
      <c r="D224" t="s">
        <v>1993</v>
      </c>
      <c r="E224" t="s">
        <v>1403</v>
      </c>
      <c r="F224" t="s">
        <v>1404</v>
      </c>
      <c r="H224" t="s">
        <v>1405</v>
      </c>
      <c r="I224" t="s">
        <v>2352</v>
      </c>
      <c r="J224" t="str">
        <f>"49829"</f>
        <v>49829</v>
      </c>
      <c r="K224" t="s">
        <v>1998</v>
      </c>
      <c r="L224" t="s">
        <v>1999</v>
      </c>
      <c r="M224" t="s">
        <v>2063</v>
      </c>
      <c r="N224" t="s">
        <v>1992</v>
      </c>
      <c r="O224" t="s">
        <v>1992</v>
      </c>
      <c r="P224" t="s">
        <v>1992</v>
      </c>
      <c r="Q224" t="s">
        <v>1992</v>
      </c>
      <c r="R224" t="s">
        <v>1992</v>
      </c>
      <c r="S224" t="s">
        <v>1992</v>
      </c>
      <c r="T224" t="s">
        <v>1992</v>
      </c>
      <c r="U224" t="s">
        <v>1992</v>
      </c>
      <c r="V224" t="s">
        <v>1991</v>
      </c>
      <c r="W224" t="s">
        <v>1992</v>
      </c>
      <c r="X224" t="s">
        <v>1992</v>
      </c>
      <c r="Y224" t="s">
        <v>1992</v>
      </c>
      <c r="Z224" t="s">
        <v>1991</v>
      </c>
      <c r="AA224" t="s">
        <v>1992</v>
      </c>
      <c r="AF224" t="s">
        <v>2016</v>
      </c>
      <c r="AG224" t="s">
        <v>1991</v>
      </c>
      <c r="AH224">
        <v>30</v>
      </c>
      <c r="AI224">
        <v>30</v>
      </c>
      <c r="AJ224" t="s">
        <v>1406</v>
      </c>
      <c r="AK224">
        <v>630</v>
      </c>
      <c r="AL224">
        <v>12575</v>
      </c>
      <c r="BF224" t="s">
        <v>1053</v>
      </c>
      <c r="BG224" t="s">
        <v>2003</v>
      </c>
      <c r="BH224" t="s">
        <v>2004</v>
      </c>
      <c r="BI224" t="s">
        <v>1053</v>
      </c>
      <c r="BK224" t="s">
        <v>1053</v>
      </c>
      <c r="BO224" t="s">
        <v>1053</v>
      </c>
      <c r="BP224" t="s">
        <v>2005</v>
      </c>
      <c r="BQ224" t="s">
        <v>2006</v>
      </c>
      <c r="BR224" t="s">
        <v>1053</v>
      </c>
      <c r="BS224" t="s">
        <v>1053</v>
      </c>
      <c r="BT224" t="s">
        <v>1053</v>
      </c>
      <c r="BU224" t="s">
        <v>1053</v>
      </c>
      <c r="BX224" t="str">
        <f>""</f>
        <v/>
      </c>
      <c r="BY224" t="str">
        <f>""</f>
        <v/>
      </c>
      <c r="BZ224" t="str">
        <f>""</f>
        <v/>
      </c>
      <c r="CA224" t="str">
        <f>""</f>
        <v/>
      </c>
      <c r="CB224" t="str">
        <f>""</f>
        <v/>
      </c>
      <c r="CC224" t="str">
        <f>""</f>
        <v/>
      </c>
      <c r="CD224" t="str">
        <f>""</f>
        <v/>
      </c>
      <c r="CE224" t="str">
        <f>""</f>
        <v/>
      </c>
      <c r="CF224" t="str">
        <f>""</f>
        <v/>
      </c>
      <c r="CG224" t="str">
        <f>""</f>
        <v/>
      </c>
      <c r="CH224" t="str">
        <f>""</f>
        <v/>
      </c>
    </row>
    <row r="225" spans="1:86" x14ac:dyDescent="0.25">
      <c r="A225" t="s">
        <v>1407</v>
      </c>
      <c r="B225" t="s">
        <v>1408</v>
      </c>
      <c r="C225" t="s">
        <v>1991</v>
      </c>
      <c r="D225" t="s">
        <v>2010</v>
      </c>
      <c r="E225" t="s">
        <v>1409</v>
      </c>
      <c r="H225" t="s">
        <v>1410</v>
      </c>
      <c r="I225" t="s">
        <v>2061</v>
      </c>
      <c r="J225" t="str">
        <f>"94608-2037"</f>
        <v>94608-2037</v>
      </c>
      <c r="K225" t="s">
        <v>1998</v>
      </c>
      <c r="L225" t="s">
        <v>2062</v>
      </c>
      <c r="M225" t="s">
        <v>1411</v>
      </c>
      <c r="N225" t="s">
        <v>1991</v>
      </c>
      <c r="O225" t="s">
        <v>1991</v>
      </c>
      <c r="P225" t="s">
        <v>1992</v>
      </c>
      <c r="Q225" t="s">
        <v>1991</v>
      </c>
      <c r="R225" t="s">
        <v>1991</v>
      </c>
      <c r="S225" t="s">
        <v>1992</v>
      </c>
      <c r="T225" t="s">
        <v>1992</v>
      </c>
      <c r="U225" t="s">
        <v>1991</v>
      </c>
      <c r="V225" t="s">
        <v>1991</v>
      </c>
      <c r="W225" t="s">
        <v>1991</v>
      </c>
      <c r="X225" t="s">
        <v>1992</v>
      </c>
      <c r="Y225" t="s">
        <v>1991</v>
      </c>
      <c r="Z225" t="s">
        <v>1992</v>
      </c>
      <c r="AA225" t="s">
        <v>1991</v>
      </c>
      <c r="AE225" t="s">
        <v>2047</v>
      </c>
      <c r="AF225" t="s">
        <v>2064</v>
      </c>
      <c r="AG225" t="s">
        <v>1991</v>
      </c>
      <c r="AH225">
        <v>60</v>
      </c>
      <c r="AI225">
        <v>45</v>
      </c>
      <c r="AJ225" t="s">
        <v>1412</v>
      </c>
      <c r="AK225">
        <v>14</v>
      </c>
      <c r="AL225">
        <v>8751</v>
      </c>
      <c r="AN225" t="s">
        <v>1053</v>
      </c>
      <c r="AO225" t="s">
        <v>1053</v>
      </c>
      <c r="AP225" t="s">
        <v>1053</v>
      </c>
      <c r="AQ225" t="s">
        <v>1053</v>
      </c>
      <c r="AR225" t="s">
        <v>1053</v>
      </c>
      <c r="AS225" t="s">
        <v>1407</v>
      </c>
      <c r="AT225" t="s">
        <v>1413</v>
      </c>
      <c r="AU225" t="s">
        <v>1414</v>
      </c>
      <c r="AV225" t="s">
        <v>1053</v>
      </c>
      <c r="AW225" t="s">
        <v>1053</v>
      </c>
      <c r="AX225" t="s">
        <v>1053</v>
      </c>
      <c r="AY225" t="s">
        <v>1053</v>
      </c>
      <c r="AZ225" t="s">
        <v>1407</v>
      </c>
      <c r="BA225" t="s">
        <v>1413</v>
      </c>
      <c r="BB225" t="s">
        <v>1053</v>
      </c>
      <c r="BC225" t="s">
        <v>1053</v>
      </c>
      <c r="BD225" t="s">
        <v>1053</v>
      </c>
      <c r="BE225" t="s">
        <v>1053</v>
      </c>
      <c r="BF225" t="s">
        <v>1053</v>
      </c>
      <c r="BG225" t="s">
        <v>2067</v>
      </c>
      <c r="BH225" t="s">
        <v>348</v>
      </c>
      <c r="BI225" t="s">
        <v>1053</v>
      </c>
      <c r="BO225" t="s">
        <v>1053</v>
      </c>
      <c r="BP225" t="s">
        <v>675</v>
      </c>
      <c r="BQ225" t="s">
        <v>2073</v>
      </c>
      <c r="BR225" t="s">
        <v>1053</v>
      </c>
      <c r="BS225" t="s">
        <v>1053</v>
      </c>
      <c r="BX225" t="str">
        <f>"SMTWTFS 0430-2300"</f>
        <v>SMTWTFS 0430-2300</v>
      </c>
      <c r="BY225" t="str">
        <f>"SMTWTFS 0615-2215"</f>
        <v>SMTWTFS 0615-2215</v>
      </c>
      <c r="BZ225" t="str">
        <f>"SMTWTFS 0430-2300"</f>
        <v>SMTWTFS 0430-2300</v>
      </c>
      <c r="CA225" t="str">
        <f>"SMTWTFS 0430-2250"</f>
        <v>SMTWTFS 0430-2250</v>
      </c>
      <c r="CB225" t="str">
        <f>""</f>
        <v/>
      </c>
      <c r="CC225" t="str">
        <f>"SMTWTFS 0430-2300"</f>
        <v>SMTWTFS 0430-2300</v>
      </c>
      <c r="CD225" t="str">
        <f>""</f>
        <v/>
      </c>
      <c r="CE225" t="str">
        <f>""</f>
        <v/>
      </c>
      <c r="CF225" t="str">
        <f>"SMTWTFS 0915-2030"</f>
        <v>SMTWTFS 0915-2030</v>
      </c>
      <c r="CG225" t="str">
        <f>""</f>
        <v/>
      </c>
      <c r="CH225" t="str">
        <f>"SMTWTFS 0001-2359"</f>
        <v>SMTWTFS 0001-2359</v>
      </c>
    </row>
    <row r="226" spans="1:86" x14ac:dyDescent="0.25">
      <c r="A226" t="s">
        <v>1415</v>
      </c>
      <c r="B226" t="s">
        <v>1416</v>
      </c>
      <c r="C226" t="s">
        <v>1992</v>
      </c>
      <c r="D226" t="s">
        <v>2028</v>
      </c>
      <c r="E226" t="s">
        <v>1417</v>
      </c>
      <c r="F226" t="s">
        <v>2285</v>
      </c>
      <c r="H226" t="s">
        <v>1418</v>
      </c>
      <c r="I226" t="s">
        <v>576</v>
      </c>
      <c r="J226" t="str">
        <f>"98823-2421"</f>
        <v>98823-2421</v>
      </c>
      <c r="K226" t="s">
        <v>1998</v>
      </c>
      <c r="L226" t="s">
        <v>231</v>
      </c>
      <c r="M226" t="s">
        <v>2000</v>
      </c>
      <c r="N226" t="s">
        <v>1992</v>
      </c>
      <c r="O226" t="s">
        <v>1992</v>
      </c>
      <c r="P226" t="s">
        <v>1992</v>
      </c>
      <c r="Q226" t="s">
        <v>1992</v>
      </c>
      <c r="R226" t="s">
        <v>1992</v>
      </c>
      <c r="S226" t="s">
        <v>1992</v>
      </c>
      <c r="T226" t="s">
        <v>1992</v>
      </c>
      <c r="U226" t="s">
        <v>1992</v>
      </c>
      <c r="V226" t="s">
        <v>1991</v>
      </c>
      <c r="W226" t="s">
        <v>1991</v>
      </c>
      <c r="Y226" t="s">
        <v>1992</v>
      </c>
      <c r="Z226" t="s">
        <v>1992</v>
      </c>
      <c r="AA226" t="s">
        <v>1991</v>
      </c>
      <c r="AF226" t="s">
        <v>2064</v>
      </c>
      <c r="AG226" t="s">
        <v>1991</v>
      </c>
      <c r="AH226">
        <v>30</v>
      </c>
      <c r="AI226">
        <v>30</v>
      </c>
      <c r="AJ226" t="s">
        <v>1419</v>
      </c>
      <c r="AK226">
        <v>1275</v>
      </c>
      <c r="AL226">
        <v>5359</v>
      </c>
      <c r="AM226" t="s">
        <v>1420</v>
      </c>
      <c r="AN226" t="s">
        <v>1421</v>
      </c>
      <c r="AO226" t="s">
        <v>1053</v>
      </c>
      <c r="BF226" t="s">
        <v>1053</v>
      </c>
      <c r="BG226" t="s">
        <v>2019</v>
      </c>
      <c r="BH226" t="s">
        <v>240</v>
      </c>
      <c r="BI226" t="s">
        <v>1053</v>
      </c>
      <c r="BJ226" t="s">
        <v>1053</v>
      </c>
      <c r="BK226" t="s">
        <v>1053</v>
      </c>
      <c r="BM226" t="s">
        <v>241</v>
      </c>
      <c r="BN226" t="s">
        <v>242</v>
      </c>
      <c r="BO226" t="s">
        <v>1053</v>
      </c>
      <c r="BP226" t="s">
        <v>1422</v>
      </c>
      <c r="BQ226" t="s">
        <v>240</v>
      </c>
      <c r="BR226" t="s">
        <v>1053</v>
      </c>
      <c r="BS226" t="s">
        <v>1053</v>
      </c>
      <c r="BT226" t="s">
        <v>1053</v>
      </c>
      <c r="BU226" t="s">
        <v>1053</v>
      </c>
      <c r="BV226" t="s">
        <v>241</v>
      </c>
      <c r="BW226" t="s">
        <v>242</v>
      </c>
      <c r="BX226" t="str">
        <f>"SMTWTFS 0330-0445 2045-2155"</f>
        <v>SMTWTFS 0330-0445 2045-2155</v>
      </c>
      <c r="BY226" t="str">
        <f>""</f>
        <v/>
      </c>
      <c r="BZ226" t="str">
        <f>""</f>
        <v/>
      </c>
      <c r="CA226" t="str">
        <f>""</f>
        <v/>
      </c>
      <c r="CB226" t="str">
        <f>""</f>
        <v/>
      </c>
      <c r="CC226" t="str">
        <f>""</f>
        <v/>
      </c>
      <c r="CD226" t="str">
        <f>""</f>
        <v/>
      </c>
      <c r="CE226" t="str">
        <f>""</f>
        <v/>
      </c>
      <c r="CF226" t="str">
        <f>""</f>
        <v/>
      </c>
      <c r="CG226" t="str">
        <f>""</f>
        <v/>
      </c>
      <c r="CH226" t="str">
        <f>""</f>
        <v/>
      </c>
    </row>
    <row r="227" spans="1:86" x14ac:dyDescent="0.25">
      <c r="A227" t="s">
        <v>1423</v>
      </c>
      <c r="B227" t="s">
        <v>1424</v>
      </c>
      <c r="C227" t="s">
        <v>1992</v>
      </c>
      <c r="D227" t="s">
        <v>1993</v>
      </c>
      <c r="E227" t="s">
        <v>1425</v>
      </c>
      <c r="F227" t="s">
        <v>1426</v>
      </c>
      <c r="H227" t="s">
        <v>1427</v>
      </c>
      <c r="I227" t="s">
        <v>2061</v>
      </c>
      <c r="J227" t="str">
        <f>"95318-0169"</f>
        <v>95318-0169</v>
      </c>
      <c r="K227" t="s">
        <v>1998</v>
      </c>
      <c r="L227" t="s">
        <v>2062</v>
      </c>
      <c r="M227" t="s">
        <v>2063</v>
      </c>
      <c r="N227" t="s">
        <v>1992</v>
      </c>
      <c r="O227" t="s">
        <v>1992</v>
      </c>
      <c r="P227" t="s">
        <v>1992</v>
      </c>
      <c r="Q227" t="s">
        <v>1992</v>
      </c>
      <c r="R227" t="s">
        <v>1992</v>
      </c>
      <c r="S227" t="s">
        <v>1992</v>
      </c>
      <c r="T227" t="s">
        <v>1992</v>
      </c>
      <c r="U227" t="s">
        <v>1992</v>
      </c>
      <c r="V227" t="s">
        <v>1991</v>
      </c>
      <c r="W227" t="s">
        <v>1992</v>
      </c>
      <c r="X227" t="s">
        <v>1992</v>
      </c>
      <c r="Y227" t="s">
        <v>1991</v>
      </c>
      <c r="Z227" t="s">
        <v>1991</v>
      </c>
      <c r="AF227" t="s">
        <v>2064</v>
      </c>
      <c r="AG227" t="s">
        <v>1991</v>
      </c>
      <c r="AH227">
        <v>30</v>
      </c>
      <c r="AI227">
        <v>30</v>
      </c>
      <c r="AJ227" t="s">
        <v>1428</v>
      </c>
      <c r="AK227">
        <v>2096</v>
      </c>
      <c r="AL227">
        <v>635</v>
      </c>
      <c r="AM227" t="s">
        <v>2298</v>
      </c>
      <c r="AN227" t="s">
        <v>308</v>
      </c>
      <c r="AO227" t="s">
        <v>2063</v>
      </c>
      <c r="BF227" t="s">
        <v>1053</v>
      </c>
      <c r="BG227" t="s">
        <v>309</v>
      </c>
      <c r="BH227" t="s">
        <v>2301</v>
      </c>
      <c r="BI227" t="s">
        <v>1053</v>
      </c>
      <c r="BK227" t="s">
        <v>1053</v>
      </c>
      <c r="BO227" t="s">
        <v>1053</v>
      </c>
      <c r="BP227" t="s">
        <v>518</v>
      </c>
      <c r="BQ227" t="s">
        <v>3820</v>
      </c>
      <c r="BR227" t="s">
        <v>1053</v>
      </c>
      <c r="BT227" t="s">
        <v>1053</v>
      </c>
      <c r="BV227" t="s">
        <v>2070</v>
      </c>
      <c r="BW227">
        <v>0</v>
      </c>
      <c r="BX227" t="str">
        <f>""</f>
        <v/>
      </c>
      <c r="BY227" t="str">
        <f>""</f>
        <v/>
      </c>
      <c r="BZ227" t="str">
        <f>""</f>
        <v/>
      </c>
      <c r="CA227" t="str">
        <f>""</f>
        <v/>
      </c>
      <c r="CB227" t="str">
        <f>""</f>
        <v/>
      </c>
      <c r="CC227" t="str">
        <f>""</f>
        <v/>
      </c>
      <c r="CD227" t="str">
        <f>""</f>
        <v/>
      </c>
      <c r="CE227" t="str">
        <f>""</f>
        <v/>
      </c>
      <c r="CF227" t="str">
        <f>""</f>
        <v/>
      </c>
      <c r="CG227" t="str">
        <f>""</f>
        <v/>
      </c>
      <c r="CH227" t="str">
        <f>""</f>
        <v/>
      </c>
    </row>
    <row r="228" spans="1:86" x14ac:dyDescent="0.25">
      <c r="A228" t="s">
        <v>1429</v>
      </c>
      <c r="B228" t="s">
        <v>1430</v>
      </c>
      <c r="C228" t="s">
        <v>1992</v>
      </c>
      <c r="D228" t="s">
        <v>1993</v>
      </c>
      <c r="E228" t="s">
        <v>1431</v>
      </c>
      <c r="F228" t="s">
        <v>1432</v>
      </c>
      <c r="H228" t="s">
        <v>1418</v>
      </c>
      <c r="I228" t="s">
        <v>576</v>
      </c>
      <c r="J228" t="str">
        <f>"98823-2151"</f>
        <v>98823-2151</v>
      </c>
      <c r="K228" t="s">
        <v>1998</v>
      </c>
      <c r="L228" t="s">
        <v>231</v>
      </c>
      <c r="M228" t="s">
        <v>2000</v>
      </c>
      <c r="N228" t="s">
        <v>1992</v>
      </c>
      <c r="O228" t="s">
        <v>1992</v>
      </c>
      <c r="P228" t="s">
        <v>1992</v>
      </c>
      <c r="Q228" t="s">
        <v>1992</v>
      </c>
      <c r="R228" t="s">
        <v>1992</v>
      </c>
      <c r="S228" t="s">
        <v>1992</v>
      </c>
      <c r="T228" t="s">
        <v>1992</v>
      </c>
      <c r="U228" t="s">
        <v>1992</v>
      </c>
      <c r="V228" t="s">
        <v>1991</v>
      </c>
      <c r="W228" t="s">
        <v>1992</v>
      </c>
      <c r="Z228" t="s">
        <v>1991</v>
      </c>
      <c r="AB228" t="s">
        <v>1433</v>
      </c>
      <c r="AE228" t="s">
        <v>1434</v>
      </c>
      <c r="AF228" t="s">
        <v>2064</v>
      </c>
      <c r="AG228" t="s">
        <v>1991</v>
      </c>
      <c r="AH228">
        <v>30</v>
      </c>
      <c r="AI228">
        <v>30</v>
      </c>
      <c r="AJ228" t="s">
        <v>1435</v>
      </c>
      <c r="AK228">
        <v>1250</v>
      </c>
      <c r="AM228" t="s">
        <v>1436</v>
      </c>
      <c r="BX228" t="str">
        <f>""</f>
        <v/>
      </c>
      <c r="BY228" t="str">
        <f>""</f>
        <v/>
      </c>
      <c r="BZ228" t="str">
        <f>""</f>
        <v/>
      </c>
      <c r="CA228" t="str">
        <f>""</f>
        <v/>
      </c>
      <c r="CB228" t="str">
        <f>""</f>
        <v/>
      </c>
      <c r="CC228" t="str">
        <f>""</f>
        <v/>
      </c>
      <c r="CD228" t="str">
        <f>""</f>
        <v/>
      </c>
      <c r="CE228" t="str">
        <f>""</f>
        <v/>
      </c>
      <c r="CF228" t="str">
        <f>""</f>
        <v/>
      </c>
      <c r="CG228" t="str">
        <f>""</f>
        <v/>
      </c>
      <c r="CH228" t="str">
        <f>""</f>
        <v/>
      </c>
    </row>
    <row r="229" spans="1:86" x14ac:dyDescent="0.25">
      <c r="A229" t="s">
        <v>1437</v>
      </c>
      <c r="B229" t="s">
        <v>1438</v>
      </c>
      <c r="C229" t="s">
        <v>1992</v>
      </c>
      <c r="D229" t="s">
        <v>2010</v>
      </c>
      <c r="E229" t="s">
        <v>1439</v>
      </c>
      <c r="H229" t="s">
        <v>1440</v>
      </c>
      <c r="I229" t="s">
        <v>2388</v>
      </c>
      <c r="J229" t="str">
        <f>"16501"</f>
        <v>16501</v>
      </c>
      <c r="K229" t="s">
        <v>1998</v>
      </c>
      <c r="L229" t="s">
        <v>2033</v>
      </c>
      <c r="M229" t="s">
        <v>2063</v>
      </c>
      <c r="N229" t="s">
        <v>1992</v>
      </c>
      <c r="O229" t="s">
        <v>1992</v>
      </c>
      <c r="P229" t="s">
        <v>1992</v>
      </c>
      <c r="Q229" t="s">
        <v>1992</v>
      </c>
      <c r="R229" t="s">
        <v>1992</v>
      </c>
      <c r="S229" t="s">
        <v>1992</v>
      </c>
      <c r="T229" t="s">
        <v>1992</v>
      </c>
      <c r="U229" t="s">
        <v>1992</v>
      </c>
      <c r="V229" t="s">
        <v>1991</v>
      </c>
      <c r="W229" t="s">
        <v>1991</v>
      </c>
      <c r="X229" t="s">
        <v>1992</v>
      </c>
      <c r="Y229" t="s">
        <v>1992</v>
      </c>
      <c r="Z229" t="s">
        <v>1992</v>
      </c>
      <c r="AF229" t="s">
        <v>2016</v>
      </c>
      <c r="AG229" t="s">
        <v>1991</v>
      </c>
      <c r="AH229">
        <v>30</v>
      </c>
      <c r="AI229">
        <v>30</v>
      </c>
      <c r="AJ229" t="s">
        <v>1441</v>
      </c>
      <c r="AK229">
        <v>688</v>
      </c>
      <c r="AL229">
        <v>110000</v>
      </c>
      <c r="AN229" t="s">
        <v>2066</v>
      </c>
      <c r="AO229" t="s">
        <v>2063</v>
      </c>
      <c r="AU229" t="s">
        <v>1442</v>
      </c>
      <c r="AV229" t="s">
        <v>1053</v>
      </c>
      <c r="BF229" t="s">
        <v>1053</v>
      </c>
      <c r="BG229" t="s">
        <v>2067</v>
      </c>
      <c r="BH229" t="s">
        <v>1443</v>
      </c>
      <c r="BI229" t="s">
        <v>1053</v>
      </c>
      <c r="BJ229" t="s">
        <v>2069</v>
      </c>
      <c r="BK229" t="s">
        <v>1053</v>
      </c>
      <c r="BL229" t="s">
        <v>2069</v>
      </c>
      <c r="BM229" t="s">
        <v>632</v>
      </c>
      <c r="BN229" t="s">
        <v>633</v>
      </c>
      <c r="BO229" t="s">
        <v>1053</v>
      </c>
      <c r="BP229" t="s">
        <v>634</v>
      </c>
      <c r="BQ229" t="s">
        <v>635</v>
      </c>
      <c r="BR229" t="s">
        <v>1053</v>
      </c>
      <c r="BV229" t="s">
        <v>1444</v>
      </c>
      <c r="BW229" t="s">
        <v>1069</v>
      </c>
      <c r="BX229" t="str">
        <f>"SMTWTFS 0001-0230 0500-0730"</f>
        <v>SMTWTFS 0001-0230 0500-0730</v>
      </c>
      <c r="BY229" t="str">
        <f>""</f>
        <v/>
      </c>
      <c r="BZ229" t="str">
        <f>""</f>
        <v/>
      </c>
      <c r="CA229" t="str">
        <f>""</f>
        <v/>
      </c>
      <c r="CB229" t="str">
        <f>""</f>
        <v/>
      </c>
      <c r="CC229" t="str">
        <f>""</f>
        <v/>
      </c>
      <c r="CD229" t="str">
        <f>""</f>
        <v/>
      </c>
      <c r="CE229" t="str">
        <f>""</f>
        <v/>
      </c>
      <c r="CF229" t="str">
        <f>""</f>
        <v/>
      </c>
      <c r="CG229" t="str">
        <f>""</f>
        <v/>
      </c>
      <c r="CH229" t="str">
        <f>""</f>
        <v/>
      </c>
    </row>
    <row r="230" spans="1:86" x14ac:dyDescent="0.25">
      <c r="A230" t="s">
        <v>1445</v>
      </c>
      <c r="B230" t="s">
        <v>1446</v>
      </c>
      <c r="C230" t="s">
        <v>1992</v>
      </c>
      <c r="D230" t="s">
        <v>1993</v>
      </c>
      <c r="E230" t="s">
        <v>1447</v>
      </c>
      <c r="F230" t="s">
        <v>1448</v>
      </c>
      <c r="H230" t="s">
        <v>1449</v>
      </c>
      <c r="I230" t="s">
        <v>2061</v>
      </c>
      <c r="J230" t="str">
        <f>"90245"</f>
        <v>90245</v>
      </c>
      <c r="K230" t="s">
        <v>1998</v>
      </c>
      <c r="L230" t="s">
        <v>2045</v>
      </c>
      <c r="M230" t="s">
        <v>2311</v>
      </c>
      <c r="N230" t="s">
        <v>1992</v>
      </c>
      <c r="O230" t="s">
        <v>1992</v>
      </c>
      <c r="P230" t="s">
        <v>1992</v>
      </c>
      <c r="Q230" t="s">
        <v>1992</v>
      </c>
      <c r="R230" t="s">
        <v>1992</v>
      </c>
      <c r="S230" t="s">
        <v>1992</v>
      </c>
      <c r="T230" t="s">
        <v>1992</v>
      </c>
      <c r="U230" t="s">
        <v>1992</v>
      </c>
      <c r="V230" t="s">
        <v>1991</v>
      </c>
      <c r="Y230" t="s">
        <v>1991</v>
      </c>
      <c r="AF230" t="s">
        <v>2064</v>
      </c>
      <c r="AG230" t="s">
        <v>1991</v>
      </c>
      <c r="AH230">
        <v>15</v>
      </c>
      <c r="AI230">
        <v>15</v>
      </c>
      <c r="AJ230" t="s">
        <v>1450</v>
      </c>
      <c r="AK230">
        <v>90</v>
      </c>
      <c r="AN230" t="s">
        <v>308</v>
      </c>
      <c r="AO230" t="s">
        <v>2063</v>
      </c>
      <c r="BF230" t="s">
        <v>1053</v>
      </c>
      <c r="BG230" t="s">
        <v>309</v>
      </c>
      <c r="BH230" t="s">
        <v>2301</v>
      </c>
      <c r="BI230" t="s">
        <v>1053</v>
      </c>
      <c r="BK230" t="s">
        <v>1053</v>
      </c>
      <c r="BO230" t="s">
        <v>1053</v>
      </c>
      <c r="BP230" t="s">
        <v>2067</v>
      </c>
      <c r="BQ230" t="s">
        <v>311</v>
      </c>
      <c r="BR230" t="s">
        <v>1053</v>
      </c>
      <c r="BT230" t="s">
        <v>1053</v>
      </c>
      <c r="BX230" t="str">
        <f>""</f>
        <v/>
      </c>
      <c r="BY230" t="str">
        <f>""</f>
        <v/>
      </c>
      <c r="BZ230" t="str">
        <f>""</f>
        <v/>
      </c>
      <c r="CA230" t="str">
        <f>""</f>
        <v/>
      </c>
      <c r="CB230" t="str">
        <f>""</f>
        <v/>
      </c>
      <c r="CC230" t="str">
        <f>""</f>
        <v/>
      </c>
      <c r="CD230" t="str">
        <f>""</f>
        <v/>
      </c>
      <c r="CE230" t="str">
        <f>""</f>
        <v/>
      </c>
      <c r="CF230" t="str">
        <f>""</f>
        <v/>
      </c>
      <c r="CG230" t="str">
        <f>""</f>
        <v/>
      </c>
      <c r="CH230" t="str">
        <f>""</f>
        <v/>
      </c>
    </row>
    <row r="231" spans="1:86" x14ac:dyDescent="0.25">
      <c r="A231" t="s">
        <v>1451</v>
      </c>
      <c r="B231" t="s">
        <v>1452</v>
      </c>
      <c r="C231" t="s">
        <v>1992</v>
      </c>
      <c r="D231" t="s">
        <v>2331</v>
      </c>
      <c r="E231" t="s">
        <v>1453</v>
      </c>
      <c r="F231" t="s">
        <v>1454</v>
      </c>
      <c r="H231" t="s">
        <v>1455</v>
      </c>
      <c r="I231" t="s">
        <v>803</v>
      </c>
      <c r="J231" t="str">
        <f>"59916-9710"</f>
        <v>59916-9710</v>
      </c>
      <c r="K231" t="s">
        <v>1998</v>
      </c>
      <c r="L231" t="s">
        <v>231</v>
      </c>
      <c r="M231" t="s">
        <v>2063</v>
      </c>
      <c r="N231" t="s">
        <v>1992</v>
      </c>
      <c r="O231" t="s">
        <v>1992</v>
      </c>
      <c r="P231" t="s">
        <v>1992</v>
      </c>
      <c r="Q231" t="s">
        <v>1992</v>
      </c>
      <c r="R231" t="s">
        <v>1992</v>
      </c>
      <c r="S231" t="s">
        <v>1992</v>
      </c>
      <c r="T231" t="s">
        <v>1992</v>
      </c>
      <c r="U231" t="s">
        <v>1992</v>
      </c>
      <c r="V231" t="s">
        <v>1991</v>
      </c>
      <c r="W231" t="s">
        <v>1991</v>
      </c>
      <c r="X231" t="s">
        <v>1992</v>
      </c>
      <c r="Y231" t="s">
        <v>1992</v>
      </c>
      <c r="Z231" t="s">
        <v>1992</v>
      </c>
      <c r="AA231" t="s">
        <v>1992</v>
      </c>
      <c r="AF231" t="s">
        <v>2048</v>
      </c>
      <c r="AG231" t="s">
        <v>1991</v>
      </c>
      <c r="AH231">
        <v>30</v>
      </c>
      <c r="AI231">
        <v>30</v>
      </c>
      <c r="AJ231" t="s">
        <v>1456</v>
      </c>
      <c r="AK231">
        <v>3908</v>
      </c>
      <c r="AL231">
        <v>10</v>
      </c>
      <c r="AM231" t="s">
        <v>1457</v>
      </c>
      <c r="AN231" t="s">
        <v>1458</v>
      </c>
      <c r="AO231" t="s">
        <v>2063</v>
      </c>
      <c r="BF231" t="s">
        <v>1053</v>
      </c>
      <c r="BG231" t="s">
        <v>1459</v>
      </c>
      <c r="BH231" t="s">
        <v>240</v>
      </c>
      <c r="BI231" t="s">
        <v>1053</v>
      </c>
      <c r="BJ231" t="s">
        <v>1053</v>
      </c>
      <c r="BK231" t="s">
        <v>1053</v>
      </c>
      <c r="BM231" t="s">
        <v>241</v>
      </c>
      <c r="BN231" t="s">
        <v>242</v>
      </c>
      <c r="BO231" t="s">
        <v>1053</v>
      </c>
      <c r="BP231" t="s">
        <v>239</v>
      </c>
      <c r="BQ231" t="s">
        <v>240</v>
      </c>
      <c r="BR231" t="s">
        <v>1053</v>
      </c>
      <c r="BS231" t="s">
        <v>1053</v>
      </c>
      <c r="BT231" t="s">
        <v>1053</v>
      </c>
      <c r="BU231" t="s">
        <v>1053</v>
      </c>
      <c r="BV231" t="s">
        <v>241</v>
      </c>
      <c r="BW231" t="s">
        <v>242</v>
      </c>
      <c r="BX231" t="str">
        <f>""</f>
        <v/>
      </c>
      <c r="BY231" t="str">
        <f>""</f>
        <v/>
      </c>
      <c r="BZ231" t="str">
        <f>""</f>
        <v/>
      </c>
      <c r="CA231" t="str">
        <f>""</f>
        <v/>
      </c>
      <c r="CB231" t="str">
        <f>""</f>
        <v/>
      </c>
      <c r="CC231" t="str">
        <f>""</f>
        <v/>
      </c>
      <c r="CD231" t="str">
        <f>""</f>
        <v/>
      </c>
      <c r="CE231" t="str">
        <f>""</f>
        <v/>
      </c>
      <c r="CF231" t="str">
        <f>""</f>
        <v/>
      </c>
      <c r="CG231" t="str">
        <f>""</f>
        <v/>
      </c>
      <c r="CH231" t="str">
        <f>""</f>
        <v/>
      </c>
    </row>
    <row r="232" spans="1:86" x14ac:dyDescent="0.25">
      <c r="A232" t="s">
        <v>1460</v>
      </c>
      <c r="B232" t="s">
        <v>1461</v>
      </c>
      <c r="C232" t="s">
        <v>1992</v>
      </c>
      <c r="D232" t="s">
        <v>1993</v>
      </c>
      <c r="E232" t="s">
        <v>1462</v>
      </c>
      <c r="F232" t="s">
        <v>1463</v>
      </c>
      <c r="H232" t="s">
        <v>1464</v>
      </c>
      <c r="I232" t="s">
        <v>2014</v>
      </c>
      <c r="J232" t="str">
        <f>"21601"</f>
        <v>21601</v>
      </c>
      <c r="K232" t="s">
        <v>1998</v>
      </c>
      <c r="L232" t="s">
        <v>2015</v>
      </c>
      <c r="M232" t="s">
        <v>1465</v>
      </c>
      <c r="N232" t="s">
        <v>1992</v>
      </c>
      <c r="O232" t="s">
        <v>1992</v>
      </c>
      <c r="P232" t="s">
        <v>1992</v>
      </c>
      <c r="Q232" t="s">
        <v>1992</v>
      </c>
      <c r="R232" t="s">
        <v>1992</v>
      </c>
      <c r="S232" t="s">
        <v>1992</v>
      </c>
      <c r="T232" t="s">
        <v>1992</v>
      </c>
      <c r="U232" t="s">
        <v>1992</v>
      </c>
      <c r="V232" t="s">
        <v>1991</v>
      </c>
      <c r="Z232" t="s">
        <v>1991</v>
      </c>
      <c r="AF232" t="s">
        <v>2016</v>
      </c>
      <c r="AG232" t="s">
        <v>1991</v>
      </c>
      <c r="AH232">
        <v>15</v>
      </c>
      <c r="AI232">
        <v>15</v>
      </c>
      <c r="AJ232" t="s">
        <v>1466</v>
      </c>
      <c r="AK232">
        <v>70</v>
      </c>
      <c r="BX232" t="str">
        <f>""</f>
        <v/>
      </c>
      <c r="BY232" t="str">
        <f>""</f>
        <v/>
      </c>
      <c r="BZ232" t="str">
        <f>""</f>
        <v/>
      </c>
      <c r="CA232" t="str">
        <f>""</f>
        <v/>
      </c>
      <c r="CB232" t="str">
        <f>""</f>
        <v/>
      </c>
      <c r="CC232" t="str">
        <f>""</f>
        <v/>
      </c>
      <c r="CD232" t="str">
        <f>""</f>
        <v/>
      </c>
      <c r="CE232" t="str">
        <f>""</f>
        <v/>
      </c>
      <c r="CF232" t="str">
        <f>""</f>
        <v/>
      </c>
      <c r="CG232" t="str">
        <f>""</f>
        <v/>
      </c>
      <c r="CH232" t="str">
        <f>""</f>
        <v/>
      </c>
    </row>
    <row r="233" spans="1:86" x14ac:dyDescent="0.25">
      <c r="A233" t="s">
        <v>1467</v>
      </c>
      <c r="B233" t="s">
        <v>1468</v>
      </c>
      <c r="C233" t="s">
        <v>1992</v>
      </c>
      <c r="D233" t="s">
        <v>2010</v>
      </c>
      <c r="E233" t="s">
        <v>1469</v>
      </c>
      <c r="H233" t="s">
        <v>1470</v>
      </c>
      <c r="I233" t="s">
        <v>680</v>
      </c>
      <c r="J233" t="str">
        <f>"05452"</f>
        <v>05452</v>
      </c>
      <c r="K233" t="s">
        <v>1998</v>
      </c>
      <c r="L233" t="s">
        <v>2033</v>
      </c>
      <c r="M233" t="s">
        <v>1471</v>
      </c>
      <c r="N233" t="s">
        <v>1992</v>
      </c>
      <c r="O233" t="s">
        <v>1992</v>
      </c>
      <c r="P233" t="s">
        <v>1992</v>
      </c>
      <c r="Q233" t="s">
        <v>1992</v>
      </c>
      <c r="R233" t="s">
        <v>1992</v>
      </c>
      <c r="S233" t="s">
        <v>1992</v>
      </c>
      <c r="T233" t="s">
        <v>1992</v>
      </c>
      <c r="U233" t="s">
        <v>1992</v>
      </c>
      <c r="V233" t="s">
        <v>1991</v>
      </c>
      <c r="W233" t="s">
        <v>1991</v>
      </c>
      <c r="X233" t="s">
        <v>1992</v>
      </c>
      <c r="Y233" t="s">
        <v>1992</v>
      </c>
      <c r="Z233" t="s">
        <v>1992</v>
      </c>
      <c r="AF233" t="s">
        <v>2016</v>
      </c>
      <c r="AG233" t="s">
        <v>1991</v>
      </c>
      <c r="AH233">
        <v>30</v>
      </c>
      <c r="AI233">
        <v>30</v>
      </c>
      <c r="AJ233" t="s">
        <v>1472</v>
      </c>
      <c r="AK233">
        <v>355</v>
      </c>
      <c r="AL233">
        <v>19264</v>
      </c>
      <c r="AM233" t="s">
        <v>773</v>
      </c>
      <c r="AN233" t="s">
        <v>2066</v>
      </c>
      <c r="AO233" t="s">
        <v>2063</v>
      </c>
      <c r="BF233" t="s">
        <v>1053</v>
      </c>
      <c r="BG233" t="s">
        <v>1473</v>
      </c>
      <c r="BH233" t="s">
        <v>250</v>
      </c>
      <c r="BI233" t="s">
        <v>1053</v>
      </c>
      <c r="BJ233" t="s">
        <v>1053</v>
      </c>
      <c r="BK233" t="s">
        <v>1053</v>
      </c>
      <c r="BL233" t="s">
        <v>1053</v>
      </c>
      <c r="BM233" t="s">
        <v>251</v>
      </c>
      <c r="BN233" t="s">
        <v>252</v>
      </c>
      <c r="BO233" t="s">
        <v>1053</v>
      </c>
      <c r="BP233" t="s">
        <v>467</v>
      </c>
      <c r="BQ233" t="s">
        <v>254</v>
      </c>
      <c r="BR233" t="s">
        <v>1053</v>
      </c>
      <c r="BS233" t="s">
        <v>1053</v>
      </c>
      <c r="BT233" t="s">
        <v>1053</v>
      </c>
      <c r="BU233" t="s">
        <v>1053</v>
      </c>
      <c r="BV233" t="s">
        <v>255</v>
      </c>
      <c r="BW233" t="s">
        <v>256</v>
      </c>
      <c r="BX233" t="str">
        <f>"SMTWTFS 0800-1000 1944-2144"</f>
        <v>SMTWTFS 0800-1000 1944-2144</v>
      </c>
      <c r="BY233" t="str">
        <f>""</f>
        <v/>
      </c>
      <c r="BZ233" t="str">
        <f>""</f>
        <v/>
      </c>
      <c r="CA233" t="str">
        <f>""</f>
        <v/>
      </c>
      <c r="CB233" t="str">
        <f>""</f>
        <v/>
      </c>
      <c r="CC233" t="str">
        <f>""</f>
        <v/>
      </c>
      <c r="CD233" t="str">
        <f>""</f>
        <v/>
      </c>
      <c r="CE233" t="str">
        <f>""</f>
        <v/>
      </c>
      <c r="CF233" t="str">
        <f>""</f>
        <v/>
      </c>
      <c r="CG233" t="str">
        <f>""</f>
        <v/>
      </c>
      <c r="CH233" t="str">
        <f>""</f>
        <v/>
      </c>
    </row>
    <row r="234" spans="1:86" x14ac:dyDescent="0.25">
      <c r="A234" t="s">
        <v>1474</v>
      </c>
      <c r="B234" t="s">
        <v>1475</v>
      </c>
      <c r="C234" t="s">
        <v>1992</v>
      </c>
      <c r="D234" t="s">
        <v>1993</v>
      </c>
      <c r="E234" t="s">
        <v>1476</v>
      </c>
      <c r="F234" t="s">
        <v>1477</v>
      </c>
      <c r="H234" t="s">
        <v>1478</v>
      </c>
      <c r="I234" t="s">
        <v>1997</v>
      </c>
      <c r="J234" t="str">
        <f>"54701"</f>
        <v>54701</v>
      </c>
      <c r="K234" t="s">
        <v>1998</v>
      </c>
      <c r="L234" t="s">
        <v>1999</v>
      </c>
      <c r="M234" t="s">
        <v>2000</v>
      </c>
      <c r="N234" t="s">
        <v>1992</v>
      </c>
      <c r="O234" t="s">
        <v>1992</v>
      </c>
      <c r="P234" t="s">
        <v>1992</v>
      </c>
      <c r="Q234" t="s">
        <v>1992</v>
      </c>
      <c r="R234" t="s">
        <v>1992</v>
      </c>
      <c r="S234" t="s">
        <v>1992</v>
      </c>
      <c r="T234" t="s">
        <v>1992</v>
      </c>
      <c r="U234" t="s">
        <v>1992</v>
      </c>
      <c r="V234" t="s">
        <v>1991</v>
      </c>
      <c r="W234" t="s">
        <v>1992</v>
      </c>
      <c r="X234" t="s">
        <v>1992</v>
      </c>
      <c r="Y234" t="s">
        <v>1992</v>
      </c>
      <c r="Z234" t="s">
        <v>1991</v>
      </c>
      <c r="AF234" t="s">
        <v>2001</v>
      </c>
      <c r="AG234" t="s">
        <v>1991</v>
      </c>
      <c r="AH234">
        <v>30</v>
      </c>
      <c r="AI234">
        <v>30</v>
      </c>
      <c r="AJ234" t="s">
        <v>1479</v>
      </c>
      <c r="AK234">
        <v>786</v>
      </c>
      <c r="AL234">
        <v>56161</v>
      </c>
      <c r="BF234" t="s">
        <v>1053</v>
      </c>
      <c r="BG234" t="s">
        <v>2003</v>
      </c>
      <c r="BH234" t="s">
        <v>2004</v>
      </c>
      <c r="BI234" t="s">
        <v>1053</v>
      </c>
      <c r="BK234" t="s">
        <v>1053</v>
      </c>
      <c r="BM234" t="s">
        <v>287</v>
      </c>
      <c r="BO234" t="s">
        <v>1053</v>
      </c>
      <c r="BP234" t="s">
        <v>1480</v>
      </c>
      <c r="BQ234" t="s">
        <v>2006</v>
      </c>
      <c r="BR234" t="s">
        <v>1053</v>
      </c>
      <c r="BS234" t="s">
        <v>1053</v>
      </c>
      <c r="BT234" t="s">
        <v>1053</v>
      </c>
      <c r="BU234" t="s">
        <v>1053</v>
      </c>
      <c r="BX234" t="str">
        <f>""</f>
        <v/>
      </c>
      <c r="BY234" t="str">
        <f>""</f>
        <v/>
      </c>
      <c r="BZ234" t="str">
        <f>""</f>
        <v/>
      </c>
      <c r="CA234" t="str">
        <f>""</f>
        <v/>
      </c>
      <c r="CB234" t="str">
        <f>""</f>
        <v/>
      </c>
      <c r="CC234" t="str">
        <f>""</f>
        <v/>
      </c>
      <c r="CD234" t="str">
        <f>""</f>
        <v/>
      </c>
      <c r="CE234" t="str">
        <f>""</f>
        <v/>
      </c>
      <c r="CF234" t="str">
        <f>""</f>
        <v/>
      </c>
      <c r="CG234" t="str">
        <f>""</f>
        <v/>
      </c>
      <c r="CH234" t="str">
        <f>""</f>
        <v/>
      </c>
    </row>
    <row r="235" spans="1:86" x14ac:dyDescent="0.25">
      <c r="A235" t="s">
        <v>1481</v>
      </c>
      <c r="B235" t="s">
        <v>1482</v>
      </c>
      <c r="C235" t="s">
        <v>1991</v>
      </c>
      <c r="D235" t="s">
        <v>2010</v>
      </c>
      <c r="E235" t="s">
        <v>1483</v>
      </c>
      <c r="H235" t="s">
        <v>1484</v>
      </c>
      <c r="I235" t="s">
        <v>2295</v>
      </c>
      <c r="J235" t="str">
        <f>"97401-2613"</f>
        <v>97401-2613</v>
      </c>
      <c r="K235" t="s">
        <v>1998</v>
      </c>
      <c r="L235" t="s">
        <v>231</v>
      </c>
      <c r="M235" t="s">
        <v>1485</v>
      </c>
      <c r="N235" t="s">
        <v>1991</v>
      </c>
      <c r="O235" t="s">
        <v>1991</v>
      </c>
      <c r="P235" t="s">
        <v>1992</v>
      </c>
      <c r="Q235" t="s">
        <v>1991</v>
      </c>
      <c r="R235" t="s">
        <v>1991</v>
      </c>
      <c r="S235" t="s">
        <v>1992</v>
      </c>
      <c r="T235" t="s">
        <v>1992</v>
      </c>
      <c r="U235" t="s">
        <v>1991</v>
      </c>
      <c r="V235" t="s">
        <v>1991</v>
      </c>
      <c r="W235" t="s">
        <v>1991</v>
      </c>
      <c r="X235" t="s">
        <v>1992</v>
      </c>
      <c r="Y235" t="s">
        <v>1991</v>
      </c>
      <c r="Z235" t="s">
        <v>1991</v>
      </c>
      <c r="AA235" t="s">
        <v>1992</v>
      </c>
      <c r="AE235" t="s">
        <v>2047</v>
      </c>
      <c r="AF235" t="s">
        <v>2064</v>
      </c>
      <c r="AG235" t="s">
        <v>1991</v>
      </c>
      <c r="AH235">
        <v>45</v>
      </c>
      <c r="AI235">
        <v>30</v>
      </c>
      <c r="AJ235" t="s">
        <v>1486</v>
      </c>
      <c r="AK235">
        <v>429</v>
      </c>
      <c r="AL235">
        <v>146356</v>
      </c>
      <c r="AN235" t="s">
        <v>1053</v>
      </c>
      <c r="AO235" t="s">
        <v>1053</v>
      </c>
      <c r="AP235" t="s">
        <v>2069</v>
      </c>
      <c r="AQ235" t="s">
        <v>1053</v>
      </c>
      <c r="AR235" t="s">
        <v>2069</v>
      </c>
      <c r="AS235" t="s">
        <v>1481</v>
      </c>
      <c r="AT235" t="s">
        <v>1487</v>
      </c>
      <c r="AU235" t="s">
        <v>1053</v>
      </c>
      <c r="AV235" t="s">
        <v>1053</v>
      </c>
      <c r="AW235" t="s">
        <v>2069</v>
      </c>
      <c r="AX235" t="s">
        <v>1053</v>
      </c>
      <c r="AY235" t="s">
        <v>2069</v>
      </c>
      <c r="AZ235" t="s">
        <v>1481</v>
      </c>
      <c r="BA235" t="s">
        <v>1487</v>
      </c>
      <c r="BB235" t="s">
        <v>1053</v>
      </c>
      <c r="BC235" t="s">
        <v>2069</v>
      </c>
      <c r="BD235" t="s">
        <v>1053</v>
      </c>
      <c r="BE235" t="s">
        <v>2069</v>
      </c>
      <c r="BF235" t="s">
        <v>1053</v>
      </c>
      <c r="BG235" t="s">
        <v>349</v>
      </c>
      <c r="BH235" t="s">
        <v>1488</v>
      </c>
      <c r="BI235" t="s">
        <v>1053</v>
      </c>
      <c r="BJ235" t="s">
        <v>1053</v>
      </c>
      <c r="BK235" t="s">
        <v>1053</v>
      </c>
      <c r="BL235" t="s">
        <v>1053</v>
      </c>
      <c r="BM235" t="s">
        <v>237</v>
      </c>
      <c r="BN235" t="s">
        <v>238</v>
      </c>
      <c r="BO235" t="s">
        <v>1053</v>
      </c>
      <c r="BP235" t="s">
        <v>239</v>
      </c>
      <c r="BQ235" t="s">
        <v>240</v>
      </c>
      <c r="BR235" t="s">
        <v>1053</v>
      </c>
      <c r="BS235" t="s">
        <v>1053</v>
      </c>
      <c r="BT235" t="s">
        <v>1053</v>
      </c>
      <c r="BU235" t="s">
        <v>1053</v>
      </c>
      <c r="BV235" t="s">
        <v>241</v>
      </c>
      <c r="BW235" t="s">
        <v>242</v>
      </c>
      <c r="BX235" t="str">
        <f>"SMTWTFS 0000-0045 0430-2100 2300-2359"</f>
        <v>SMTWTFS 0000-0045 0430-2100 2300-2359</v>
      </c>
      <c r="BY235" t="str">
        <f>"SMTWTFS 0430-2100"</f>
        <v>SMTWTFS 0430-2100</v>
      </c>
      <c r="BZ235" t="str">
        <f>"SMTWTFS 0430-2100"</f>
        <v>SMTWTFS 0430-2100</v>
      </c>
      <c r="CA235" t="str">
        <f>"SMTWTFS 0430-2100"</f>
        <v>SMTWTFS 0430-2100</v>
      </c>
      <c r="CB235" t="str">
        <f>""</f>
        <v/>
      </c>
      <c r="CC235" t="str">
        <f>"SMTWTFS 0430-2100 2300-2359"</f>
        <v>SMTWTFS 0430-2100 2300-2359</v>
      </c>
      <c r="CD235" t="str">
        <f>""</f>
        <v/>
      </c>
      <c r="CE235" t="str">
        <f>""</f>
        <v/>
      </c>
      <c r="CF235" t="str">
        <f>"SMTWTFS 0700-1800"</f>
        <v>SMTWTFS 0700-1800</v>
      </c>
      <c r="CG235" t="str">
        <f>""</f>
        <v/>
      </c>
      <c r="CH235" t="str">
        <f>""</f>
        <v/>
      </c>
    </row>
    <row r="236" spans="1:86" x14ac:dyDescent="0.25">
      <c r="A236" t="s">
        <v>1489</v>
      </c>
      <c r="B236" t="s">
        <v>1490</v>
      </c>
      <c r="C236" t="s">
        <v>1992</v>
      </c>
      <c r="D236" t="s">
        <v>1993</v>
      </c>
      <c r="E236" t="s">
        <v>1491</v>
      </c>
      <c r="F236" t="s">
        <v>1492</v>
      </c>
      <c r="H236" t="s">
        <v>1484</v>
      </c>
      <c r="I236" t="s">
        <v>2295</v>
      </c>
      <c r="J236" t="str">
        <f>"97402"</f>
        <v>97402</v>
      </c>
      <c r="K236" t="s">
        <v>1998</v>
      </c>
      <c r="L236" t="s">
        <v>231</v>
      </c>
      <c r="M236" t="s">
        <v>2063</v>
      </c>
      <c r="N236" t="s">
        <v>1992</v>
      </c>
      <c r="O236" t="s">
        <v>1992</v>
      </c>
      <c r="P236" t="s">
        <v>1992</v>
      </c>
      <c r="Q236" t="s">
        <v>1992</v>
      </c>
      <c r="R236" t="s">
        <v>1992</v>
      </c>
      <c r="S236" t="s">
        <v>1992</v>
      </c>
      <c r="T236" t="s">
        <v>1992</v>
      </c>
      <c r="U236" t="s">
        <v>1992</v>
      </c>
      <c r="V236" t="s">
        <v>1991</v>
      </c>
      <c r="W236" t="s">
        <v>1992</v>
      </c>
      <c r="X236" t="s">
        <v>1992</v>
      </c>
      <c r="Y236" t="s">
        <v>1991</v>
      </c>
      <c r="Z236" t="s">
        <v>1992</v>
      </c>
      <c r="AF236" t="s">
        <v>2064</v>
      </c>
      <c r="AG236" t="s">
        <v>1991</v>
      </c>
      <c r="AH236">
        <v>15</v>
      </c>
      <c r="AI236">
        <v>15</v>
      </c>
      <c r="AJ236" t="s">
        <v>1493</v>
      </c>
      <c r="AK236">
        <v>464</v>
      </c>
      <c r="AL236">
        <v>146356</v>
      </c>
      <c r="BX236" t="str">
        <f>""</f>
        <v/>
      </c>
      <c r="BY236" t="str">
        <f>""</f>
        <v/>
      </c>
      <c r="BZ236" t="str">
        <f>""</f>
        <v/>
      </c>
      <c r="CA236" t="str">
        <f>""</f>
        <v/>
      </c>
      <c r="CB236" t="str">
        <f>""</f>
        <v/>
      </c>
      <c r="CC236" t="str">
        <f>""</f>
        <v/>
      </c>
      <c r="CD236" t="str">
        <f>""</f>
        <v/>
      </c>
      <c r="CE236" t="str">
        <f>""</f>
        <v/>
      </c>
      <c r="CF236" t="str">
        <f>""</f>
        <v/>
      </c>
      <c r="CG236" t="str">
        <f>""</f>
        <v/>
      </c>
      <c r="CH236" t="str">
        <f>""</f>
        <v/>
      </c>
    </row>
    <row r="237" spans="1:86" x14ac:dyDescent="0.25">
      <c r="A237" t="s">
        <v>1494</v>
      </c>
      <c r="B237" t="s">
        <v>1495</v>
      </c>
      <c r="C237" t="s">
        <v>1991</v>
      </c>
      <c r="D237" t="s">
        <v>2010</v>
      </c>
      <c r="E237" t="s">
        <v>1496</v>
      </c>
      <c r="H237" t="s">
        <v>1497</v>
      </c>
      <c r="I237" t="s">
        <v>576</v>
      </c>
      <c r="J237" t="str">
        <f>"98201"</f>
        <v>98201</v>
      </c>
      <c r="K237" t="s">
        <v>1998</v>
      </c>
      <c r="L237" t="s">
        <v>231</v>
      </c>
      <c r="M237" t="s">
        <v>1498</v>
      </c>
      <c r="N237" t="s">
        <v>1991</v>
      </c>
      <c r="O237" t="s">
        <v>1991</v>
      </c>
      <c r="P237" t="s">
        <v>1992</v>
      </c>
      <c r="Q237" t="s">
        <v>1991</v>
      </c>
      <c r="R237" t="s">
        <v>1992</v>
      </c>
      <c r="S237" t="s">
        <v>1992</v>
      </c>
      <c r="T237" t="s">
        <v>1992</v>
      </c>
      <c r="U237" t="s">
        <v>1991</v>
      </c>
      <c r="V237" t="s">
        <v>1991</v>
      </c>
      <c r="W237" t="s">
        <v>1991</v>
      </c>
      <c r="X237" t="s">
        <v>1992</v>
      </c>
      <c r="Y237" t="s">
        <v>1992</v>
      </c>
      <c r="Z237" t="s">
        <v>1991</v>
      </c>
      <c r="AA237" t="s">
        <v>1992</v>
      </c>
      <c r="AE237" t="s">
        <v>2353</v>
      </c>
      <c r="AF237" t="s">
        <v>2064</v>
      </c>
      <c r="AG237" t="s">
        <v>1991</v>
      </c>
      <c r="AH237">
        <v>60</v>
      </c>
      <c r="AI237">
        <v>30</v>
      </c>
      <c r="AJ237" t="s">
        <v>1499</v>
      </c>
      <c r="AK237">
        <v>60</v>
      </c>
      <c r="AL237">
        <v>82500</v>
      </c>
      <c r="AM237" t="s">
        <v>1500</v>
      </c>
      <c r="AN237" t="s">
        <v>1053</v>
      </c>
      <c r="AO237" t="s">
        <v>1053</v>
      </c>
      <c r="AP237" t="s">
        <v>2069</v>
      </c>
      <c r="AQ237" t="s">
        <v>1053</v>
      </c>
      <c r="AR237" t="s">
        <v>2069</v>
      </c>
      <c r="AS237" t="s">
        <v>1494</v>
      </c>
      <c r="AT237" t="s">
        <v>1501</v>
      </c>
      <c r="AU237" t="s">
        <v>1053</v>
      </c>
      <c r="AV237" t="s">
        <v>1053</v>
      </c>
      <c r="AW237" t="s">
        <v>2069</v>
      </c>
      <c r="AX237" t="s">
        <v>1053</v>
      </c>
      <c r="AY237" t="s">
        <v>2069</v>
      </c>
      <c r="AZ237" t="s">
        <v>1494</v>
      </c>
      <c r="BA237" t="s">
        <v>1501</v>
      </c>
      <c r="BB237" t="s">
        <v>1053</v>
      </c>
      <c r="BC237" t="s">
        <v>2069</v>
      </c>
      <c r="BD237" t="s">
        <v>1053</v>
      </c>
      <c r="BE237" t="s">
        <v>2069</v>
      </c>
      <c r="BF237" t="s">
        <v>1053</v>
      </c>
      <c r="BG237" t="s">
        <v>2019</v>
      </c>
      <c r="BH237" t="s">
        <v>1502</v>
      </c>
      <c r="BI237" t="s">
        <v>1053</v>
      </c>
      <c r="BJ237" t="s">
        <v>1053</v>
      </c>
      <c r="BK237" t="s">
        <v>1053</v>
      </c>
      <c r="BM237" t="s">
        <v>241</v>
      </c>
      <c r="BN237" t="s">
        <v>242</v>
      </c>
      <c r="BO237" t="s">
        <v>1053</v>
      </c>
      <c r="BP237" t="s">
        <v>239</v>
      </c>
      <c r="BQ237" t="s">
        <v>1502</v>
      </c>
      <c r="BR237" t="s">
        <v>1053</v>
      </c>
      <c r="BS237" t="s">
        <v>1053</v>
      </c>
      <c r="BT237" t="s">
        <v>1053</v>
      </c>
      <c r="BU237" t="s">
        <v>1053</v>
      </c>
      <c r="BV237" t="s">
        <v>241</v>
      </c>
      <c r="BW237" t="s">
        <v>242</v>
      </c>
      <c r="BX237" t="str">
        <f>"SMTWTFS 0600-2200"</f>
        <v>SMTWTFS 0600-2200</v>
      </c>
      <c r="BY237" t="str">
        <f>"SMTWTFS 0745-2100"</f>
        <v>SMTWTFS 0745-2100</v>
      </c>
      <c r="BZ237" t="str">
        <f>"SMTWTFS 0745-2100"</f>
        <v>SMTWTFS 0745-2100</v>
      </c>
      <c r="CA237" t="str">
        <f>"SMTWTFS 0745-2100"</f>
        <v>SMTWTFS 0745-2100</v>
      </c>
      <c r="CB237" t="str">
        <f>""</f>
        <v/>
      </c>
      <c r="CC237" t="str">
        <f>"SMTWTFS 0600-2200"</f>
        <v>SMTWTFS 0600-2200</v>
      </c>
      <c r="CD237" t="str">
        <f>""</f>
        <v/>
      </c>
      <c r="CE237" t="str">
        <f>""</f>
        <v/>
      </c>
      <c r="CF237" t="str">
        <f>""</f>
        <v/>
      </c>
      <c r="CG237" t="str">
        <f>""</f>
        <v/>
      </c>
      <c r="CH237" t="str">
        <f>"SMTWTFS 0000-2359"</f>
        <v>SMTWTFS 0000-2359</v>
      </c>
    </row>
    <row r="238" spans="1:86" x14ac:dyDescent="0.25">
      <c r="A238" t="s">
        <v>1503</v>
      </c>
      <c r="B238" t="s">
        <v>1504</v>
      </c>
      <c r="C238" t="s">
        <v>1991</v>
      </c>
      <c r="D238" t="s">
        <v>2010</v>
      </c>
      <c r="E238" t="s">
        <v>1505</v>
      </c>
      <c r="F238" t="s">
        <v>1506</v>
      </c>
      <c r="H238" t="s">
        <v>1507</v>
      </c>
      <c r="I238" t="s">
        <v>2032</v>
      </c>
      <c r="J238" t="str">
        <f>"07114-3401"</f>
        <v>07114-3401</v>
      </c>
      <c r="K238" t="s">
        <v>1998</v>
      </c>
      <c r="L238" t="s">
        <v>2033</v>
      </c>
      <c r="M238" t="s">
        <v>2063</v>
      </c>
      <c r="N238" t="s">
        <v>1991</v>
      </c>
      <c r="O238" t="s">
        <v>1991</v>
      </c>
      <c r="P238" t="s">
        <v>1992</v>
      </c>
      <c r="Q238" t="s">
        <v>1992</v>
      </c>
      <c r="R238" t="s">
        <v>1992</v>
      </c>
      <c r="S238" t="s">
        <v>1992</v>
      </c>
      <c r="T238" t="s">
        <v>1992</v>
      </c>
      <c r="U238" t="s">
        <v>1992</v>
      </c>
      <c r="V238" t="s">
        <v>1991</v>
      </c>
      <c r="W238" t="s">
        <v>1991</v>
      </c>
      <c r="X238" t="s">
        <v>1991</v>
      </c>
      <c r="Y238" t="s">
        <v>1992</v>
      </c>
      <c r="Z238" t="s">
        <v>1992</v>
      </c>
      <c r="AA238" t="s">
        <v>1991</v>
      </c>
      <c r="AE238" t="s">
        <v>1508</v>
      </c>
      <c r="AF238" t="s">
        <v>2016</v>
      </c>
      <c r="AG238" t="s">
        <v>1991</v>
      </c>
      <c r="AH238">
        <v>30</v>
      </c>
      <c r="AI238">
        <v>30</v>
      </c>
      <c r="AJ238" t="s">
        <v>1509</v>
      </c>
      <c r="AK238">
        <v>9</v>
      </c>
      <c r="AL238">
        <v>281402</v>
      </c>
      <c r="AM238" t="s">
        <v>1510</v>
      </c>
      <c r="AN238" t="s">
        <v>1053</v>
      </c>
      <c r="AO238" t="s">
        <v>1053</v>
      </c>
      <c r="AP238" t="s">
        <v>2069</v>
      </c>
      <c r="AQ238" t="s">
        <v>1053</v>
      </c>
      <c r="AR238" t="s">
        <v>2069</v>
      </c>
      <c r="AS238" t="s">
        <v>1503</v>
      </c>
      <c r="AT238" t="s">
        <v>1511</v>
      </c>
      <c r="AU238" t="s">
        <v>1053</v>
      </c>
      <c r="AV238" t="s">
        <v>1053</v>
      </c>
      <c r="AW238" t="s">
        <v>2069</v>
      </c>
      <c r="AX238" t="s">
        <v>1053</v>
      </c>
      <c r="AY238" t="s">
        <v>2069</v>
      </c>
      <c r="AZ238" t="s">
        <v>1503</v>
      </c>
      <c r="BA238" t="s">
        <v>1511</v>
      </c>
      <c r="BB238" t="s">
        <v>1053</v>
      </c>
      <c r="BC238" t="s">
        <v>2069</v>
      </c>
      <c r="BD238" t="s">
        <v>1053</v>
      </c>
      <c r="BE238" t="s">
        <v>2069</v>
      </c>
      <c r="BF238" t="s">
        <v>1053</v>
      </c>
      <c r="BG238" t="s">
        <v>1512</v>
      </c>
      <c r="BH238" t="s">
        <v>1513</v>
      </c>
      <c r="BI238" t="s">
        <v>1053</v>
      </c>
      <c r="BJ238" t="s">
        <v>1053</v>
      </c>
      <c r="BK238" t="s">
        <v>1053</v>
      </c>
      <c r="BL238" t="s">
        <v>1053</v>
      </c>
      <c r="BM238" t="s">
        <v>1514</v>
      </c>
      <c r="BN238" t="s">
        <v>1066</v>
      </c>
      <c r="BO238" t="s">
        <v>1053</v>
      </c>
      <c r="BP238" t="s">
        <v>1515</v>
      </c>
      <c r="BQ238" t="s">
        <v>1067</v>
      </c>
      <c r="BR238" t="s">
        <v>1053</v>
      </c>
      <c r="BS238" t="s">
        <v>1053</v>
      </c>
      <c r="BT238" t="s">
        <v>1053</v>
      </c>
      <c r="BU238" t="s">
        <v>1053</v>
      </c>
      <c r="BV238" t="s">
        <v>1068</v>
      </c>
      <c r="BW238" t="s">
        <v>1069</v>
      </c>
      <c r="BX238" t="str">
        <f>"SMTWTFS 0000-2359"</f>
        <v>SMTWTFS 0000-2359</v>
      </c>
      <c r="BY238" t="str">
        <f>""</f>
        <v/>
      </c>
      <c r="BZ238" t="str">
        <f>""</f>
        <v/>
      </c>
      <c r="CA238" t="str">
        <f>"SMTWTFS 0900-1900"</f>
        <v>SMTWTFS 0900-1900</v>
      </c>
      <c r="CB238" t="str">
        <f>"SMTWTFS 0000-2359"</f>
        <v>SMTWTFS 0000-2359</v>
      </c>
      <c r="CC238" t="str">
        <f>"SMTWTFS 0000-2359"</f>
        <v>SMTWTFS 0000-2359</v>
      </c>
      <c r="CD238" t="str">
        <f>""</f>
        <v/>
      </c>
      <c r="CE238" t="str">
        <f>""</f>
        <v/>
      </c>
      <c r="CF238" t="str">
        <f>""</f>
        <v/>
      </c>
      <c r="CG238" t="str">
        <f>""</f>
        <v/>
      </c>
      <c r="CH238" t="str">
        <f>""</f>
        <v/>
      </c>
    </row>
    <row r="239" spans="1:86" x14ac:dyDescent="0.25">
      <c r="A239" t="s">
        <v>1516</v>
      </c>
      <c r="B239" t="s">
        <v>1517</v>
      </c>
      <c r="D239" t="s">
        <v>2089</v>
      </c>
      <c r="V239" t="s">
        <v>1991</v>
      </c>
      <c r="AJ239" t="s">
        <v>2090</v>
      </c>
      <c r="BX239" t="str">
        <f>""</f>
        <v/>
      </c>
      <c r="BY239" t="str">
        <f>""</f>
        <v/>
      </c>
      <c r="BZ239" t="str">
        <f>""</f>
        <v/>
      </c>
      <c r="CA239" t="str">
        <f>""</f>
        <v/>
      </c>
      <c r="CB239" t="str">
        <f>""</f>
        <v/>
      </c>
      <c r="CC239" t="str">
        <f>""</f>
        <v/>
      </c>
      <c r="CD239" t="str">
        <f>""</f>
        <v/>
      </c>
      <c r="CE239" t="str">
        <f>""</f>
        <v/>
      </c>
      <c r="CF239" t="str">
        <f>""</f>
        <v/>
      </c>
      <c r="CG239" t="str">
        <f>""</f>
        <v/>
      </c>
      <c r="CH239" t="str">
        <f>""</f>
        <v/>
      </c>
    </row>
    <row r="240" spans="1:86" x14ac:dyDescent="0.25">
      <c r="A240" t="s">
        <v>1518</v>
      </c>
      <c r="B240" t="s">
        <v>1519</v>
      </c>
      <c r="D240" t="s">
        <v>2089</v>
      </c>
      <c r="AJ240" t="s">
        <v>2090</v>
      </c>
      <c r="BX240" t="str">
        <f>""</f>
        <v/>
      </c>
      <c r="BY240" t="str">
        <f>""</f>
        <v/>
      </c>
      <c r="BZ240" t="str">
        <f>""</f>
        <v/>
      </c>
      <c r="CA240" t="str">
        <f>""</f>
        <v/>
      </c>
      <c r="CB240" t="str">
        <f>""</f>
        <v/>
      </c>
      <c r="CC240" t="str">
        <f>""</f>
        <v/>
      </c>
      <c r="CD240" t="str">
        <f>""</f>
        <v/>
      </c>
      <c r="CE240" t="str">
        <f>""</f>
        <v/>
      </c>
      <c r="CF240" t="str">
        <f>""</f>
        <v/>
      </c>
      <c r="CG240" t="str">
        <f>""</f>
        <v/>
      </c>
      <c r="CH240" t="str">
        <f>""</f>
        <v/>
      </c>
    </row>
    <row r="241" spans="1:86" x14ac:dyDescent="0.25">
      <c r="A241" t="s">
        <v>1520</v>
      </c>
      <c r="B241" t="s">
        <v>1521</v>
      </c>
      <c r="C241" t="s">
        <v>1992</v>
      </c>
      <c r="D241" t="s">
        <v>2028</v>
      </c>
      <c r="E241" t="s">
        <v>1522</v>
      </c>
      <c r="F241" t="s">
        <v>1523</v>
      </c>
      <c r="H241" t="s">
        <v>1524</v>
      </c>
      <c r="I241" t="s">
        <v>660</v>
      </c>
      <c r="J241" t="str">
        <f>"03833"</f>
        <v>03833</v>
      </c>
      <c r="K241" t="s">
        <v>1998</v>
      </c>
      <c r="L241" t="s">
        <v>2033</v>
      </c>
      <c r="M241" t="s">
        <v>2000</v>
      </c>
      <c r="N241" t="s">
        <v>1992</v>
      </c>
      <c r="O241" t="s">
        <v>1991</v>
      </c>
      <c r="P241" t="s">
        <v>1992</v>
      </c>
      <c r="Q241" t="s">
        <v>1992</v>
      </c>
      <c r="R241" t="s">
        <v>1992</v>
      </c>
      <c r="S241" t="s">
        <v>1992</v>
      </c>
      <c r="T241" t="s">
        <v>1992</v>
      </c>
      <c r="U241" t="s">
        <v>1992</v>
      </c>
      <c r="V241" t="s">
        <v>1991</v>
      </c>
      <c r="W241" t="s">
        <v>1991</v>
      </c>
      <c r="X241" t="s">
        <v>1992</v>
      </c>
      <c r="Y241" t="s">
        <v>1992</v>
      </c>
      <c r="Z241" t="s">
        <v>1992</v>
      </c>
      <c r="AF241" t="s">
        <v>2016</v>
      </c>
      <c r="AG241" t="s">
        <v>1991</v>
      </c>
      <c r="AH241">
        <v>30</v>
      </c>
      <c r="AI241">
        <v>30</v>
      </c>
      <c r="AJ241" t="s">
        <v>1525</v>
      </c>
      <c r="AK241">
        <v>52</v>
      </c>
      <c r="AL241">
        <v>10500</v>
      </c>
      <c r="AM241" t="s">
        <v>1526</v>
      </c>
      <c r="BF241" t="s">
        <v>1053</v>
      </c>
      <c r="BG241" t="s">
        <v>2345</v>
      </c>
      <c r="BH241" t="s">
        <v>1527</v>
      </c>
      <c r="BI241" t="s">
        <v>1053</v>
      </c>
      <c r="BJ241" t="s">
        <v>2069</v>
      </c>
      <c r="BK241" t="s">
        <v>1053</v>
      </c>
      <c r="BL241" t="s">
        <v>2069</v>
      </c>
      <c r="BM241" t="s">
        <v>749</v>
      </c>
      <c r="BN241" t="s">
        <v>757</v>
      </c>
      <c r="BO241" t="s">
        <v>1053</v>
      </c>
      <c r="BP241" t="s">
        <v>986</v>
      </c>
      <c r="BQ241" t="s">
        <v>2140</v>
      </c>
      <c r="BR241" t="s">
        <v>1053</v>
      </c>
      <c r="BS241" t="s">
        <v>1053</v>
      </c>
      <c r="BT241" t="s">
        <v>1053</v>
      </c>
      <c r="BU241" t="s">
        <v>1053</v>
      </c>
      <c r="BV241" t="s">
        <v>520</v>
      </c>
      <c r="BW241" t="s">
        <v>523</v>
      </c>
      <c r="BX241" t="str">
        <f>""</f>
        <v/>
      </c>
      <c r="BY241" t="str">
        <f>""</f>
        <v/>
      </c>
      <c r="BZ241" t="str">
        <f>""</f>
        <v/>
      </c>
      <c r="CA241" t="str">
        <f>""</f>
        <v/>
      </c>
      <c r="CB241" t="str">
        <f>""</f>
        <v/>
      </c>
      <c r="CC241" t="str">
        <f>"S------ 0700-2330; -MTWTFS 0600-2330"</f>
        <v>S------ 0700-2330; -MTWTFS 0600-2330</v>
      </c>
      <c r="CD241" t="str">
        <f>""</f>
        <v/>
      </c>
      <c r="CE241" t="str">
        <f>""</f>
        <v/>
      </c>
      <c r="CF241" t="str">
        <f>""</f>
        <v/>
      </c>
      <c r="CG241" t="str">
        <f>""</f>
        <v/>
      </c>
      <c r="CH241" t="str">
        <f>""</f>
        <v/>
      </c>
    </row>
    <row r="242" spans="1:86" x14ac:dyDescent="0.25">
      <c r="A242" t="s">
        <v>1528</v>
      </c>
      <c r="B242" t="s">
        <v>1529</v>
      </c>
      <c r="C242" t="s">
        <v>1992</v>
      </c>
      <c r="D242" t="s">
        <v>2028</v>
      </c>
      <c r="E242" t="s">
        <v>1530</v>
      </c>
      <c r="F242" t="s">
        <v>1531</v>
      </c>
      <c r="H242" t="s">
        <v>1532</v>
      </c>
      <c r="I242" t="s">
        <v>2388</v>
      </c>
      <c r="J242" t="str">
        <f>"19341"</f>
        <v>19341</v>
      </c>
      <c r="K242" t="s">
        <v>1998</v>
      </c>
      <c r="L242" t="s">
        <v>2015</v>
      </c>
      <c r="M242" t="s">
        <v>2063</v>
      </c>
      <c r="N242" t="s">
        <v>1992</v>
      </c>
      <c r="O242" t="s">
        <v>1992</v>
      </c>
      <c r="P242" t="s">
        <v>1992</v>
      </c>
      <c r="Q242" t="s">
        <v>1992</v>
      </c>
      <c r="R242" t="s">
        <v>1992</v>
      </c>
      <c r="S242" t="s">
        <v>1992</v>
      </c>
      <c r="T242" t="s">
        <v>1992</v>
      </c>
      <c r="U242" t="s">
        <v>1992</v>
      </c>
      <c r="V242" t="s">
        <v>1991</v>
      </c>
      <c r="W242" t="s">
        <v>1991</v>
      </c>
      <c r="X242" t="s">
        <v>1991</v>
      </c>
      <c r="Y242" t="s">
        <v>1992</v>
      </c>
      <c r="Z242" t="s">
        <v>1992</v>
      </c>
      <c r="AF242" t="s">
        <v>2016</v>
      </c>
      <c r="AG242" t="s">
        <v>1991</v>
      </c>
      <c r="AH242">
        <v>30</v>
      </c>
      <c r="AI242">
        <v>30</v>
      </c>
      <c r="AJ242" t="s">
        <v>1533</v>
      </c>
      <c r="AK242">
        <v>385</v>
      </c>
      <c r="AL242">
        <v>4267</v>
      </c>
      <c r="AN242" t="s">
        <v>2066</v>
      </c>
      <c r="AO242" t="s">
        <v>2063</v>
      </c>
      <c r="BF242" t="s">
        <v>1053</v>
      </c>
      <c r="BG242" t="s">
        <v>235</v>
      </c>
      <c r="BH242" t="s">
        <v>1534</v>
      </c>
      <c r="BI242" t="s">
        <v>1053</v>
      </c>
      <c r="BJ242" t="s">
        <v>1053</v>
      </c>
      <c r="BK242" t="s">
        <v>1053</v>
      </c>
      <c r="BL242" t="s">
        <v>1053</v>
      </c>
      <c r="BM242" t="s">
        <v>3642</v>
      </c>
      <c r="BN242" t="s">
        <v>3643</v>
      </c>
      <c r="BO242" t="s">
        <v>1053</v>
      </c>
      <c r="BP242" t="s">
        <v>2375</v>
      </c>
      <c r="BQ242" t="s">
        <v>318</v>
      </c>
      <c r="BR242" t="s">
        <v>1053</v>
      </c>
      <c r="BS242" t="s">
        <v>1053</v>
      </c>
      <c r="BT242" t="s">
        <v>1053</v>
      </c>
      <c r="BU242" t="s">
        <v>1053</v>
      </c>
      <c r="BV242" t="s">
        <v>319</v>
      </c>
      <c r="BW242" t="s">
        <v>226</v>
      </c>
      <c r="BX242" t="str">
        <f>""</f>
        <v/>
      </c>
      <c r="BY242" t="str">
        <f>""</f>
        <v/>
      </c>
      <c r="BZ242" t="str">
        <f>""</f>
        <v/>
      </c>
      <c r="CA242" t="str">
        <f>""</f>
        <v/>
      </c>
      <c r="CB242" t="str">
        <f>""</f>
        <v/>
      </c>
      <c r="CC242" t="str">
        <f>""</f>
        <v/>
      </c>
      <c r="CD242" t="str">
        <f>""</f>
        <v/>
      </c>
      <c r="CE242" t="str">
        <f>""</f>
        <v/>
      </c>
      <c r="CF242" t="str">
        <f>""</f>
        <v/>
      </c>
      <c r="CG242" t="str">
        <f>""</f>
        <v/>
      </c>
      <c r="CH242" t="str">
        <f>""</f>
        <v/>
      </c>
    </row>
    <row r="243" spans="1:86" x14ac:dyDescent="0.25">
      <c r="A243" t="s">
        <v>1535</v>
      </c>
      <c r="B243" t="s">
        <v>1536</v>
      </c>
      <c r="C243" t="s">
        <v>1991</v>
      </c>
      <c r="D243" t="s">
        <v>2010</v>
      </c>
      <c r="E243" t="s">
        <v>1537</v>
      </c>
      <c r="H243" t="s">
        <v>1538</v>
      </c>
      <c r="I243" t="s">
        <v>2528</v>
      </c>
      <c r="J243" t="str">
        <f>"58102"</f>
        <v>58102</v>
      </c>
      <c r="K243" t="s">
        <v>1998</v>
      </c>
      <c r="L243" t="s">
        <v>1999</v>
      </c>
      <c r="M243" t="s">
        <v>1539</v>
      </c>
      <c r="N243" t="s">
        <v>1991</v>
      </c>
      <c r="O243" t="s">
        <v>1992</v>
      </c>
      <c r="P243" t="s">
        <v>1992</v>
      </c>
      <c r="Q243" t="s">
        <v>1991</v>
      </c>
      <c r="R243" t="s">
        <v>1991</v>
      </c>
      <c r="S243" t="s">
        <v>1992</v>
      </c>
      <c r="T243" t="s">
        <v>1992</v>
      </c>
      <c r="U243" t="s">
        <v>1992</v>
      </c>
      <c r="V243" t="s">
        <v>1991</v>
      </c>
      <c r="W243" t="s">
        <v>1991</v>
      </c>
      <c r="X243" t="s">
        <v>1992</v>
      </c>
      <c r="Y243" t="s">
        <v>1992</v>
      </c>
      <c r="Z243" t="s">
        <v>1992</v>
      </c>
      <c r="AE243" t="s">
        <v>2047</v>
      </c>
      <c r="AF243" t="s">
        <v>2001</v>
      </c>
      <c r="AG243" t="s">
        <v>1991</v>
      </c>
      <c r="AH243">
        <v>60</v>
      </c>
      <c r="AI243">
        <v>30</v>
      </c>
      <c r="AJ243" t="s">
        <v>1540</v>
      </c>
      <c r="AK243">
        <v>902</v>
      </c>
      <c r="AL243">
        <v>93531</v>
      </c>
      <c r="AN243" t="s">
        <v>1053</v>
      </c>
      <c r="AO243" t="s">
        <v>1053</v>
      </c>
      <c r="AP243" t="s">
        <v>2069</v>
      </c>
      <c r="AQ243" t="s">
        <v>1053</v>
      </c>
      <c r="AR243" t="s">
        <v>2069</v>
      </c>
      <c r="AS243" t="s">
        <v>1535</v>
      </c>
      <c r="AT243" t="s">
        <v>1541</v>
      </c>
      <c r="AU243" t="s">
        <v>1053</v>
      </c>
      <c r="AV243" t="s">
        <v>1053</v>
      </c>
      <c r="AW243" t="s">
        <v>2069</v>
      </c>
      <c r="AX243" t="s">
        <v>1053</v>
      </c>
      <c r="AY243" t="s">
        <v>2069</v>
      </c>
      <c r="AZ243" t="s">
        <v>1535</v>
      </c>
      <c r="BA243" t="s">
        <v>1541</v>
      </c>
      <c r="BB243" t="s">
        <v>1053</v>
      </c>
      <c r="BC243" t="s">
        <v>2069</v>
      </c>
      <c r="BD243" t="s">
        <v>1053</v>
      </c>
      <c r="BE243" t="s">
        <v>2069</v>
      </c>
      <c r="BF243" t="s">
        <v>1053</v>
      </c>
      <c r="BG243" t="s">
        <v>703</v>
      </c>
      <c r="BH243" t="s">
        <v>2173</v>
      </c>
      <c r="BI243" t="s">
        <v>1053</v>
      </c>
      <c r="BJ243" t="s">
        <v>2069</v>
      </c>
      <c r="BK243" t="s">
        <v>1053</v>
      </c>
      <c r="BL243" t="s">
        <v>2069</v>
      </c>
      <c r="BM243" t="s">
        <v>287</v>
      </c>
      <c r="BN243" t="s">
        <v>288</v>
      </c>
      <c r="BO243" t="s">
        <v>1053</v>
      </c>
      <c r="BP243" t="s">
        <v>950</v>
      </c>
      <c r="BQ243" t="s">
        <v>2006</v>
      </c>
      <c r="BR243" t="s">
        <v>1053</v>
      </c>
      <c r="BS243" t="s">
        <v>1053</v>
      </c>
      <c r="BT243" t="s">
        <v>1053</v>
      </c>
      <c r="BU243" t="s">
        <v>1053</v>
      </c>
      <c r="BV243" t="s">
        <v>951</v>
      </c>
      <c r="BW243" t="s">
        <v>952</v>
      </c>
      <c r="BX243" t="str">
        <f>"SMTWTFS 0000-0800"</f>
        <v>SMTWTFS 0000-0800</v>
      </c>
      <c r="BY243" t="str">
        <f>"SMTWTFS 0000-0800"</f>
        <v>SMTWTFS 0000-0800</v>
      </c>
      <c r="BZ243" t="str">
        <f>""</f>
        <v/>
      </c>
      <c r="CA243" t="str">
        <f>"SMTWTFS 0000-0800"</f>
        <v>SMTWTFS 0000-0800</v>
      </c>
      <c r="CB243" t="str">
        <f>""</f>
        <v/>
      </c>
      <c r="CC243" t="str">
        <f>""</f>
        <v/>
      </c>
      <c r="CD243" t="str">
        <f>""</f>
        <v/>
      </c>
      <c r="CE243" t="str">
        <f>""</f>
        <v/>
      </c>
      <c r="CF243" t="str">
        <f>"SMTWTFS 0000-0800"</f>
        <v>SMTWTFS 0000-0800</v>
      </c>
      <c r="CG243" t="str">
        <f>""</f>
        <v/>
      </c>
      <c r="CH243" t="str">
        <f>""</f>
        <v/>
      </c>
    </row>
    <row r="244" spans="1:86" x14ac:dyDescent="0.25">
      <c r="A244" t="s">
        <v>1542</v>
      </c>
      <c r="B244" t="s">
        <v>1543</v>
      </c>
      <c r="C244" t="s">
        <v>1991</v>
      </c>
      <c r="D244" t="s">
        <v>2010</v>
      </c>
      <c r="E244" t="s">
        <v>1544</v>
      </c>
      <c r="H244" t="s">
        <v>1545</v>
      </c>
      <c r="I244" t="s">
        <v>700</v>
      </c>
      <c r="J244" t="str">
        <f>"28301-5563"</f>
        <v>28301-5563</v>
      </c>
      <c r="K244" t="s">
        <v>1998</v>
      </c>
      <c r="L244" t="s">
        <v>408</v>
      </c>
      <c r="M244" t="s">
        <v>1546</v>
      </c>
      <c r="N244" t="s">
        <v>1991</v>
      </c>
      <c r="O244" t="s">
        <v>1991</v>
      </c>
      <c r="P244" t="s">
        <v>1992</v>
      </c>
      <c r="Q244" t="s">
        <v>1991</v>
      </c>
      <c r="R244" t="s">
        <v>1991</v>
      </c>
      <c r="S244" t="s">
        <v>1992</v>
      </c>
      <c r="T244" t="s">
        <v>1992</v>
      </c>
      <c r="U244" t="s">
        <v>1991</v>
      </c>
      <c r="V244" t="s">
        <v>1991</v>
      </c>
      <c r="W244" t="s">
        <v>1991</v>
      </c>
      <c r="X244" t="s">
        <v>1992</v>
      </c>
      <c r="Y244" t="s">
        <v>1992</v>
      </c>
      <c r="Z244" t="s">
        <v>1992</v>
      </c>
      <c r="AA244" t="s">
        <v>1992</v>
      </c>
      <c r="AE244" t="s">
        <v>2047</v>
      </c>
      <c r="AF244" t="s">
        <v>2016</v>
      </c>
      <c r="AG244" t="s">
        <v>1991</v>
      </c>
      <c r="AH244">
        <v>60</v>
      </c>
      <c r="AI244">
        <v>60</v>
      </c>
      <c r="AJ244" t="s">
        <v>1547</v>
      </c>
      <c r="AK244">
        <v>102</v>
      </c>
      <c r="AL244">
        <v>77800</v>
      </c>
      <c r="AN244" t="s">
        <v>1053</v>
      </c>
      <c r="AO244" t="s">
        <v>1053</v>
      </c>
      <c r="AP244" t="s">
        <v>2069</v>
      </c>
      <c r="AQ244" t="s">
        <v>1053</v>
      </c>
      <c r="AR244" t="s">
        <v>2069</v>
      </c>
      <c r="AS244" t="s">
        <v>1542</v>
      </c>
      <c r="AT244" t="s">
        <v>1548</v>
      </c>
      <c r="AU244" t="s">
        <v>1053</v>
      </c>
      <c r="AV244" t="s">
        <v>1053</v>
      </c>
      <c r="AW244" t="s">
        <v>2069</v>
      </c>
      <c r="AX244" t="s">
        <v>1053</v>
      </c>
      <c r="AY244" t="s">
        <v>2069</v>
      </c>
      <c r="AZ244" t="s">
        <v>1542</v>
      </c>
      <c r="BA244" t="s">
        <v>1548</v>
      </c>
      <c r="BB244" t="s">
        <v>1053</v>
      </c>
      <c r="BC244" t="s">
        <v>2069</v>
      </c>
      <c r="BD244" t="s">
        <v>1053</v>
      </c>
      <c r="BE244" t="s">
        <v>2069</v>
      </c>
      <c r="BF244" t="s">
        <v>1053</v>
      </c>
      <c r="BG244" t="s">
        <v>703</v>
      </c>
      <c r="BH244" t="s">
        <v>704</v>
      </c>
      <c r="BI244" t="s">
        <v>1053</v>
      </c>
      <c r="BJ244" t="s">
        <v>1053</v>
      </c>
      <c r="BK244" t="s">
        <v>1053</v>
      </c>
      <c r="BL244" t="s">
        <v>1053</v>
      </c>
      <c r="BM244" t="s">
        <v>705</v>
      </c>
      <c r="BO244" t="s">
        <v>1053</v>
      </c>
      <c r="BP244" t="s">
        <v>2375</v>
      </c>
      <c r="BQ244" t="s">
        <v>427</v>
      </c>
      <c r="BR244" t="s">
        <v>1053</v>
      </c>
      <c r="BS244" t="s">
        <v>1053</v>
      </c>
      <c r="BT244" t="s">
        <v>1053</v>
      </c>
      <c r="BU244" t="s">
        <v>1053</v>
      </c>
      <c r="BV244" t="s">
        <v>416</v>
      </c>
      <c r="BW244" t="s">
        <v>417</v>
      </c>
      <c r="BX244" t="str">
        <f>"SMTWTFS 0000-0545 1000-1745 2200-2359"</f>
        <v>SMTWTFS 0000-0545 1000-1745 2200-2359</v>
      </c>
      <c r="BY244" t="str">
        <f>"SMTWTFS 0000-0545 1000-1745 2200-2359"</f>
        <v>SMTWTFS 0000-0545 1000-1745 2200-2359</v>
      </c>
      <c r="BZ244" t="str">
        <f>"SMTWTFS 0000-0545 1000-1745 2200-2359"</f>
        <v>SMTWTFS 0000-0545 1000-1745 2200-2359</v>
      </c>
      <c r="CA244" t="str">
        <f>"SMTWTFS 0000-0545 1000-1745 2200-2359"</f>
        <v>SMTWTFS 0000-0545 1000-1745 2200-2359</v>
      </c>
      <c r="CB244" t="str">
        <f>""</f>
        <v/>
      </c>
      <c r="CC244" t="str">
        <f>"SMTWTFS 0000-0545 1000-1745 2200-2359"</f>
        <v>SMTWTFS 0000-0545 1000-1745 2200-2359</v>
      </c>
      <c r="CD244" t="str">
        <f>""</f>
        <v/>
      </c>
      <c r="CE244" t="str">
        <f>""</f>
        <v/>
      </c>
      <c r="CF244" t="str">
        <f>"SMTWTFS 0000-0545 1000-1745 2200-2359"</f>
        <v>SMTWTFS 0000-0545 1000-1745 2200-2359</v>
      </c>
      <c r="CG244" t="str">
        <f>""</f>
        <v/>
      </c>
      <c r="CH244" t="str">
        <f>""</f>
        <v/>
      </c>
    </row>
    <row r="245" spans="1:86" x14ac:dyDescent="0.25">
      <c r="A245" t="s">
        <v>1549</v>
      </c>
      <c r="B245" t="s">
        <v>1550</v>
      </c>
      <c r="C245" t="s">
        <v>1992</v>
      </c>
      <c r="D245" t="s">
        <v>2028</v>
      </c>
      <c r="E245" t="s">
        <v>1551</v>
      </c>
      <c r="H245" t="s">
        <v>1552</v>
      </c>
      <c r="I245" t="s">
        <v>2405</v>
      </c>
      <c r="J245" t="str">
        <f>"22401-6067"</f>
        <v>22401-6067</v>
      </c>
      <c r="K245" t="s">
        <v>1998</v>
      </c>
      <c r="L245" t="s">
        <v>2015</v>
      </c>
      <c r="M245" t="s">
        <v>2063</v>
      </c>
      <c r="N245" t="s">
        <v>1992</v>
      </c>
      <c r="O245" t="s">
        <v>1992</v>
      </c>
      <c r="P245" t="s">
        <v>1992</v>
      </c>
      <c r="Q245" t="s">
        <v>1992</v>
      </c>
      <c r="R245" t="s">
        <v>1992</v>
      </c>
      <c r="S245" t="s">
        <v>1992</v>
      </c>
      <c r="T245" t="s">
        <v>1992</v>
      </c>
      <c r="U245" t="s">
        <v>1992</v>
      </c>
      <c r="V245" t="s">
        <v>1991</v>
      </c>
      <c r="W245" t="s">
        <v>1991</v>
      </c>
      <c r="X245" t="s">
        <v>1992</v>
      </c>
      <c r="Y245" t="s">
        <v>1992</v>
      </c>
      <c r="Z245" t="s">
        <v>1992</v>
      </c>
      <c r="AF245" t="s">
        <v>2016</v>
      </c>
      <c r="AG245" t="s">
        <v>1991</v>
      </c>
      <c r="AH245">
        <v>30</v>
      </c>
      <c r="AI245">
        <v>30</v>
      </c>
      <c r="AJ245" t="s">
        <v>1553</v>
      </c>
      <c r="AK245">
        <v>47</v>
      </c>
      <c r="AL245">
        <v>190000</v>
      </c>
      <c r="AN245" t="s">
        <v>2066</v>
      </c>
      <c r="AO245" t="s">
        <v>2063</v>
      </c>
      <c r="BF245" t="s">
        <v>1053</v>
      </c>
      <c r="BG245" t="s">
        <v>2097</v>
      </c>
      <c r="BH245" t="s">
        <v>365</v>
      </c>
      <c r="BI245" t="s">
        <v>1053</v>
      </c>
      <c r="BJ245" t="s">
        <v>1053</v>
      </c>
      <c r="BK245" t="s">
        <v>1053</v>
      </c>
      <c r="BL245" t="s">
        <v>1053</v>
      </c>
      <c r="BM245" t="s">
        <v>2343</v>
      </c>
      <c r="BN245" t="s">
        <v>2344</v>
      </c>
      <c r="BO245" t="s">
        <v>1053</v>
      </c>
      <c r="BP245" t="s">
        <v>366</v>
      </c>
      <c r="BQ245" t="s">
        <v>367</v>
      </c>
      <c r="BR245" t="s">
        <v>1053</v>
      </c>
      <c r="BS245" t="s">
        <v>1053</v>
      </c>
      <c r="BT245" t="s">
        <v>1053</v>
      </c>
      <c r="BU245" t="s">
        <v>1053</v>
      </c>
      <c r="BV245" t="s">
        <v>2347</v>
      </c>
      <c r="BW245" t="s">
        <v>226</v>
      </c>
      <c r="BX245" t="str">
        <f>""</f>
        <v/>
      </c>
      <c r="BY245" t="str">
        <f>""</f>
        <v/>
      </c>
      <c r="BZ245" t="str">
        <f>""</f>
        <v/>
      </c>
      <c r="CA245" t="str">
        <f>""</f>
        <v/>
      </c>
      <c r="CB245" t="str">
        <f>""</f>
        <v/>
      </c>
      <c r="CC245" t="str">
        <f>""</f>
        <v/>
      </c>
      <c r="CD245" t="str">
        <f>""</f>
        <v/>
      </c>
      <c r="CE245" t="str">
        <f>""</f>
        <v/>
      </c>
      <c r="CF245" t="str">
        <f>""</f>
        <v/>
      </c>
      <c r="CG245" t="str">
        <f>""</f>
        <v/>
      </c>
      <c r="CH245" t="str">
        <f>""</f>
        <v/>
      </c>
    </row>
    <row r="246" spans="1:86" x14ac:dyDescent="0.25">
      <c r="A246" t="s">
        <v>1554</v>
      </c>
      <c r="B246" t="s">
        <v>1555</v>
      </c>
      <c r="C246" t="s">
        <v>1992</v>
      </c>
      <c r="D246" t="s">
        <v>1993</v>
      </c>
      <c r="E246" t="s">
        <v>1556</v>
      </c>
      <c r="F246" t="s">
        <v>1557</v>
      </c>
      <c r="H246" t="s">
        <v>1558</v>
      </c>
      <c r="I246" t="s">
        <v>1997</v>
      </c>
      <c r="J246" t="str">
        <f>"54935-4705"</f>
        <v>54935-4705</v>
      </c>
      <c r="K246" t="s">
        <v>1998</v>
      </c>
      <c r="L246" t="s">
        <v>1999</v>
      </c>
      <c r="M246" t="s">
        <v>1559</v>
      </c>
      <c r="N246" t="s">
        <v>1992</v>
      </c>
      <c r="O246" t="s">
        <v>1992</v>
      </c>
      <c r="P246" t="s">
        <v>1992</v>
      </c>
      <c r="Q246" t="s">
        <v>1992</v>
      </c>
      <c r="R246" t="s">
        <v>1992</v>
      </c>
      <c r="S246" t="s">
        <v>1992</v>
      </c>
      <c r="T246" t="s">
        <v>1992</v>
      </c>
      <c r="U246" t="s">
        <v>1992</v>
      </c>
      <c r="V246" t="s">
        <v>1991</v>
      </c>
      <c r="W246" t="s">
        <v>1992</v>
      </c>
      <c r="X246" t="s">
        <v>1992</v>
      </c>
      <c r="Y246" t="s">
        <v>1992</v>
      </c>
      <c r="Z246" t="s">
        <v>1991</v>
      </c>
      <c r="AA246" t="s">
        <v>1992</v>
      </c>
      <c r="AE246" t="s">
        <v>1560</v>
      </c>
      <c r="AF246" t="s">
        <v>2001</v>
      </c>
      <c r="AG246" t="s">
        <v>1991</v>
      </c>
      <c r="AH246">
        <v>30</v>
      </c>
      <c r="AI246">
        <v>30</v>
      </c>
      <c r="AJ246" t="s">
        <v>1561</v>
      </c>
      <c r="AK246">
        <v>791</v>
      </c>
      <c r="AL246">
        <v>42341</v>
      </c>
      <c r="BF246" t="s">
        <v>1053</v>
      </c>
      <c r="BG246" t="s">
        <v>2067</v>
      </c>
      <c r="BH246" t="s">
        <v>286</v>
      </c>
      <c r="BI246" t="s">
        <v>1053</v>
      </c>
      <c r="BJ246" t="s">
        <v>2069</v>
      </c>
      <c r="BK246" t="s">
        <v>1053</v>
      </c>
      <c r="BL246" t="s">
        <v>2069</v>
      </c>
      <c r="BM246" t="s">
        <v>287</v>
      </c>
      <c r="BN246" t="s">
        <v>1562</v>
      </c>
      <c r="BO246" t="s">
        <v>1053</v>
      </c>
      <c r="BP246" t="s">
        <v>1563</v>
      </c>
      <c r="BQ246" t="s">
        <v>290</v>
      </c>
      <c r="BR246" t="s">
        <v>1053</v>
      </c>
      <c r="BS246" t="s">
        <v>1053</v>
      </c>
      <c r="BT246" t="s">
        <v>1053</v>
      </c>
      <c r="BU246" t="s">
        <v>1053</v>
      </c>
      <c r="BX246" t="str">
        <f>"-MTWTFS 0930-1600"</f>
        <v>-MTWTFS 0930-1600</v>
      </c>
      <c r="BY246" t="str">
        <f>""</f>
        <v/>
      </c>
      <c r="BZ246" t="str">
        <f>""</f>
        <v/>
      </c>
      <c r="CA246" t="str">
        <f>""</f>
        <v/>
      </c>
      <c r="CB246" t="str">
        <f>"-MTWTFS 0930-1600"</f>
        <v>-MTWTFS 0930-1600</v>
      </c>
      <c r="CC246" t="str">
        <f>""</f>
        <v/>
      </c>
      <c r="CD246" t="str">
        <f>""</f>
        <v/>
      </c>
      <c r="CE246" t="str">
        <f>""</f>
        <v/>
      </c>
      <c r="CF246" t="str">
        <f>""</f>
        <v/>
      </c>
      <c r="CG246" t="str">
        <f>""</f>
        <v/>
      </c>
      <c r="CH246" t="str">
        <f>""</f>
        <v/>
      </c>
    </row>
    <row r="247" spans="1:86" x14ac:dyDescent="0.25">
      <c r="A247" t="s">
        <v>1564</v>
      </c>
      <c r="B247" t="s">
        <v>1565</v>
      </c>
      <c r="C247" t="s">
        <v>1992</v>
      </c>
      <c r="D247" t="s">
        <v>1993</v>
      </c>
      <c r="E247" t="s">
        <v>1566</v>
      </c>
      <c r="F247" t="s">
        <v>1567</v>
      </c>
      <c r="G247" t="s">
        <v>1568</v>
      </c>
      <c r="H247" t="s">
        <v>1569</v>
      </c>
      <c r="I247" t="s">
        <v>2321</v>
      </c>
      <c r="J247" t="str">
        <f>"14063"</f>
        <v>14063</v>
      </c>
      <c r="K247" t="s">
        <v>1998</v>
      </c>
      <c r="L247" t="s">
        <v>2033</v>
      </c>
      <c r="M247" t="s">
        <v>2063</v>
      </c>
      <c r="N247" t="s">
        <v>1992</v>
      </c>
      <c r="O247" t="s">
        <v>1992</v>
      </c>
      <c r="P247" t="s">
        <v>1992</v>
      </c>
      <c r="Q247" t="s">
        <v>1992</v>
      </c>
      <c r="R247" t="s">
        <v>1992</v>
      </c>
      <c r="S247" t="s">
        <v>1992</v>
      </c>
      <c r="T247" t="s">
        <v>1992</v>
      </c>
      <c r="U247" t="s">
        <v>1992</v>
      </c>
      <c r="V247" t="s">
        <v>1991</v>
      </c>
      <c r="W247" t="s">
        <v>1992</v>
      </c>
      <c r="X247" t="s">
        <v>1992</v>
      </c>
      <c r="Y247" t="s">
        <v>1992</v>
      </c>
      <c r="Z247" t="s">
        <v>1991</v>
      </c>
      <c r="AA247" t="s">
        <v>1992</v>
      </c>
      <c r="AF247" t="s">
        <v>2016</v>
      </c>
      <c r="AG247" t="s">
        <v>1991</v>
      </c>
      <c r="AH247">
        <v>30</v>
      </c>
      <c r="AI247">
        <v>30</v>
      </c>
      <c r="AJ247" t="s">
        <v>1570</v>
      </c>
      <c r="AK247">
        <v>681</v>
      </c>
      <c r="AL247">
        <v>11127</v>
      </c>
      <c r="AM247" t="s">
        <v>2298</v>
      </c>
      <c r="AN247" t="s">
        <v>1053</v>
      </c>
      <c r="AO247" t="s">
        <v>2063</v>
      </c>
      <c r="AS247" t="s">
        <v>632</v>
      </c>
      <c r="AT247" t="s">
        <v>633</v>
      </c>
      <c r="BF247" t="s">
        <v>1053</v>
      </c>
      <c r="BG247" t="s">
        <v>1473</v>
      </c>
      <c r="BH247" t="s">
        <v>631</v>
      </c>
      <c r="BI247" t="s">
        <v>1053</v>
      </c>
      <c r="BK247" t="s">
        <v>1053</v>
      </c>
      <c r="BO247" t="s">
        <v>1053</v>
      </c>
      <c r="BP247" t="s">
        <v>634</v>
      </c>
      <c r="BQ247" t="s">
        <v>1571</v>
      </c>
      <c r="BR247" t="s">
        <v>1053</v>
      </c>
      <c r="BT247" t="s">
        <v>1053</v>
      </c>
      <c r="BV247" t="s">
        <v>2324</v>
      </c>
      <c r="BX247" t="str">
        <f>"-MTWTF- 0800-2359"</f>
        <v>-MTWTF- 0800-2359</v>
      </c>
      <c r="BY247" t="str">
        <f>""</f>
        <v/>
      </c>
      <c r="BZ247" t="str">
        <f>""</f>
        <v/>
      </c>
      <c r="CA247" t="str">
        <f>""</f>
        <v/>
      </c>
      <c r="CB247" t="str">
        <f>""</f>
        <v/>
      </c>
      <c r="CC247" t="str">
        <f>""</f>
        <v/>
      </c>
      <c r="CD247" t="str">
        <f>""</f>
        <v/>
      </c>
      <c r="CE247" t="str">
        <f>""</f>
        <v/>
      </c>
      <c r="CF247" t="str">
        <f>""</f>
        <v/>
      </c>
      <c r="CG247" t="str">
        <f>""</f>
        <v/>
      </c>
      <c r="CH247" t="str">
        <f>""</f>
        <v/>
      </c>
    </row>
    <row r="248" spans="1:86" x14ac:dyDescent="0.25">
      <c r="A248" t="s">
        <v>1572</v>
      </c>
      <c r="B248" t="s">
        <v>1573</v>
      </c>
      <c r="C248" t="s">
        <v>1992</v>
      </c>
      <c r="D248" t="s">
        <v>2331</v>
      </c>
      <c r="E248" t="s">
        <v>1574</v>
      </c>
      <c r="F248" t="s">
        <v>1575</v>
      </c>
      <c r="H248" t="s">
        <v>1576</v>
      </c>
      <c r="I248" t="s">
        <v>2321</v>
      </c>
      <c r="J248" t="str">
        <f>"12828"</f>
        <v>12828</v>
      </c>
      <c r="K248" t="s">
        <v>1998</v>
      </c>
      <c r="L248" t="s">
        <v>2033</v>
      </c>
      <c r="M248" t="s">
        <v>2063</v>
      </c>
      <c r="N248" t="s">
        <v>1992</v>
      </c>
      <c r="O248" t="s">
        <v>1992</v>
      </c>
      <c r="P248" t="s">
        <v>1992</v>
      </c>
      <c r="Q248" t="s">
        <v>1992</v>
      </c>
      <c r="R248" t="s">
        <v>1992</v>
      </c>
      <c r="S248" t="s">
        <v>1992</v>
      </c>
      <c r="T248" t="s">
        <v>1992</v>
      </c>
      <c r="U248" t="s">
        <v>1992</v>
      </c>
      <c r="V248" t="s">
        <v>1991</v>
      </c>
      <c r="W248" t="s">
        <v>1991</v>
      </c>
      <c r="X248" t="s">
        <v>1992</v>
      </c>
      <c r="Y248" t="s">
        <v>1992</v>
      </c>
      <c r="Z248" t="s">
        <v>1992</v>
      </c>
      <c r="AA248" t="s">
        <v>1991</v>
      </c>
      <c r="AE248" t="s">
        <v>1577</v>
      </c>
      <c r="AF248" t="s">
        <v>2016</v>
      </c>
      <c r="AG248" t="s">
        <v>1991</v>
      </c>
      <c r="AH248">
        <v>30</v>
      </c>
      <c r="AI248">
        <v>30</v>
      </c>
      <c r="AJ248" t="s">
        <v>1578</v>
      </c>
      <c r="AK248">
        <v>142</v>
      </c>
      <c r="AL248">
        <v>3700</v>
      </c>
      <c r="AM248" t="s">
        <v>1579</v>
      </c>
      <c r="AN248" t="s">
        <v>1580</v>
      </c>
      <c r="AO248" t="s">
        <v>1053</v>
      </c>
      <c r="AU248" t="s">
        <v>1053</v>
      </c>
      <c r="AV248" t="s">
        <v>1053</v>
      </c>
      <c r="AW248" t="s">
        <v>1053</v>
      </c>
      <c r="AX248" t="s">
        <v>1053</v>
      </c>
      <c r="BF248" t="s">
        <v>1053</v>
      </c>
      <c r="BG248" t="s">
        <v>2019</v>
      </c>
      <c r="BH248" t="s">
        <v>1581</v>
      </c>
      <c r="BI248" t="s">
        <v>1053</v>
      </c>
      <c r="BJ248" t="s">
        <v>1053</v>
      </c>
      <c r="BK248" t="s">
        <v>1053</v>
      </c>
      <c r="BL248" t="s">
        <v>1053</v>
      </c>
      <c r="BM248" t="s">
        <v>2324</v>
      </c>
      <c r="BN248" t="s">
        <v>2325</v>
      </c>
      <c r="BO248" t="s">
        <v>1053</v>
      </c>
      <c r="BP248" t="s">
        <v>2327</v>
      </c>
      <c r="BQ248" t="s">
        <v>1582</v>
      </c>
      <c r="BR248" t="s">
        <v>1053</v>
      </c>
      <c r="BS248" t="s">
        <v>1053</v>
      </c>
      <c r="BV248" t="s">
        <v>1444</v>
      </c>
      <c r="BX248" t="str">
        <f>""</f>
        <v/>
      </c>
      <c r="BY248" t="str">
        <f>""</f>
        <v/>
      </c>
      <c r="BZ248" t="str">
        <f>""</f>
        <v/>
      </c>
      <c r="CA248" t="str">
        <f>""</f>
        <v/>
      </c>
      <c r="CB248" t="str">
        <f>""</f>
        <v/>
      </c>
      <c r="CC248" t="str">
        <f>""</f>
        <v/>
      </c>
      <c r="CD248" t="str">
        <f>""</f>
        <v/>
      </c>
      <c r="CE248" t="str">
        <f>""</f>
        <v/>
      </c>
      <c r="CF248" t="str">
        <f>""</f>
        <v/>
      </c>
      <c r="CG248" t="str">
        <f>""</f>
        <v/>
      </c>
      <c r="CH248" t="str">
        <f>""</f>
        <v/>
      </c>
    </row>
    <row r="249" spans="1:86" x14ac:dyDescent="0.25">
      <c r="A249" t="s">
        <v>1583</v>
      </c>
      <c r="B249" t="s">
        <v>1584</v>
      </c>
      <c r="C249" t="s">
        <v>1992</v>
      </c>
      <c r="D249" t="s">
        <v>2010</v>
      </c>
      <c r="E249" t="s">
        <v>1585</v>
      </c>
      <c r="H249" t="s">
        <v>1586</v>
      </c>
      <c r="I249" t="s">
        <v>586</v>
      </c>
      <c r="J249" t="str">
        <f>"86001-5843"</f>
        <v>86001-5843</v>
      </c>
      <c r="K249" t="s">
        <v>1998</v>
      </c>
      <c r="L249" t="s">
        <v>2045</v>
      </c>
      <c r="M249" t="s">
        <v>1587</v>
      </c>
      <c r="N249" t="s">
        <v>1992</v>
      </c>
      <c r="O249" t="s">
        <v>1992</v>
      </c>
      <c r="P249" t="s">
        <v>1992</v>
      </c>
      <c r="Q249" t="s">
        <v>1992</v>
      </c>
      <c r="R249" t="s">
        <v>1992</v>
      </c>
      <c r="S249" t="s">
        <v>1992</v>
      </c>
      <c r="T249" t="s">
        <v>1992</v>
      </c>
      <c r="U249" t="s">
        <v>1992</v>
      </c>
      <c r="V249" t="s">
        <v>1991</v>
      </c>
      <c r="W249" t="s">
        <v>1992</v>
      </c>
      <c r="X249" t="s">
        <v>1992</v>
      </c>
      <c r="Y249" t="s">
        <v>1992</v>
      </c>
      <c r="Z249" t="s">
        <v>1991</v>
      </c>
      <c r="AB249" t="s">
        <v>1588</v>
      </c>
      <c r="AF249" t="s">
        <v>2048</v>
      </c>
      <c r="AG249" t="s">
        <v>1992</v>
      </c>
      <c r="AH249">
        <v>30</v>
      </c>
      <c r="AI249">
        <v>30</v>
      </c>
      <c r="AJ249" t="s">
        <v>1589</v>
      </c>
      <c r="AK249">
        <v>6895</v>
      </c>
      <c r="AL249">
        <v>58213</v>
      </c>
      <c r="AM249" t="s">
        <v>1590</v>
      </c>
      <c r="BX249" t="str">
        <f>""</f>
        <v/>
      </c>
      <c r="BY249" t="str">
        <f>""</f>
        <v/>
      </c>
      <c r="BZ249" t="str">
        <f>""</f>
        <v/>
      </c>
      <c r="CA249" t="str">
        <f>""</f>
        <v/>
      </c>
      <c r="CB249" t="str">
        <f>""</f>
        <v/>
      </c>
      <c r="CC249" t="str">
        <f>""</f>
        <v/>
      </c>
      <c r="CD249" t="str">
        <f>""</f>
        <v/>
      </c>
      <c r="CE249" t="str">
        <f>""</f>
        <v/>
      </c>
      <c r="CF249" t="str">
        <f>""</f>
        <v/>
      </c>
      <c r="CG249" t="str">
        <f>""</f>
        <v/>
      </c>
      <c r="CH249" t="str">
        <f>""</f>
        <v/>
      </c>
    </row>
    <row r="250" spans="1:86" x14ac:dyDescent="0.25">
      <c r="A250" t="s">
        <v>1591</v>
      </c>
      <c r="B250" t="s">
        <v>1592</v>
      </c>
      <c r="C250" t="s">
        <v>1992</v>
      </c>
      <c r="D250" t="s">
        <v>1993</v>
      </c>
      <c r="E250" t="s">
        <v>1593</v>
      </c>
      <c r="F250" t="s">
        <v>1594</v>
      </c>
      <c r="H250" t="s">
        <v>1595</v>
      </c>
      <c r="I250" t="s">
        <v>2381</v>
      </c>
      <c r="J250" t="str">
        <f>"76544"</f>
        <v>76544</v>
      </c>
      <c r="K250" t="s">
        <v>1998</v>
      </c>
      <c r="L250" t="s">
        <v>2045</v>
      </c>
      <c r="M250" t="s">
        <v>2000</v>
      </c>
      <c r="N250" t="s">
        <v>1992</v>
      </c>
      <c r="O250" t="s">
        <v>1992</v>
      </c>
      <c r="P250" t="s">
        <v>1992</v>
      </c>
      <c r="Q250" t="s">
        <v>1992</v>
      </c>
      <c r="R250" t="s">
        <v>1992</v>
      </c>
      <c r="S250" t="s">
        <v>1992</v>
      </c>
      <c r="T250" t="s">
        <v>1992</v>
      </c>
      <c r="U250" t="s">
        <v>1992</v>
      </c>
      <c r="V250" t="s">
        <v>1991</v>
      </c>
      <c r="W250" t="s">
        <v>1992</v>
      </c>
      <c r="X250" t="s">
        <v>1992</v>
      </c>
      <c r="Y250" t="s">
        <v>1991</v>
      </c>
      <c r="Z250" t="s">
        <v>1992</v>
      </c>
      <c r="AF250" t="s">
        <v>2001</v>
      </c>
      <c r="AG250" t="s">
        <v>1991</v>
      </c>
      <c r="AH250">
        <v>30</v>
      </c>
      <c r="AI250">
        <v>30</v>
      </c>
      <c r="AJ250" t="s">
        <v>1596</v>
      </c>
      <c r="AK250">
        <v>949</v>
      </c>
      <c r="AL250">
        <v>33700</v>
      </c>
      <c r="AM250" t="s">
        <v>1597</v>
      </c>
      <c r="AN250" t="s">
        <v>1598</v>
      </c>
      <c r="AO250" t="s">
        <v>2063</v>
      </c>
      <c r="BF250" t="s">
        <v>1053</v>
      </c>
      <c r="BG250" t="s">
        <v>235</v>
      </c>
      <c r="BH250" t="s">
        <v>2098</v>
      </c>
      <c r="BI250" t="s">
        <v>1053</v>
      </c>
      <c r="BK250" t="s">
        <v>1053</v>
      </c>
      <c r="BO250" t="s">
        <v>1053</v>
      </c>
      <c r="BP250" t="s">
        <v>2101</v>
      </c>
      <c r="BQ250" t="s">
        <v>1599</v>
      </c>
      <c r="BR250" t="s">
        <v>1053</v>
      </c>
      <c r="BS250" t="s">
        <v>1053</v>
      </c>
      <c r="BT250" t="s">
        <v>1053</v>
      </c>
      <c r="BU250" t="s">
        <v>1053</v>
      </c>
      <c r="BV250" t="s">
        <v>2056</v>
      </c>
      <c r="BX250" t="str">
        <f>""</f>
        <v/>
      </c>
      <c r="BY250" t="str">
        <f>""</f>
        <v/>
      </c>
      <c r="BZ250" t="str">
        <f>""</f>
        <v/>
      </c>
      <c r="CA250" t="str">
        <f>""</f>
        <v/>
      </c>
      <c r="CB250" t="str">
        <f>""</f>
        <v/>
      </c>
      <c r="CC250" t="str">
        <f>""</f>
        <v/>
      </c>
      <c r="CD250" t="str">
        <f>""</f>
        <v/>
      </c>
      <c r="CE250" t="str">
        <f>""</f>
        <v/>
      </c>
      <c r="CF250" t="str">
        <f>""</f>
        <v/>
      </c>
      <c r="CG250" t="str">
        <f>""</f>
        <v/>
      </c>
      <c r="CH250" t="str">
        <f>""</f>
        <v/>
      </c>
    </row>
    <row r="251" spans="1:86" x14ac:dyDescent="0.25">
      <c r="A251" t="s">
        <v>1600</v>
      </c>
      <c r="B251" t="s">
        <v>1601</v>
      </c>
      <c r="C251" t="s">
        <v>1992</v>
      </c>
      <c r="D251" t="s">
        <v>1993</v>
      </c>
      <c r="E251" t="s">
        <v>1602</v>
      </c>
      <c r="F251" t="s">
        <v>1603</v>
      </c>
      <c r="H251" t="s">
        <v>1604</v>
      </c>
      <c r="I251" t="s">
        <v>2061</v>
      </c>
      <c r="J251" t="str">
        <f>"93015-1835"</f>
        <v>93015-1835</v>
      </c>
      <c r="K251" t="s">
        <v>1998</v>
      </c>
      <c r="L251" t="s">
        <v>2045</v>
      </c>
      <c r="M251" t="s">
        <v>2063</v>
      </c>
      <c r="N251" t="s">
        <v>1992</v>
      </c>
      <c r="O251" t="s">
        <v>1992</v>
      </c>
      <c r="P251" t="s">
        <v>1992</v>
      </c>
      <c r="Q251" t="s">
        <v>1992</v>
      </c>
      <c r="R251" t="s">
        <v>1992</v>
      </c>
      <c r="S251" t="s">
        <v>1992</v>
      </c>
      <c r="T251" t="s">
        <v>1992</v>
      </c>
      <c r="U251" t="s">
        <v>1992</v>
      </c>
      <c r="V251" t="s">
        <v>1991</v>
      </c>
      <c r="W251" t="s">
        <v>1992</v>
      </c>
      <c r="X251" t="s">
        <v>1992</v>
      </c>
      <c r="Y251" t="s">
        <v>1991</v>
      </c>
      <c r="Z251" t="s">
        <v>1991</v>
      </c>
      <c r="AF251" t="s">
        <v>2064</v>
      </c>
      <c r="AG251" t="s">
        <v>1991</v>
      </c>
      <c r="AH251">
        <v>30</v>
      </c>
      <c r="AI251">
        <v>30</v>
      </c>
      <c r="AJ251" t="s">
        <v>1605</v>
      </c>
      <c r="AK251">
        <v>437</v>
      </c>
      <c r="AL251">
        <v>9602</v>
      </c>
      <c r="AM251" t="s">
        <v>2298</v>
      </c>
      <c r="AN251" t="s">
        <v>308</v>
      </c>
      <c r="AO251" t="s">
        <v>2063</v>
      </c>
      <c r="BF251" t="s">
        <v>1053</v>
      </c>
      <c r="BG251" t="s">
        <v>309</v>
      </c>
      <c r="BH251" t="s">
        <v>2301</v>
      </c>
      <c r="BI251" t="s">
        <v>1053</v>
      </c>
      <c r="BK251" t="s">
        <v>1053</v>
      </c>
      <c r="BO251" t="s">
        <v>1053</v>
      </c>
      <c r="BP251" t="s">
        <v>330</v>
      </c>
      <c r="BQ251" t="s">
        <v>851</v>
      </c>
      <c r="BR251" t="s">
        <v>1053</v>
      </c>
      <c r="BS251" t="s">
        <v>2069</v>
      </c>
      <c r="BT251" t="s">
        <v>2063</v>
      </c>
      <c r="BU251" t="s">
        <v>2069</v>
      </c>
      <c r="BX251" t="str">
        <f>""</f>
        <v/>
      </c>
      <c r="BY251" t="str">
        <f>""</f>
        <v/>
      </c>
      <c r="BZ251" t="str">
        <f>""</f>
        <v/>
      </c>
      <c r="CA251" t="str">
        <f>""</f>
        <v/>
      </c>
      <c r="CB251" t="str">
        <f>""</f>
        <v/>
      </c>
      <c r="CC251" t="str">
        <f>""</f>
        <v/>
      </c>
      <c r="CD251" t="str">
        <f>""</f>
        <v/>
      </c>
      <c r="CE251" t="str">
        <f>""</f>
        <v/>
      </c>
      <c r="CF251" t="str">
        <f>""</f>
        <v/>
      </c>
      <c r="CG251" t="str">
        <f>""</f>
        <v/>
      </c>
      <c r="CH251" t="str">
        <f>""</f>
        <v/>
      </c>
    </row>
    <row r="252" spans="1:86" x14ac:dyDescent="0.25">
      <c r="A252" t="s">
        <v>1606</v>
      </c>
      <c r="B252" t="s">
        <v>1607</v>
      </c>
      <c r="D252" t="s">
        <v>2089</v>
      </c>
      <c r="V252" t="s">
        <v>1991</v>
      </c>
      <c r="AJ252" t="s">
        <v>2090</v>
      </c>
      <c r="BX252" t="str">
        <f>""</f>
        <v/>
      </c>
      <c r="BY252" t="str">
        <f>""</f>
        <v/>
      </c>
      <c r="BZ252" t="str">
        <f>""</f>
        <v/>
      </c>
      <c r="CA252" t="str">
        <f>""</f>
        <v/>
      </c>
      <c r="CB252" t="str">
        <f>""</f>
        <v/>
      </c>
      <c r="CC252" t="str">
        <f>""</f>
        <v/>
      </c>
      <c r="CD252" t="str">
        <f>""</f>
        <v/>
      </c>
      <c r="CE252" t="str">
        <f>""</f>
        <v/>
      </c>
      <c r="CF252" t="str">
        <f>""</f>
        <v/>
      </c>
      <c r="CG252" t="str">
        <f>""</f>
        <v/>
      </c>
      <c r="CH252" t="str">
        <f>""</f>
        <v/>
      </c>
    </row>
    <row r="253" spans="1:86" x14ac:dyDescent="0.25">
      <c r="A253" t="s">
        <v>1608</v>
      </c>
      <c r="B253" t="s">
        <v>1609</v>
      </c>
      <c r="C253" t="s">
        <v>1991</v>
      </c>
      <c r="D253" t="s">
        <v>2010</v>
      </c>
      <c r="E253" t="s">
        <v>1610</v>
      </c>
      <c r="H253" t="s">
        <v>1586</v>
      </c>
      <c r="I253" t="s">
        <v>586</v>
      </c>
      <c r="J253" t="str">
        <f>"86001-5530"</f>
        <v>86001-5530</v>
      </c>
      <c r="K253" t="s">
        <v>1998</v>
      </c>
      <c r="L253" t="s">
        <v>2045</v>
      </c>
      <c r="M253" t="s">
        <v>1611</v>
      </c>
      <c r="N253" t="s">
        <v>1991</v>
      </c>
      <c r="O253" t="s">
        <v>1991</v>
      </c>
      <c r="P253" t="s">
        <v>1992</v>
      </c>
      <c r="Q253" t="s">
        <v>1991</v>
      </c>
      <c r="R253" t="s">
        <v>1991</v>
      </c>
      <c r="S253" t="s">
        <v>1992</v>
      </c>
      <c r="T253" t="s">
        <v>1992</v>
      </c>
      <c r="U253" t="s">
        <v>1991</v>
      </c>
      <c r="V253" t="s">
        <v>1991</v>
      </c>
      <c r="W253" t="s">
        <v>1991</v>
      </c>
      <c r="X253" t="s">
        <v>1992</v>
      </c>
      <c r="Y253" t="s">
        <v>1992</v>
      </c>
      <c r="Z253" t="s">
        <v>1991</v>
      </c>
      <c r="AB253" t="s">
        <v>1588</v>
      </c>
      <c r="AE253" t="s">
        <v>2047</v>
      </c>
      <c r="AF253" t="s">
        <v>2048</v>
      </c>
      <c r="AG253" t="s">
        <v>1992</v>
      </c>
      <c r="AH253">
        <v>60</v>
      </c>
      <c r="AI253">
        <v>30</v>
      </c>
      <c r="AJ253" t="s">
        <v>1612</v>
      </c>
      <c r="AK253">
        <v>6904</v>
      </c>
      <c r="AL253">
        <v>50700</v>
      </c>
      <c r="AM253" t="s">
        <v>1613</v>
      </c>
      <c r="AN253" t="s">
        <v>1053</v>
      </c>
      <c r="AO253" t="s">
        <v>1053</v>
      </c>
      <c r="AQ253" t="s">
        <v>1053</v>
      </c>
      <c r="AS253" t="s">
        <v>1608</v>
      </c>
      <c r="AT253" t="s">
        <v>1614</v>
      </c>
      <c r="AV253" t="s">
        <v>1053</v>
      </c>
      <c r="BB253" t="s">
        <v>1053</v>
      </c>
      <c r="BD253" t="s">
        <v>1053</v>
      </c>
      <c r="BF253" t="s">
        <v>1053</v>
      </c>
      <c r="BG253" t="s">
        <v>1615</v>
      </c>
      <c r="BH253" t="s">
        <v>1616</v>
      </c>
      <c r="BI253" t="s">
        <v>1053</v>
      </c>
      <c r="BO253" t="s">
        <v>1053</v>
      </c>
      <c r="BP253" t="s">
        <v>2054</v>
      </c>
      <c r="BQ253" t="s">
        <v>2055</v>
      </c>
      <c r="BR253" t="s">
        <v>1053</v>
      </c>
      <c r="BS253" t="s">
        <v>1053</v>
      </c>
      <c r="BV253" t="s">
        <v>2056</v>
      </c>
      <c r="BX253" t="str">
        <f>"SMTWTFS 0315-2245"</f>
        <v>SMTWTFS 0315-2245</v>
      </c>
      <c r="BY253" t="str">
        <f>"SMTWTFS 0330-2230"</f>
        <v>SMTWTFS 0330-2230</v>
      </c>
      <c r="BZ253" t="str">
        <f>"SMTWTFS 0330-2245"</f>
        <v>SMTWTFS 0330-2245</v>
      </c>
      <c r="CA253" t="str">
        <f>"SMTWTFS 0330-2245"</f>
        <v>SMTWTFS 0330-2245</v>
      </c>
      <c r="CB253" t="str">
        <f>""</f>
        <v/>
      </c>
      <c r="CC253" t="str">
        <f>"SMTWTFS 0330-2245"</f>
        <v>SMTWTFS 0330-2245</v>
      </c>
      <c r="CD253" t="str">
        <f>""</f>
        <v/>
      </c>
      <c r="CE253" t="str">
        <f>""</f>
        <v/>
      </c>
      <c r="CF253" t="str">
        <f>"SMTWTFS 0600-2000"</f>
        <v>SMTWTFS 0600-2000</v>
      </c>
      <c r="CG253" t="str">
        <f>""</f>
        <v/>
      </c>
      <c r="CH253" t="str">
        <f>""</f>
        <v/>
      </c>
    </row>
    <row r="254" spans="1:86" x14ac:dyDescent="0.25">
      <c r="A254" t="s">
        <v>1617</v>
      </c>
      <c r="B254" t="s">
        <v>1618</v>
      </c>
      <c r="C254" t="s">
        <v>1991</v>
      </c>
      <c r="D254" t="s">
        <v>2010</v>
      </c>
      <c r="E254" t="s">
        <v>1619</v>
      </c>
      <c r="H254" t="s">
        <v>1620</v>
      </c>
      <c r="I254" t="s">
        <v>2352</v>
      </c>
      <c r="J254" t="str">
        <f>"48503-2878"</f>
        <v>48503-2878</v>
      </c>
      <c r="K254" t="s">
        <v>1998</v>
      </c>
      <c r="L254" t="s">
        <v>1999</v>
      </c>
      <c r="M254" t="s">
        <v>1621</v>
      </c>
      <c r="N254" t="s">
        <v>1991</v>
      </c>
      <c r="O254" t="s">
        <v>1992</v>
      </c>
      <c r="P254" t="s">
        <v>1992</v>
      </c>
      <c r="Q254" t="s">
        <v>1992</v>
      </c>
      <c r="R254" t="s">
        <v>1992</v>
      </c>
      <c r="S254" t="s">
        <v>1992</v>
      </c>
      <c r="T254" t="s">
        <v>1992</v>
      </c>
      <c r="U254" t="s">
        <v>1991</v>
      </c>
      <c r="V254" t="s">
        <v>1991</v>
      </c>
      <c r="W254" t="s">
        <v>1991</v>
      </c>
      <c r="X254" t="s">
        <v>1992</v>
      </c>
      <c r="Y254" t="s">
        <v>1992</v>
      </c>
      <c r="Z254" t="s">
        <v>1991</v>
      </c>
      <c r="AA254" t="s">
        <v>1991</v>
      </c>
      <c r="AE254" t="s">
        <v>2047</v>
      </c>
      <c r="AF254" t="s">
        <v>2016</v>
      </c>
      <c r="AG254" t="s">
        <v>1991</v>
      </c>
      <c r="AH254">
        <v>30</v>
      </c>
      <c r="AI254">
        <v>30</v>
      </c>
      <c r="AJ254" t="s">
        <v>1622</v>
      </c>
      <c r="AK254">
        <v>759</v>
      </c>
      <c r="AL254">
        <v>430700</v>
      </c>
      <c r="AN254" t="s">
        <v>1053</v>
      </c>
      <c r="AO254" t="s">
        <v>1053</v>
      </c>
      <c r="AQ254" t="s">
        <v>1053</v>
      </c>
      <c r="AS254" t="s">
        <v>1617</v>
      </c>
      <c r="AT254" t="s">
        <v>1623</v>
      </c>
      <c r="AU254" t="s">
        <v>1053</v>
      </c>
      <c r="AV254" t="s">
        <v>1053</v>
      </c>
      <c r="AX254" t="s">
        <v>1053</v>
      </c>
      <c r="BB254" t="s">
        <v>1053</v>
      </c>
      <c r="BD254" t="s">
        <v>1053</v>
      </c>
      <c r="BF254" t="s">
        <v>1053</v>
      </c>
      <c r="BG254" t="s">
        <v>643</v>
      </c>
      <c r="BH254" t="s">
        <v>2312</v>
      </c>
      <c r="BI254" t="s">
        <v>1053</v>
      </c>
      <c r="BJ254" t="s">
        <v>2069</v>
      </c>
      <c r="BK254" t="s">
        <v>1053</v>
      </c>
      <c r="BL254" t="s">
        <v>2069</v>
      </c>
      <c r="BM254" t="s">
        <v>2313</v>
      </c>
      <c r="BN254" t="s">
        <v>2314</v>
      </c>
      <c r="BO254" t="s">
        <v>1053</v>
      </c>
      <c r="BP254" t="s">
        <v>301</v>
      </c>
      <c r="BQ254" t="s">
        <v>2316</v>
      </c>
      <c r="BR254" t="s">
        <v>1053</v>
      </c>
      <c r="BT254" t="s">
        <v>1053</v>
      </c>
      <c r="BX254" t="str">
        <f>"SMTWTFS 0600-1400"</f>
        <v>SMTWTFS 0600-1400</v>
      </c>
      <c r="BY254" t="str">
        <f>""</f>
        <v/>
      </c>
      <c r="BZ254" t="str">
        <f>"SMTWTFS 0600-1330"</f>
        <v>SMTWTFS 0600-1330</v>
      </c>
      <c r="CA254" t="str">
        <f>"SMTWTFS 0600-1330"</f>
        <v>SMTWTFS 0600-1330</v>
      </c>
      <c r="CB254" t="str">
        <f>""</f>
        <v/>
      </c>
      <c r="CC254" t="str">
        <f>""</f>
        <v/>
      </c>
      <c r="CD254" t="str">
        <f>""</f>
        <v/>
      </c>
      <c r="CE254" t="str">
        <f>""</f>
        <v/>
      </c>
      <c r="CF254" t="str">
        <f>""</f>
        <v/>
      </c>
      <c r="CG254" t="str">
        <f>""</f>
        <v/>
      </c>
      <c r="CH254" t="str">
        <f>""</f>
        <v/>
      </c>
    </row>
    <row r="255" spans="1:86" x14ac:dyDescent="0.25">
      <c r="A255" t="s">
        <v>1624</v>
      </c>
      <c r="B255" t="s">
        <v>1625</v>
      </c>
      <c r="C255" t="s">
        <v>1991</v>
      </c>
      <c r="D255" t="s">
        <v>2010</v>
      </c>
      <c r="E255" t="s">
        <v>1626</v>
      </c>
      <c r="H255" t="s">
        <v>1627</v>
      </c>
      <c r="I255" t="s">
        <v>914</v>
      </c>
      <c r="J255" t="str">
        <f>"29506"</f>
        <v>29506</v>
      </c>
      <c r="K255" t="s">
        <v>1998</v>
      </c>
      <c r="L255" t="s">
        <v>408</v>
      </c>
      <c r="M255" t="s">
        <v>1628</v>
      </c>
      <c r="N255" t="s">
        <v>1991</v>
      </c>
      <c r="O255" t="s">
        <v>1991</v>
      </c>
      <c r="P255" t="s">
        <v>1992</v>
      </c>
      <c r="Q255" t="s">
        <v>1991</v>
      </c>
      <c r="R255" t="s">
        <v>1991</v>
      </c>
      <c r="S255" t="s">
        <v>1992</v>
      </c>
      <c r="T255" t="s">
        <v>1992</v>
      </c>
      <c r="U255" t="s">
        <v>1991</v>
      </c>
      <c r="V255" t="s">
        <v>1991</v>
      </c>
      <c r="W255" t="s">
        <v>1991</v>
      </c>
      <c r="X255" t="s">
        <v>1992</v>
      </c>
      <c r="Y255" t="s">
        <v>1992</v>
      </c>
      <c r="Z255" t="s">
        <v>1992</v>
      </c>
      <c r="AE255" t="s">
        <v>2047</v>
      </c>
      <c r="AF255" t="s">
        <v>2016</v>
      </c>
      <c r="AG255" t="s">
        <v>1991</v>
      </c>
      <c r="AH255">
        <v>60</v>
      </c>
      <c r="AI255">
        <v>30</v>
      </c>
      <c r="AJ255" t="s">
        <v>1629</v>
      </c>
      <c r="AK255">
        <v>142</v>
      </c>
      <c r="AL255">
        <v>65000</v>
      </c>
      <c r="AN255" t="s">
        <v>1053</v>
      </c>
      <c r="AO255" t="s">
        <v>1053</v>
      </c>
      <c r="AP255" t="s">
        <v>2069</v>
      </c>
      <c r="AQ255" t="s">
        <v>1053</v>
      </c>
      <c r="AR255" t="s">
        <v>2069</v>
      </c>
      <c r="AS255" t="s">
        <v>1624</v>
      </c>
      <c r="AT255" t="s">
        <v>1630</v>
      </c>
      <c r="AU255" t="s">
        <v>1053</v>
      </c>
      <c r="AV255" t="s">
        <v>1053</v>
      </c>
      <c r="AW255" t="s">
        <v>2069</v>
      </c>
      <c r="AX255" t="s">
        <v>1053</v>
      </c>
      <c r="AY255" t="s">
        <v>2069</v>
      </c>
      <c r="AZ255" t="s">
        <v>1624</v>
      </c>
      <c r="BA255" t="s">
        <v>1630</v>
      </c>
      <c r="BB255" t="s">
        <v>1053</v>
      </c>
      <c r="BC255" t="s">
        <v>2069</v>
      </c>
      <c r="BD255" t="s">
        <v>1053</v>
      </c>
      <c r="BE255" t="s">
        <v>2069</v>
      </c>
      <c r="BF255" t="s">
        <v>1053</v>
      </c>
      <c r="BG255" t="s">
        <v>703</v>
      </c>
      <c r="BH255" t="s">
        <v>1048</v>
      </c>
      <c r="BI255" t="s">
        <v>1053</v>
      </c>
      <c r="BJ255" t="s">
        <v>1053</v>
      </c>
      <c r="BK255" t="s">
        <v>1053</v>
      </c>
      <c r="BL255" t="s">
        <v>1053</v>
      </c>
      <c r="BM255" t="s">
        <v>1049</v>
      </c>
      <c r="BN255" t="s">
        <v>1050</v>
      </c>
      <c r="BO255" t="s">
        <v>1053</v>
      </c>
      <c r="BP255" t="s">
        <v>653</v>
      </c>
      <c r="BQ255" t="s">
        <v>2127</v>
      </c>
      <c r="BR255" t="s">
        <v>1053</v>
      </c>
      <c r="BS255" t="s">
        <v>1053</v>
      </c>
      <c r="BT255" t="s">
        <v>1053</v>
      </c>
      <c r="BU255" t="s">
        <v>1053</v>
      </c>
      <c r="BV255" t="s">
        <v>1052</v>
      </c>
      <c r="BW255" t="s">
        <v>3470</v>
      </c>
      <c r="BX255" t="str">
        <f>"SMTWTFS 0000-0500 0930-2359"</f>
        <v>SMTWTFS 0000-0500 0930-2359</v>
      </c>
      <c r="BY255" t="str">
        <f>"SMTWTFS 0000-0500 0930-2359"</f>
        <v>SMTWTFS 0000-0500 0930-2359</v>
      </c>
      <c r="BZ255" t="str">
        <f>"SMTWTFS 0000-0500 0930-2359"</f>
        <v>SMTWTFS 0000-0500 0930-2359</v>
      </c>
      <c r="CA255" t="str">
        <f>"SMTWTFS 0000-0500 0930-2359"</f>
        <v>SMTWTFS 0000-0500 0930-2359</v>
      </c>
      <c r="CB255" t="str">
        <f>""</f>
        <v/>
      </c>
      <c r="CC255" t="str">
        <f>"SMTWTFS 0000-0500 0930-2359"</f>
        <v>SMTWTFS 0000-0500 0930-2359</v>
      </c>
      <c r="CD255" t="str">
        <f>""</f>
        <v/>
      </c>
      <c r="CE255" t="str">
        <f>""</f>
        <v/>
      </c>
      <c r="CF255" t="str">
        <f>"SMTWTFS 0000-0500 0930-2359"</f>
        <v>SMTWTFS 0000-0500 0930-2359</v>
      </c>
      <c r="CG255" t="str">
        <f>""</f>
        <v/>
      </c>
      <c r="CH255" t="str">
        <f>""</f>
        <v/>
      </c>
    </row>
    <row r="256" spans="1:86" x14ac:dyDescent="0.25">
      <c r="A256" t="s">
        <v>1631</v>
      </c>
      <c r="B256" t="s">
        <v>1632</v>
      </c>
      <c r="C256" t="s">
        <v>1991</v>
      </c>
      <c r="D256" t="s">
        <v>2010</v>
      </c>
      <c r="E256" t="s">
        <v>1633</v>
      </c>
      <c r="H256" t="s">
        <v>1634</v>
      </c>
      <c r="I256" t="s">
        <v>795</v>
      </c>
      <c r="J256" t="str">
        <f>"52627"</f>
        <v>52627</v>
      </c>
      <c r="K256" t="s">
        <v>1998</v>
      </c>
      <c r="L256" t="s">
        <v>1999</v>
      </c>
      <c r="M256" t="s">
        <v>1635</v>
      </c>
      <c r="N256" t="s">
        <v>1991</v>
      </c>
      <c r="O256" t="s">
        <v>1992</v>
      </c>
      <c r="P256" t="s">
        <v>1992</v>
      </c>
      <c r="Q256" t="s">
        <v>1992</v>
      </c>
      <c r="R256" t="s">
        <v>1992</v>
      </c>
      <c r="S256" t="s">
        <v>1992</v>
      </c>
      <c r="T256" t="s">
        <v>1992</v>
      </c>
      <c r="U256" t="s">
        <v>1992</v>
      </c>
      <c r="V256" t="s">
        <v>1991</v>
      </c>
      <c r="W256" t="s">
        <v>1991</v>
      </c>
      <c r="X256" t="s">
        <v>1992</v>
      </c>
      <c r="Y256" t="s">
        <v>1992</v>
      </c>
      <c r="Z256" t="s">
        <v>1992</v>
      </c>
      <c r="AE256" t="s">
        <v>296</v>
      </c>
      <c r="AF256" t="s">
        <v>2001</v>
      </c>
      <c r="AG256" t="s">
        <v>1991</v>
      </c>
      <c r="AH256">
        <v>60</v>
      </c>
      <c r="AI256">
        <v>30</v>
      </c>
      <c r="AJ256" t="s">
        <v>1636</v>
      </c>
      <c r="AK256">
        <v>523</v>
      </c>
      <c r="AL256">
        <v>10916</v>
      </c>
      <c r="AM256" t="s">
        <v>1637</v>
      </c>
      <c r="AN256" t="s">
        <v>1053</v>
      </c>
      <c r="AO256" t="s">
        <v>1053</v>
      </c>
      <c r="AQ256" t="s">
        <v>1053</v>
      </c>
      <c r="AR256" t="s">
        <v>1638</v>
      </c>
      <c r="AS256" t="s">
        <v>1631</v>
      </c>
      <c r="AT256" t="s">
        <v>1639</v>
      </c>
      <c r="AU256" t="s">
        <v>1053</v>
      </c>
      <c r="AV256" t="s">
        <v>1053</v>
      </c>
      <c r="AW256" t="s">
        <v>1638</v>
      </c>
      <c r="AX256" t="s">
        <v>1053</v>
      </c>
      <c r="AZ256" t="s">
        <v>1631</v>
      </c>
      <c r="BA256" t="s">
        <v>1639</v>
      </c>
      <c r="BB256" t="s">
        <v>1053</v>
      </c>
      <c r="BC256" t="s">
        <v>2069</v>
      </c>
      <c r="BD256" t="s">
        <v>1053</v>
      </c>
      <c r="BE256" t="s">
        <v>2069</v>
      </c>
      <c r="BF256" t="s">
        <v>1053</v>
      </c>
      <c r="BG256" t="s">
        <v>1640</v>
      </c>
      <c r="BH256" t="s">
        <v>798</v>
      </c>
      <c r="BI256" t="s">
        <v>1053</v>
      </c>
      <c r="BK256" t="s">
        <v>1053</v>
      </c>
      <c r="BL256" t="s">
        <v>1053</v>
      </c>
      <c r="BO256" t="s">
        <v>1053</v>
      </c>
      <c r="BP256" t="s">
        <v>653</v>
      </c>
      <c r="BQ256" t="s">
        <v>2523</v>
      </c>
      <c r="BR256" t="s">
        <v>1053</v>
      </c>
      <c r="BX256" t="str">
        <f>"SMTWTFS 1000-1300 1700-2000"</f>
        <v>SMTWTFS 1000-1300 1700-2000</v>
      </c>
      <c r="BY256" t="str">
        <f>""</f>
        <v/>
      </c>
      <c r="BZ256" t="str">
        <f>"-MTWTF- 1000-1300 1700-2000"</f>
        <v>-MTWTF- 1000-1300 1700-2000</v>
      </c>
      <c r="CA256" t="str">
        <f>"-MTWTF- 1000-1300 1700-2000"</f>
        <v>-MTWTF- 1000-1300 1700-2000</v>
      </c>
      <c r="CB256" t="str">
        <f>""</f>
        <v/>
      </c>
      <c r="CC256" t="str">
        <f>""</f>
        <v/>
      </c>
      <c r="CD256" t="str">
        <f>""</f>
        <v/>
      </c>
      <c r="CE256" t="str">
        <f>""</f>
        <v/>
      </c>
      <c r="CF256" t="str">
        <f>""</f>
        <v/>
      </c>
      <c r="CG256" t="str">
        <f>""</f>
        <v/>
      </c>
      <c r="CH256" t="str">
        <f>""</f>
        <v/>
      </c>
    </row>
    <row r="257" spans="1:86" x14ac:dyDescent="0.25">
      <c r="A257" t="s">
        <v>1641</v>
      </c>
      <c r="B257" t="s">
        <v>1642</v>
      </c>
      <c r="C257" t="s">
        <v>1992</v>
      </c>
      <c r="D257" t="s">
        <v>2010</v>
      </c>
      <c r="E257" t="s">
        <v>1643</v>
      </c>
      <c r="H257" t="s">
        <v>1644</v>
      </c>
      <c r="I257" t="s">
        <v>3629</v>
      </c>
      <c r="J257" t="str">
        <f>"80701"</f>
        <v>80701</v>
      </c>
      <c r="K257" t="s">
        <v>1998</v>
      </c>
      <c r="L257" t="s">
        <v>1999</v>
      </c>
      <c r="M257" t="s">
        <v>2063</v>
      </c>
      <c r="N257" t="s">
        <v>1992</v>
      </c>
      <c r="O257" t="s">
        <v>1992</v>
      </c>
      <c r="P257" t="s">
        <v>1992</v>
      </c>
      <c r="Q257" t="s">
        <v>1992</v>
      </c>
      <c r="R257" t="s">
        <v>1992</v>
      </c>
      <c r="S257" t="s">
        <v>1992</v>
      </c>
      <c r="T257" t="s">
        <v>1992</v>
      </c>
      <c r="U257" t="s">
        <v>1992</v>
      </c>
      <c r="V257" t="s">
        <v>1991</v>
      </c>
      <c r="W257" t="s">
        <v>1991</v>
      </c>
      <c r="X257" t="s">
        <v>1992</v>
      </c>
      <c r="Y257" t="s">
        <v>1992</v>
      </c>
      <c r="Z257" t="s">
        <v>1992</v>
      </c>
      <c r="AF257" t="s">
        <v>2048</v>
      </c>
      <c r="AG257" t="s">
        <v>1991</v>
      </c>
      <c r="AH257">
        <v>30</v>
      </c>
      <c r="AI257">
        <v>30</v>
      </c>
      <c r="AJ257" t="s">
        <v>1645</v>
      </c>
      <c r="AK257">
        <v>4331</v>
      </c>
      <c r="AL257">
        <v>11000</v>
      </c>
      <c r="AN257" t="s">
        <v>2066</v>
      </c>
      <c r="AO257" t="s">
        <v>2063</v>
      </c>
      <c r="BF257" t="s">
        <v>1053</v>
      </c>
      <c r="BG257" t="s">
        <v>2097</v>
      </c>
      <c r="BH257" t="s">
        <v>798</v>
      </c>
      <c r="BI257" t="s">
        <v>1053</v>
      </c>
      <c r="BK257" t="s">
        <v>1053</v>
      </c>
      <c r="BL257" t="s">
        <v>1053</v>
      </c>
      <c r="BO257" t="s">
        <v>1053</v>
      </c>
      <c r="BP257" t="s">
        <v>653</v>
      </c>
      <c r="BQ257" t="s">
        <v>2376</v>
      </c>
      <c r="BR257" t="s">
        <v>1053</v>
      </c>
      <c r="BX257" t="str">
        <f>"SMTWTFS 0300-0700 1900-2300"</f>
        <v>SMTWTFS 0300-0700 1900-2300</v>
      </c>
      <c r="BY257" t="str">
        <f>""</f>
        <v/>
      </c>
      <c r="BZ257" t="str">
        <f>""</f>
        <v/>
      </c>
      <c r="CA257" t="str">
        <f>""</f>
        <v/>
      </c>
      <c r="CB257" t="str">
        <f>""</f>
        <v/>
      </c>
      <c r="CC257" t="str">
        <f>""</f>
        <v/>
      </c>
      <c r="CD257" t="str">
        <f>""</f>
        <v/>
      </c>
      <c r="CE257" t="str">
        <f>""</f>
        <v/>
      </c>
      <c r="CF257" t="str">
        <f>""</f>
        <v/>
      </c>
      <c r="CG257" t="str">
        <f>""</f>
        <v/>
      </c>
      <c r="CH257" t="str">
        <f>""</f>
        <v/>
      </c>
    </row>
    <row r="258" spans="1:86" x14ac:dyDescent="0.25">
      <c r="A258" t="s">
        <v>1646</v>
      </c>
      <c r="B258" t="s">
        <v>1647</v>
      </c>
      <c r="C258" t="s">
        <v>1992</v>
      </c>
      <c r="D258" t="s">
        <v>2010</v>
      </c>
      <c r="E258" t="s">
        <v>1648</v>
      </c>
      <c r="H258" t="s">
        <v>1649</v>
      </c>
      <c r="I258" t="s">
        <v>2061</v>
      </c>
      <c r="J258" t="str">
        <f>"94536"</f>
        <v>94536</v>
      </c>
      <c r="K258" t="s">
        <v>1998</v>
      </c>
      <c r="L258" t="s">
        <v>2062</v>
      </c>
      <c r="M258" t="s">
        <v>2063</v>
      </c>
      <c r="N258" t="s">
        <v>1992</v>
      </c>
      <c r="O258" t="s">
        <v>1991</v>
      </c>
      <c r="P258" t="s">
        <v>1992</v>
      </c>
      <c r="Q258" t="s">
        <v>1992</v>
      </c>
      <c r="R258" t="s">
        <v>1992</v>
      </c>
      <c r="S258" t="s">
        <v>1992</v>
      </c>
      <c r="T258" t="s">
        <v>1992</v>
      </c>
      <c r="U258" t="s">
        <v>1992</v>
      </c>
      <c r="V258" t="s">
        <v>1991</v>
      </c>
      <c r="W258" t="s">
        <v>1991</v>
      </c>
      <c r="X258" t="s">
        <v>1992</v>
      </c>
      <c r="Y258" t="s">
        <v>1991</v>
      </c>
      <c r="Z258" t="s">
        <v>1992</v>
      </c>
      <c r="AA258" t="s">
        <v>1991</v>
      </c>
      <c r="AB258" t="s">
        <v>1650</v>
      </c>
      <c r="AF258" t="s">
        <v>2064</v>
      </c>
      <c r="AG258" t="s">
        <v>1991</v>
      </c>
      <c r="AH258">
        <v>30</v>
      </c>
      <c r="AI258">
        <v>30</v>
      </c>
      <c r="AJ258" t="s">
        <v>1651</v>
      </c>
      <c r="AK258">
        <v>58</v>
      </c>
      <c r="AL258">
        <v>201961</v>
      </c>
      <c r="AM258" t="s">
        <v>2298</v>
      </c>
      <c r="AN258" t="s">
        <v>2066</v>
      </c>
      <c r="AO258" t="s">
        <v>2063</v>
      </c>
      <c r="BF258" t="s">
        <v>1053</v>
      </c>
      <c r="BG258" t="s">
        <v>2067</v>
      </c>
      <c r="BH258" t="s">
        <v>348</v>
      </c>
      <c r="BI258" t="s">
        <v>1053</v>
      </c>
      <c r="BK258" t="s">
        <v>1053</v>
      </c>
      <c r="BM258" t="s">
        <v>3653</v>
      </c>
      <c r="BN258" t="s">
        <v>3654</v>
      </c>
      <c r="BO258" t="s">
        <v>1053</v>
      </c>
      <c r="BP258" t="s">
        <v>675</v>
      </c>
      <c r="BQ258" t="s">
        <v>2073</v>
      </c>
      <c r="BR258" t="s">
        <v>1053</v>
      </c>
      <c r="BS258" t="s">
        <v>1053</v>
      </c>
      <c r="BX258" t="str">
        <f>"-MTWTF- 0630-2030; ------S 0800-1200"</f>
        <v>-MTWTF- 0630-2030; ------S 0800-1200</v>
      </c>
      <c r="BY258" t="str">
        <f>""</f>
        <v/>
      </c>
      <c r="BZ258" t="str">
        <f>""</f>
        <v/>
      </c>
      <c r="CA258" t="str">
        <f>""</f>
        <v/>
      </c>
      <c r="CB258" t="str">
        <f>""</f>
        <v/>
      </c>
      <c r="CC258" t="str">
        <f>"-MTWTF- 0630-2030"</f>
        <v>-MTWTF- 0630-2030</v>
      </c>
      <c r="CD258" t="str">
        <f>""</f>
        <v/>
      </c>
      <c r="CE258" t="str">
        <f>""</f>
        <v/>
      </c>
      <c r="CF258" t="str">
        <f>""</f>
        <v/>
      </c>
      <c r="CG258" t="str">
        <f>""</f>
        <v/>
      </c>
      <c r="CH258" t="str">
        <f>"SMTWTFS 0001-2359"</f>
        <v>SMTWTFS 0001-2359</v>
      </c>
    </row>
    <row r="259" spans="1:86" x14ac:dyDescent="0.25">
      <c r="A259" t="s">
        <v>1652</v>
      </c>
      <c r="B259" t="s">
        <v>1653</v>
      </c>
      <c r="C259" t="s">
        <v>1991</v>
      </c>
      <c r="D259" t="s">
        <v>2010</v>
      </c>
      <c r="E259" t="s">
        <v>1654</v>
      </c>
      <c r="F259" t="s">
        <v>1655</v>
      </c>
      <c r="H259" t="s">
        <v>1656</v>
      </c>
      <c r="I259" t="s">
        <v>2061</v>
      </c>
      <c r="J259" t="str">
        <f>"93721-1325"</f>
        <v>93721-1325</v>
      </c>
      <c r="K259" t="s">
        <v>1998</v>
      </c>
      <c r="L259" t="s">
        <v>2062</v>
      </c>
      <c r="M259" t="s">
        <v>1657</v>
      </c>
      <c r="N259" t="s">
        <v>1991</v>
      </c>
      <c r="O259" t="s">
        <v>1991</v>
      </c>
      <c r="P259" t="s">
        <v>1992</v>
      </c>
      <c r="Q259" t="s">
        <v>1991</v>
      </c>
      <c r="R259" t="s">
        <v>1992</v>
      </c>
      <c r="S259" t="s">
        <v>1992</v>
      </c>
      <c r="T259" t="s">
        <v>1992</v>
      </c>
      <c r="U259" t="s">
        <v>1991</v>
      </c>
      <c r="V259" t="s">
        <v>1991</v>
      </c>
      <c r="W259" t="s">
        <v>1991</v>
      </c>
      <c r="X259" t="s">
        <v>1992</v>
      </c>
      <c r="Y259" t="s">
        <v>1991</v>
      </c>
      <c r="Z259" t="s">
        <v>1992</v>
      </c>
      <c r="AA259" t="s">
        <v>1992</v>
      </c>
      <c r="AE259" t="s">
        <v>2047</v>
      </c>
      <c r="AF259" t="s">
        <v>2064</v>
      </c>
      <c r="AG259" t="s">
        <v>1991</v>
      </c>
      <c r="AH259">
        <v>45</v>
      </c>
      <c r="AI259">
        <v>30</v>
      </c>
      <c r="AJ259" t="s">
        <v>1658</v>
      </c>
      <c r="AK259">
        <v>295</v>
      </c>
      <c r="AL259">
        <v>466714</v>
      </c>
      <c r="AM259" t="s">
        <v>1659</v>
      </c>
      <c r="AN259" t="s">
        <v>1053</v>
      </c>
      <c r="AO259" t="s">
        <v>1053</v>
      </c>
      <c r="AP259" t="s">
        <v>2069</v>
      </c>
      <c r="AQ259" t="s">
        <v>1053</v>
      </c>
      <c r="AR259" t="s">
        <v>2069</v>
      </c>
      <c r="AS259" t="s">
        <v>1652</v>
      </c>
      <c r="AT259" t="s">
        <v>1660</v>
      </c>
      <c r="AU259" t="s">
        <v>1053</v>
      </c>
      <c r="AV259" t="s">
        <v>1053</v>
      </c>
      <c r="AW259" t="s">
        <v>2069</v>
      </c>
      <c r="AX259" t="s">
        <v>1053</v>
      </c>
      <c r="AY259" t="s">
        <v>2069</v>
      </c>
      <c r="AZ259" t="s">
        <v>1652</v>
      </c>
      <c r="BA259" t="s">
        <v>1660</v>
      </c>
      <c r="BB259" t="s">
        <v>1053</v>
      </c>
      <c r="BC259" t="s">
        <v>2069</v>
      </c>
      <c r="BD259" t="s">
        <v>1053</v>
      </c>
      <c r="BE259" t="s">
        <v>2069</v>
      </c>
      <c r="BF259" t="s">
        <v>1053</v>
      </c>
      <c r="BG259" t="s">
        <v>2067</v>
      </c>
      <c r="BH259" t="s">
        <v>1661</v>
      </c>
      <c r="BI259" t="s">
        <v>1053</v>
      </c>
      <c r="BJ259" t="s">
        <v>2069</v>
      </c>
      <c r="BK259" t="s">
        <v>1053</v>
      </c>
      <c r="BL259" t="s">
        <v>2069</v>
      </c>
      <c r="BM259" t="s">
        <v>2070</v>
      </c>
      <c r="BN259" t="s">
        <v>2071</v>
      </c>
      <c r="BO259" t="s">
        <v>1053</v>
      </c>
      <c r="BP259" t="s">
        <v>675</v>
      </c>
      <c r="BQ259" t="s">
        <v>2073</v>
      </c>
      <c r="BR259" t="s">
        <v>1053</v>
      </c>
      <c r="BS259" t="s">
        <v>1053</v>
      </c>
      <c r="BT259" t="s">
        <v>1053</v>
      </c>
      <c r="BU259" t="s">
        <v>1053</v>
      </c>
      <c r="BV259" t="s">
        <v>2074</v>
      </c>
      <c r="BX259" t="str">
        <f>"SMTWTFS 0530-2200"</f>
        <v>SMTWTFS 0530-2200</v>
      </c>
      <c r="BY259" t="str">
        <f>"SMTWTFS 0530-2130"</f>
        <v>SMTWTFS 0530-2130</v>
      </c>
      <c r="BZ259" t="str">
        <f>"SMTWTFS 0530-2130"</f>
        <v>SMTWTFS 0530-2130</v>
      </c>
      <c r="CA259" t="str">
        <f>"SMTWTFS 0530-2145"</f>
        <v>SMTWTFS 0530-2145</v>
      </c>
      <c r="CB259" t="str">
        <f>""</f>
        <v/>
      </c>
      <c r="CC259" t="str">
        <f>"SMTWTFS 0530-2200"</f>
        <v>SMTWTFS 0530-2200</v>
      </c>
      <c r="CD259" t="str">
        <f>""</f>
        <v/>
      </c>
      <c r="CE259" t="str">
        <f>""</f>
        <v/>
      </c>
      <c r="CF259" t="str">
        <f>""</f>
        <v/>
      </c>
      <c r="CG259" t="str">
        <f>""</f>
        <v/>
      </c>
      <c r="CH259" t="str">
        <f>"SMTWTFS 0530-2200"</f>
        <v>SMTWTFS 0530-2200</v>
      </c>
    </row>
    <row r="260" spans="1:86" x14ac:dyDescent="0.25">
      <c r="A260" t="s">
        <v>1662</v>
      </c>
      <c r="B260" t="s">
        <v>1663</v>
      </c>
      <c r="C260" t="s">
        <v>1992</v>
      </c>
      <c r="D260" t="s">
        <v>1993</v>
      </c>
      <c r="E260" t="s">
        <v>1664</v>
      </c>
      <c r="F260" t="s">
        <v>1665</v>
      </c>
      <c r="H260" t="s">
        <v>1666</v>
      </c>
      <c r="I260" t="s">
        <v>592</v>
      </c>
      <c r="J260" t="str">
        <f>"06339-1128"</f>
        <v>06339-1128</v>
      </c>
      <c r="K260" t="s">
        <v>1998</v>
      </c>
      <c r="L260" t="s">
        <v>2033</v>
      </c>
      <c r="M260" t="s">
        <v>2063</v>
      </c>
      <c r="N260" t="s">
        <v>1992</v>
      </c>
      <c r="O260" t="s">
        <v>1992</v>
      </c>
      <c r="P260" t="s">
        <v>1992</v>
      </c>
      <c r="Q260" t="s">
        <v>1992</v>
      </c>
      <c r="R260" t="s">
        <v>1992</v>
      </c>
      <c r="S260" t="s">
        <v>1992</v>
      </c>
      <c r="T260" t="s">
        <v>1992</v>
      </c>
      <c r="U260" t="s">
        <v>1992</v>
      </c>
      <c r="V260" t="s">
        <v>1991</v>
      </c>
      <c r="W260" t="s">
        <v>1992</v>
      </c>
      <c r="X260" t="s">
        <v>1992</v>
      </c>
      <c r="Y260" t="s">
        <v>1991</v>
      </c>
      <c r="Z260" t="s">
        <v>1991</v>
      </c>
      <c r="AF260" t="s">
        <v>2016</v>
      </c>
      <c r="AG260" t="s">
        <v>1991</v>
      </c>
      <c r="AH260">
        <v>30</v>
      </c>
      <c r="AI260">
        <v>30</v>
      </c>
      <c r="AJ260" t="s">
        <v>1667</v>
      </c>
      <c r="AK260">
        <v>190</v>
      </c>
      <c r="AM260" t="s">
        <v>1668</v>
      </c>
      <c r="BX260" t="str">
        <f>""</f>
        <v/>
      </c>
      <c r="BY260" t="str">
        <f>""</f>
        <v/>
      </c>
      <c r="BZ260" t="str">
        <f>""</f>
        <v/>
      </c>
      <c r="CA260" t="str">
        <f>""</f>
        <v/>
      </c>
      <c r="CB260" t="str">
        <f>""</f>
        <v/>
      </c>
      <c r="CC260" t="str">
        <f>""</f>
        <v/>
      </c>
      <c r="CD260" t="str">
        <f>""</f>
        <v/>
      </c>
      <c r="CE260" t="str">
        <f>""</f>
        <v/>
      </c>
      <c r="CF260" t="str">
        <f>""</f>
        <v/>
      </c>
      <c r="CG260" t="str">
        <f>""</f>
        <v/>
      </c>
      <c r="CH260" t="str">
        <f>""</f>
        <v/>
      </c>
    </row>
    <row r="261" spans="1:86" x14ac:dyDescent="0.25">
      <c r="A261" t="s">
        <v>1669</v>
      </c>
      <c r="B261" t="s">
        <v>1670</v>
      </c>
      <c r="C261" t="s">
        <v>1992</v>
      </c>
      <c r="D261" t="s">
        <v>2028</v>
      </c>
      <c r="E261" t="s">
        <v>1671</v>
      </c>
      <c r="F261" t="s">
        <v>1672</v>
      </c>
      <c r="H261" t="s">
        <v>1673</v>
      </c>
      <c r="I261" t="s">
        <v>247</v>
      </c>
      <c r="J261" t="str">
        <f>"01702-6948"</f>
        <v>01702-6948</v>
      </c>
      <c r="K261" t="s">
        <v>1998</v>
      </c>
      <c r="L261" t="s">
        <v>2033</v>
      </c>
      <c r="M261" t="s">
        <v>2063</v>
      </c>
      <c r="N261" t="s">
        <v>1992</v>
      </c>
      <c r="O261" t="s">
        <v>1992</v>
      </c>
      <c r="P261" t="s">
        <v>1992</v>
      </c>
      <c r="Q261" t="s">
        <v>1992</v>
      </c>
      <c r="R261" t="s">
        <v>1992</v>
      </c>
      <c r="S261" t="s">
        <v>1992</v>
      </c>
      <c r="T261" t="s">
        <v>1992</v>
      </c>
      <c r="U261" t="s">
        <v>1992</v>
      </c>
      <c r="V261" t="s">
        <v>1991</v>
      </c>
      <c r="W261" t="s">
        <v>1991</v>
      </c>
      <c r="X261" t="s">
        <v>1991</v>
      </c>
      <c r="Y261" t="s">
        <v>1992</v>
      </c>
      <c r="Z261" t="s">
        <v>1992</v>
      </c>
      <c r="AA261" t="s">
        <v>1992</v>
      </c>
      <c r="AF261" t="s">
        <v>2016</v>
      </c>
      <c r="AG261" t="s">
        <v>1991</v>
      </c>
      <c r="AH261">
        <v>30</v>
      </c>
      <c r="AI261">
        <v>30</v>
      </c>
      <c r="AJ261" t="s">
        <v>1674</v>
      </c>
      <c r="AK261">
        <v>165</v>
      </c>
      <c r="AL261">
        <v>35000</v>
      </c>
      <c r="AM261" t="s">
        <v>1675</v>
      </c>
      <c r="AN261" t="s">
        <v>2066</v>
      </c>
      <c r="AO261" t="s">
        <v>2063</v>
      </c>
      <c r="BF261" t="s">
        <v>1053</v>
      </c>
      <c r="BG261" t="s">
        <v>518</v>
      </c>
      <c r="BH261" t="s">
        <v>522</v>
      </c>
      <c r="BI261" t="s">
        <v>1053</v>
      </c>
      <c r="BJ261" t="s">
        <v>1053</v>
      </c>
      <c r="BK261" t="s">
        <v>1053</v>
      </c>
      <c r="BL261" t="s">
        <v>1053</v>
      </c>
      <c r="BM261" t="s">
        <v>520</v>
      </c>
      <c r="BN261" t="s">
        <v>523</v>
      </c>
      <c r="BO261" t="s">
        <v>1053</v>
      </c>
      <c r="BP261" t="s">
        <v>1676</v>
      </c>
      <c r="BQ261" t="s">
        <v>522</v>
      </c>
      <c r="BR261" t="s">
        <v>1053</v>
      </c>
      <c r="BS261" t="s">
        <v>1053</v>
      </c>
      <c r="BT261" t="s">
        <v>1053</v>
      </c>
      <c r="BU261" t="s">
        <v>1053</v>
      </c>
      <c r="BV261" t="s">
        <v>520</v>
      </c>
      <c r="BW261" t="s">
        <v>523</v>
      </c>
      <c r="BX261" t="str">
        <f>""</f>
        <v/>
      </c>
      <c r="BY261" t="str">
        <f>""</f>
        <v/>
      </c>
      <c r="BZ261" t="str">
        <f>""</f>
        <v/>
      </c>
      <c r="CA261" t="str">
        <f>""</f>
        <v/>
      </c>
      <c r="CB261" t="str">
        <f>""</f>
        <v/>
      </c>
      <c r="CC261" t="str">
        <f>""</f>
        <v/>
      </c>
      <c r="CD261" t="str">
        <f>""</f>
        <v/>
      </c>
      <c r="CE261" t="str">
        <f>""</f>
        <v/>
      </c>
      <c r="CF261" t="str">
        <f>""</f>
        <v/>
      </c>
      <c r="CG261" t="str">
        <f>""</f>
        <v/>
      </c>
      <c r="CH261" t="str">
        <f>""</f>
        <v/>
      </c>
    </row>
    <row r="262" spans="1:86" x14ac:dyDescent="0.25">
      <c r="A262" t="s">
        <v>1677</v>
      </c>
      <c r="B262" t="s">
        <v>1678</v>
      </c>
      <c r="C262" t="s">
        <v>1992</v>
      </c>
      <c r="D262" t="s">
        <v>2010</v>
      </c>
      <c r="E262" t="s">
        <v>1679</v>
      </c>
      <c r="F262" t="s">
        <v>1680</v>
      </c>
      <c r="H262" t="s">
        <v>1681</v>
      </c>
      <c r="I262" t="s">
        <v>2014</v>
      </c>
      <c r="J262" t="str">
        <f>"21704"</f>
        <v>21704</v>
      </c>
      <c r="K262" t="s">
        <v>1998</v>
      </c>
      <c r="L262" t="s">
        <v>2015</v>
      </c>
      <c r="M262" t="s">
        <v>2000</v>
      </c>
      <c r="N262" t="s">
        <v>1992</v>
      </c>
      <c r="O262" t="s">
        <v>1992</v>
      </c>
      <c r="P262" t="s">
        <v>1992</v>
      </c>
      <c r="Q262" t="s">
        <v>1992</v>
      </c>
      <c r="R262" t="s">
        <v>1992</v>
      </c>
      <c r="S262" t="s">
        <v>1992</v>
      </c>
      <c r="T262" t="s">
        <v>1992</v>
      </c>
      <c r="U262" t="s">
        <v>1992</v>
      </c>
      <c r="V262" t="s">
        <v>1991</v>
      </c>
      <c r="W262" t="s">
        <v>1992</v>
      </c>
      <c r="X262" t="s">
        <v>1991</v>
      </c>
      <c r="Z262" t="s">
        <v>1991</v>
      </c>
      <c r="AB262" t="s">
        <v>1682</v>
      </c>
      <c r="AE262" t="s">
        <v>499</v>
      </c>
      <c r="AF262" t="s">
        <v>2016</v>
      </c>
      <c r="AG262" t="s">
        <v>1991</v>
      </c>
      <c r="AH262">
        <v>15</v>
      </c>
      <c r="AI262">
        <v>15</v>
      </c>
      <c r="AJ262" t="s">
        <v>1683</v>
      </c>
      <c r="AK262">
        <v>279</v>
      </c>
      <c r="AL262">
        <v>60000</v>
      </c>
      <c r="BX262" t="str">
        <f>""</f>
        <v/>
      </c>
      <c r="BY262" t="str">
        <f>""</f>
        <v/>
      </c>
      <c r="BZ262" t="str">
        <f>""</f>
        <v/>
      </c>
      <c r="CA262" t="str">
        <f>""</f>
        <v/>
      </c>
      <c r="CB262" t="str">
        <f>""</f>
        <v/>
      </c>
      <c r="CC262" t="str">
        <f>""</f>
        <v/>
      </c>
      <c r="CD262" t="str">
        <f>""</f>
        <v/>
      </c>
      <c r="CE262" t="str">
        <f>""</f>
        <v/>
      </c>
      <c r="CF262" t="str">
        <f>""</f>
        <v/>
      </c>
      <c r="CG262" t="str">
        <f>""</f>
        <v/>
      </c>
      <c r="CH262" t="str">
        <f>""</f>
        <v/>
      </c>
    </row>
    <row r="263" spans="1:86" x14ac:dyDescent="0.25">
      <c r="A263" t="s">
        <v>1684</v>
      </c>
      <c r="B263" t="s">
        <v>1685</v>
      </c>
      <c r="C263" t="s">
        <v>1992</v>
      </c>
      <c r="D263" t="s">
        <v>1993</v>
      </c>
      <c r="E263" t="s">
        <v>1686</v>
      </c>
      <c r="F263" t="s">
        <v>1687</v>
      </c>
      <c r="G263" t="s">
        <v>1688</v>
      </c>
      <c r="H263" t="s">
        <v>1627</v>
      </c>
      <c r="I263" t="s">
        <v>2295</v>
      </c>
      <c r="J263" t="str">
        <f>"97439"</f>
        <v>97439</v>
      </c>
      <c r="K263" t="s">
        <v>1998</v>
      </c>
      <c r="L263" t="s">
        <v>231</v>
      </c>
      <c r="M263" t="s">
        <v>1689</v>
      </c>
      <c r="N263" t="s">
        <v>1992</v>
      </c>
      <c r="O263" t="s">
        <v>1992</v>
      </c>
      <c r="P263" t="s">
        <v>1992</v>
      </c>
      <c r="Q263" t="s">
        <v>1992</v>
      </c>
      <c r="R263" t="s">
        <v>1992</v>
      </c>
      <c r="S263" t="s">
        <v>1992</v>
      </c>
      <c r="T263" t="s">
        <v>1992</v>
      </c>
      <c r="U263" t="s">
        <v>1992</v>
      </c>
      <c r="V263" t="s">
        <v>1991</v>
      </c>
      <c r="W263" t="s">
        <v>1992</v>
      </c>
      <c r="X263" t="s">
        <v>1992</v>
      </c>
      <c r="Y263" t="s">
        <v>1992</v>
      </c>
      <c r="Z263" t="s">
        <v>1991</v>
      </c>
      <c r="AF263" t="s">
        <v>2064</v>
      </c>
      <c r="AG263" t="s">
        <v>1991</v>
      </c>
      <c r="AH263">
        <v>30</v>
      </c>
      <c r="AI263">
        <v>30</v>
      </c>
      <c r="AJ263" t="s">
        <v>1690</v>
      </c>
      <c r="AK263">
        <v>16</v>
      </c>
      <c r="AL263">
        <v>8122</v>
      </c>
      <c r="AM263" t="s">
        <v>2298</v>
      </c>
      <c r="AN263" t="s">
        <v>3819</v>
      </c>
      <c r="AO263" t="s">
        <v>2063</v>
      </c>
      <c r="BF263" t="s">
        <v>1053</v>
      </c>
      <c r="BG263" t="s">
        <v>394</v>
      </c>
      <c r="BH263" t="s">
        <v>311</v>
      </c>
      <c r="BI263" t="s">
        <v>1053</v>
      </c>
      <c r="BJ263" t="s">
        <v>1053</v>
      </c>
      <c r="BK263" t="s">
        <v>1053</v>
      </c>
      <c r="BL263" t="s">
        <v>1053</v>
      </c>
      <c r="BX263" t="str">
        <f>"--TWTFS 0800-1700"</f>
        <v>--TWTFS 0800-1700</v>
      </c>
      <c r="BY263" t="str">
        <f>""</f>
        <v/>
      </c>
      <c r="BZ263" t="str">
        <f>""</f>
        <v/>
      </c>
      <c r="CA263" t="str">
        <f>""</f>
        <v/>
      </c>
      <c r="CB263" t="str">
        <f>""</f>
        <v/>
      </c>
      <c r="CC263" t="str">
        <f>""</f>
        <v/>
      </c>
      <c r="CD263" t="str">
        <f>""</f>
        <v/>
      </c>
      <c r="CE263" t="str">
        <f>""</f>
        <v/>
      </c>
      <c r="CF263" t="str">
        <f>""</f>
        <v/>
      </c>
      <c r="CG263" t="str">
        <f>""</f>
        <v/>
      </c>
      <c r="CH263" t="str">
        <f>""</f>
        <v/>
      </c>
    </row>
    <row r="264" spans="1:86" x14ac:dyDescent="0.25">
      <c r="A264" t="s">
        <v>1691</v>
      </c>
      <c r="B264" t="s">
        <v>1692</v>
      </c>
      <c r="C264" t="s">
        <v>1992</v>
      </c>
      <c r="D264" t="s">
        <v>1993</v>
      </c>
      <c r="E264" t="s">
        <v>1693</v>
      </c>
      <c r="F264" t="s">
        <v>1694</v>
      </c>
      <c r="H264" t="s">
        <v>1681</v>
      </c>
      <c r="I264" t="s">
        <v>2014</v>
      </c>
      <c r="J264" t="str">
        <f>"21705"</f>
        <v>21705</v>
      </c>
      <c r="K264" t="s">
        <v>1998</v>
      </c>
      <c r="L264" t="s">
        <v>2015</v>
      </c>
      <c r="M264" t="s">
        <v>2000</v>
      </c>
      <c r="N264" t="s">
        <v>1992</v>
      </c>
      <c r="O264" t="s">
        <v>1992</v>
      </c>
      <c r="P264" t="s">
        <v>1992</v>
      </c>
      <c r="Q264" t="s">
        <v>1992</v>
      </c>
      <c r="R264" t="s">
        <v>1992</v>
      </c>
      <c r="S264" t="s">
        <v>1992</v>
      </c>
      <c r="T264" t="s">
        <v>1992</v>
      </c>
      <c r="U264" t="s">
        <v>1992</v>
      </c>
      <c r="V264" t="s">
        <v>1991</v>
      </c>
      <c r="Z264" t="s">
        <v>1991</v>
      </c>
      <c r="AB264" t="s">
        <v>1682</v>
      </c>
      <c r="AF264" t="s">
        <v>2016</v>
      </c>
      <c r="AG264" t="s">
        <v>1991</v>
      </c>
      <c r="AH264">
        <v>15</v>
      </c>
      <c r="AI264">
        <v>15</v>
      </c>
      <c r="AJ264" t="s">
        <v>1695</v>
      </c>
      <c r="AK264">
        <v>299</v>
      </c>
      <c r="AL264">
        <v>60000</v>
      </c>
      <c r="BX264" t="str">
        <f>""</f>
        <v/>
      </c>
      <c r="BY264" t="str">
        <f>""</f>
        <v/>
      </c>
      <c r="BZ264" t="str">
        <f>""</f>
        <v/>
      </c>
      <c r="CA264" t="str">
        <f>""</f>
        <v/>
      </c>
      <c r="CB264" t="str">
        <f>""</f>
        <v/>
      </c>
      <c r="CC264" t="str">
        <f>""</f>
        <v/>
      </c>
      <c r="CD264" t="str">
        <f>""</f>
        <v/>
      </c>
      <c r="CE264" t="str">
        <f>""</f>
        <v/>
      </c>
      <c r="CF264" t="str">
        <f>""</f>
        <v/>
      </c>
      <c r="CG264" t="str">
        <f>""</f>
        <v/>
      </c>
      <c r="CH264" t="str">
        <f>""</f>
        <v/>
      </c>
    </row>
    <row r="265" spans="1:86" x14ac:dyDescent="0.25">
      <c r="A265" t="s">
        <v>1696</v>
      </c>
      <c r="B265" t="s">
        <v>1697</v>
      </c>
      <c r="C265" t="s">
        <v>1992</v>
      </c>
      <c r="D265" t="s">
        <v>1993</v>
      </c>
      <c r="E265" t="s">
        <v>1698</v>
      </c>
      <c r="F265" t="s">
        <v>1699</v>
      </c>
      <c r="G265" t="s">
        <v>1700</v>
      </c>
      <c r="H265" t="s">
        <v>1649</v>
      </c>
      <c r="I265" t="s">
        <v>2061</v>
      </c>
      <c r="J265" t="str">
        <f>"94538"</f>
        <v>94538</v>
      </c>
      <c r="K265" t="s">
        <v>1998</v>
      </c>
      <c r="L265" t="s">
        <v>2062</v>
      </c>
      <c r="M265" t="s">
        <v>2063</v>
      </c>
      <c r="N265" t="s">
        <v>1992</v>
      </c>
      <c r="O265" t="s">
        <v>1992</v>
      </c>
      <c r="P265" t="s">
        <v>1992</v>
      </c>
      <c r="Q265" t="s">
        <v>1992</v>
      </c>
      <c r="R265" t="s">
        <v>1992</v>
      </c>
      <c r="S265" t="s">
        <v>1992</v>
      </c>
      <c r="T265" t="s">
        <v>1992</v>
      </c>
      <c r="U265" t="s">
        <v>1992</v>
      </c>
      <c r="V265" t="s">
        <v>1991</v>
      </c>
      <c r="W265" t="s">
        <v>1992</v>
      </c>
      <c r="X265" t="s">
        <v>1992</v>
      </c>
      <c r="Y265" t="s">
        <v>1991</v>
      </c>
      <c r="Z265" t="s">
        <v>1992</v>
      </c>
      <c r="AA265" t="s">
        <v>1992</v>
      </c>
      <c r="AB265" t="s">
        <v>1650</v>
      </c>
      <c r="AF265" t="s">
        <v>2064</v>
      </c>
      <c r="AG265" t="s">
        <v>1991</v>
      </c>
      <c r="AH265">
        <v>30</v>
      </c>
      <c r="AI265">
        <v>30</v>
      </c>
      <c r="AJ265" t="s">
        <v>1701</v>
      </c>
      <c r="AK265">
        <v>264</v>
      </c>
      <c r="AL265">
        <v>162800</v>
      </c>
      <c r="AM265" t="s">
        <v>2298</v>
      </c>
      <c r="BF265" t="s">
        <v>1053</v>
      </c>
      <c r="BG265" t="s">
        <v>309</v>
      </c>
      <c r="BH265" t="s">
        <v>2301</v>
      </c>
      <c r="BI265" t="s">
        <v>1053</v>
      </c>
      <c r="BK265" t="s">
        <v>1053</v>
      </c>
      <c r="BO265" t="s">
        <v>1053</v>
      </c>
      <c r="BP265" t="s">
        <v>1702</v>
      </c>
      <c r="BQ265" t="s">
        <v>1703</v>
      </c>
      <c r="BR265" t="s">
        <v>1053</v>
      </c>
      <c r="BS265" t="s">
        <v>1053</v>
      </c>
      <c r="BT265" t="s">
        <v>1053</v>
      </c>
      <c r="BU265" t="s">
        <v>1053</v>
      </c>
      <c r="BV265" t="s">
        <v>2074</v>
      </c>
      <c r="BX265" t="str">
        <f>""</f>
        <v/>
      </c>
      <c r="BY265" t="str">
        <f>""</f>
        <v/>
      </c>
      <c r="BZ265" t="str">
        <f>""</f>
        <v/>
      </c>
      <c r="CA265" t="str">
        <f>""</f>
        <v/>
      </c>
      <c r="CB265" t="str">
        <f>""</f>
        <v/>
      </c>
      <c r="CC265" t="str">
        <f>""</f>
        <v/>
      </c>
      <c r="CD265" t="str">
        <f>""</f>
        <v/>
      </c>
      <c r="CE265" t="str">
        <f>""</f>
        <v/>
      </c>
      <c r="CF265" t="str">
        <f>""</f>
        <v/>
      </c>
      <c r="CG265" t="str">
        <f>""</f>
        <v/>
      </c>
      <c r="CH265" t="str">
        <f>""</f>
        <v/>
      </c>
    </row>
    <row r="266" spans="1:86" x14ac:dyDescent="0.25">
      <c r="A266" t="s">
        <v>1704</v>
      </c>
      <c r="B266" t="s">
        <v>1705</v>
      </c>
      <c r="C266" t="s">
        <v>1992</v>
      </c>
      <c r="D266" t="s">
        <v>1993</v>
      </c>
      <c r="E266" t="s">
        <v>1706</v>
      </c>
      <c r="F266" t="s">
        <v>1707</v>
      </c>
      <c r="H266" t="s">
        <v>1708</v>
      </c>
      <c r="I266" t="s">
        <v>2014</v>
      </c>
      <c r="J266" t="str">
        <f>"21532"</f>
        <v>21532</v>
      </c>
      <c r="K266" t="s">
        <v>1998</v>
      </c>
      <c r="L266" t="s">
        <v>2015</v>
      </c>
      <c r="M266" t="s">
        <v>2000</v>
      </c>
      <c r="N266" t="s">
        <v>1992</v>
      </c>
      <c r="O266" t="s">
        <v>1992</v>
      </c>
      <c r="P266" t="s">
        <v>1992</v>
      </c>
      <c r="Q266" t="s">
        <v>1992</v>
      </c>
      <c r="R266" t="s">
        <v>1992</v>
      </c>
      <c r="S266" t="s">
        <v>1992</v>
      </c>
      <c r="T266" t="s">
        <v>1992</v>
      </c>
      <c r="U266" t="s">
        <v>1992</v>
      </c>
      <c r="V266" t="s">
        <v>1991</v>
      </c>
      <c r="Z266" t="s">
        <v>1991</v>
      </c>
      <c r="AF266" t="s">
        <v>2016</v>
      </c>
      <c r="AG266" t="s">
        <v>1991</v>
      </c>
      <c r="AH266">
        <v>15</v>
      </c>
      <c r="AI266">
        <v>15</v>
      </c>
      <c r="AJ266" t="s">
        <v>1709</v>
      </c>
      <c r="AK266">
        <v>1939</v>
      </c>
      <c r="BX266" t="str">
        <f>""</f>
        <v/>
      </c>
      <c r="BY266" t="str">
        <f>""</f>
        <v/>
      </c>
      <c r="BZ266" t="str">
        <f>""</f>
        <v/>
      </c>
      <c r="CA266" t="str">
        <f>""</f>
        <v/>
      </c>
      <c r="CB266" t="str">
        <f>""</f>
        <v/>
      </c>
      <c r="CC266" t="str">
        <f>""</f>
        <v/>
      </c>
      <c r="CD266" t="str">
        <f>""</f>
        <v/>
      </c>
      <c r="CE266" t="str">
        <f>""</f>
        <v/>
      </c>
      <c r="CF266" t="str">
        <f>""</f>
        <v/>
      </c>
      <c r="CG266" t="str">
        <f>""</f>
        <v/>
      </c>
      <c r="CH266" t="str">
        <f>""</f>
        <v/>
      </c>
    </row>
    <row r="267" spans="1:86" x14ac:dyDescent="0.25">
      <c r="A267" t="s">
        <v>1710</v>
      </c>
      <c r="B267" t="s">
        <v>1711</v>
      </c>
      <c r="C267" t="s">
        <v>1992</v>
      </c>
      <c r="D267" t="s">
        <v>1993</v>
      </c>
      <c r="E267" t="s">
        <v>1712</v>
      </c>
      <c r="F267" t="s">
        <v>1713</v>
      </c>
      <c r="H267" t="s">
        <v>1714</v>
      </c>
      <c r="I267" t="s">
        <v>3629</v>
      </c>
      <c r="J267" t="str">
        <f>"80443"</f>
        <v>80443</v>
      </c>
      <c r="K267" t="s">
        <v>1998</v>
      </c>
      <c r="L267" t="s">
        <v>1999</v>
      </c>
      <c r="M267" t="s">
        <v>1715</v>
      </c>
      <c r="N267" t="s">
        <v>1992</v>
      </c>
      <c r="O267" t="s">
        <v>1992</v>
      </c>
      <c r="P267" t="s">
        <v>1992</v>
      </c>
      <c r="Q267" t="s">
        <v>1992</v>
      </c>
      <c r="R267" t="s">
        <v>1992</v>
      </c>
      <c r="S267" t="s">
        <v>1992</v>
      </c>
      <c r="T267" t="s">
        <v>1992</v>
      </c>
      <c r="U267" t="s">
        <v>1992</v>
      </c>
      <c r="V267" t="s">
        <v>1991</v>
      </c>
      <c r="W267" t="s">
        <v>1992</v>
      </c>
      <c r="X267" t="s">
        <v>1992</v>
      </c>
      <c r="Y267" t="s">
        <v>1991</v>
      </c>
      <c r="Z267" t="s">
        <v>1991</v>
      </c>
      <c r="AF267" t="s">
        <v>2048</v>
      </c>
      <c r="AG267" t="s">
        <v>1991</v>
      </c>
      <c r="AH267">
        <v>30</v>
      </c>
      <c r="AI267">
        <v>30</v>
      </c>
      <c r="AJ267" t="s">
        <v>1716</v>
      </c>
      <c r="AK267">
        <v>9070</v>
      </c>
      <c r="AL267">
        <v>2500</v>
      </c>
      <c r="AN267" t="s">
        <v>3890</v>
      </c>
      <c r="AO267" t="s">
        <v>1053</v>
      </c>
      <c r="BF267" t="s">
        <v>1053</v>
      </c>
      <c r="BG267" t="s">
        <v>235</v>
      </c>
      <c r="BH267" t="s">
        <v>1012</v>
      </c>
      <c r="BI267" t="s">
        <v>1053</v>
      </c>
      <c r="BJ267" t="s">
        <v>1053</v>
      </c>
      <c r="BK267" t="s">
        <v>1053</v>
      </c>
      <c r="BL267" t="s">
        <v>1053</v>
      </c>
      <c r="BO267" t="s">
        <v>1053</v>
      </c>
      <c r="BP267" t="s">
        <v>1717</v>
      </c>
      <c r="BQ267" t="s">
        <v>1012</v>
      </c>
      <c r="BR267" t="s">
        <v>1053</v>
      </c>
      <c r="BS267" t="s">
        <v>1053</v>
      </c>
      <c r="BX267" t="str">
        <f>""</f>
        <v/>
      </c>
      <c r="BY267" t="str">
        <f>""</f>
        <v/>
      </c>
      <c r="BZ267" t="str">
        <f>""</f>
        <v/>
      </c>
      <c r="CA267" t="str">
        <f>""</f>
        <v/>
      </c>
      <c r="CB267" t="str">
        <f>""</f>
        <v/>
      </c>
      <c r="CC267" t="str">
        <f>""</f>
        <v/>
      </c>
      <c r="CD267" t="str">
        <f>""</f>
        <v/>
      </c>
      <c r="CE267" t="str">
        <f>""</f>
        <v/>
      </c>
      <c r="CF267" t="str">
        <f>""</f>
        <v/>
      </c>
      <c r="CG267" t="str">
        <f>""</f>
        <v/>
      </c>
      <c r="CH267" t="str">
        <f>""</f>
        <v/>
      </c>
    </row>
    <row r="268" spans="1:86" x14ac:dyDescent="0.25">
      <c r="A268" t="s">
        <v>1718</v>
      </c>
      <c r="B268" t="s">
        <v>1719</v>
      </c>
      <c r="C268" t="s">
        <v>1992</v>
      </c>
      <c r="D268" t="s">
        <v>1993</v>
      </c>
      <c r="E268" t="s">
        <v>1720</v>
      </c>
      <c r="F268" t="s">
        <v>1721</v>
      </c>
      <c r="H268" t="s">
        <v>1722</v>
      </c>
      <c r="I268" t="s">
        <v>2061</v>
      </c>
      <c r="J268" t="str">
        <f>"95540"</f>
        <v>95540</v>
      </c>
      <c r="K268" t="s">
        <v>1998</v>
      </c>
      <c r="L268" t="s">
        <v>2062</v>
      </c>
      <c r="M268" t="s">
        <v>2063</v>
      </c>
      <c r="N268" t="s">
        <v>1992</v>
      </c>
      <c r="O268" t="s">
        <v>1992</v>
      </c>
      <c r="P268" t="s">
        <v>1992</v>
      </c>
      <c r="Q268" t="s">
        <v>1992</v>
      </c>
      <c r="R268" t="s">
        <v>1992</v>
      </c>
      <c r="S268" t="s">
        <v>1992</v>
      </c>
      <c r="T268" t="s">
        <v>1992</v>
      </c>
      <c r="U268" t="s">
        <v>1992</v>
      </c>
      <c r="V268" t="s">
        <v>1991</v>
      </c>
      <c r="W268" t="s">
        <v>1992</v>
      </c>
      <c r="X268" t="s">
        <v>1992</v>
      </c>
      <c r="Y268" t="s">
        <v>1991</v>
      </c>
      <c r="Z268" t="s">
        <v>1992</v>
      </c>
      <c r="AF268" t="s">
        <v>2064</v>
      </c>
      <c r="AG268" t="s">
        <v>1991</v>
      </c>
      <c r="AH268">
        <v>30</v>
      </c>
      <c r="AI268">
        <v>30</v>
      </c>
      <c r="AJ268" t="s">
        <v>1723</v>
      </c>
      <c r="AK268">
        <v>71</v>
      </c>
      <c r="AL268">
        <v>63300</v>
      </c>
      <c r="AM268" t="s">
        <v>2298</v>
      </c>
      <c r="AN268" t="s">
        <v>308</v>
      </c>
      <c r="AO268" t="s">
        <v>2063</v>
      </c>
      <c r="BF268" t="s">
        <v>1053</v>
      </c>
      <c r="BG268" t="s">
        <v>309</v>
      </c>
      <c r="BH268" t="s">
        <v>2301</v>
      </c>
      <c r="BI268" t="s">
        <v>1053</v>
      </c>
      <c r="BK268" t="s">
        <v>1053</v>
      </c>
      <c r="BO268" t="s">
        <v>1053</v>
      </c>
      <c r="BP268" t="s">
        <v>310</v>
      </c>
      <c r="BQ268" t="s">
        <v>311</v>
      </c>
      <c r="BR268" t="s">
        <v>1053</v>
      </c>
      <c r="BS268" t="s">
        <v>1053</v>
      </c>
      <c r="BT268" t="s">
        <v>1053</v>
      </c>
      <c r="BU268" t="s">
        <v>1053</v>
      </c>
      <c r="BX268" t="str">
        <f>""</f>
        <v/>
      </c>
      <c r="BY268" t="str">
        <f>""</f>
        <v/>
      </c>
      <c r="BZ268" t="str">
        <f>""</f>
        <v/>
      </c>
      <c r="CA268" t="str">
        <f>""</f>
        <v/>
      </c>
      <c r="CB268" t="str">
        <f>""</f>
        <v/>
      </c>
      <c r="CC268" t="str">
        <f>""</f>
        <v/>
      </c>
      <c r="CD268" t="str">
        <f>""</f>
        <v/>
      </c>
      <c r="CE268" t="str">
        <f>""</f>
        <v/>
      </c>
      <c r="CF268" t="str">
        <f>""</f>
        <v/>
      </c>
      <c r="CG268" t="str">
        <f>""</f>
        <v/>
      </c>
      <c r="CH268" t="str">
        <f>""</f>
        <v/>
      </c>
    </row>
    <row r="269" spans="1:86" x14ac:dyDescent="0.25">
      <c r="A269" t="s">
        <v>1724</v>
      </c>
      <c r="B269" t="s">
        <v>1725</v>
      </c>
      <c r="C269" t="s">
        <v>1992</v>
      </c>
      <c r="D269" t="s">
        <v>2028</v>
      </c>
      <c r="E269" t="s">
        <v>1726</v>
      </c>
      <c r="F269" t="s">
        <v>1727</v>
      </c>
      <c r="H269" t="s">
        <v>1728</v>
      </c>
      <c r="I269" t="s">
        <v>2321</v>
      </c>
      <c r="J269" t="str">
        <f>"12883"</f>
        <v>12883</v>
      </c>
      <c r="K269" t="s">
        <v>1998</v>
      </c>
      <c r="L269" t="s">
        <v>2033</v>
      </c>
      <c r="M269" t="s">
        <v>2063</v>
      </c>
      <c r="N269" t="s">
        <v>1992</v>
      </c>
      <c r="O269" t="s">
        <v>1992</v>
      </c>
      <c r="P269" t="s">
        <v>1992</v>
      </c>
      <c r="Q269" t="s">
        <v>1992</v>
      </c>
      <c r="R269" t="s">
        <v>1992</v>
      </c>
      <c r="S269" t="s">
        <v>1992</v>
      </c>
      <c r="T269" t="s">
        <v>1992</v>
      </c>
      <c r="U269" t="s">
        <v>1992</v>
      </c>
      <c r="V269" t="s">
        <v>1991</v>
      </c>
      <c r="W269" t="s">
        <v>1991</v>
      </c>
      <c r="X269" t="s">
        <v>1992</v>
      </c>
      <c r="Y269" t="s">
        <v>1992</v>
      </c>
      <c r="Z269" t="s">
        <v>1992</v>
      </c>
      <c r="AF269" t="s">
        <v>2016</v>
      </c>
      <c r="AG269" t="s">
        <v>1991</v>
      </c>
      <c r="AH269">
        <v>30</v>
      </c>
      <c r="AI269">
        <v>30</v>
      </c>
      <c r="AJ269" t="s">
        <v>1729</v>
      </c>
      <c r="AK269">
        <v>117</v>
      </c>
      <c r="AL269">
        <v>2100</v>
      </c>
      <c r="AN269" t="s">
        <v>1730</v>
      </c>
      <c r="AO269" t="s">
        <v>2063</v>
      </c>
      <c r="AU269" t="s">
        <v>1053</v>
      </c>
      <c r="AV269" t="s">
        <v>1053</v>
      </c>
      <c r="AW269" t="s">
        <v>1053</v>
      </c>
      <c r="AX269" t="s">
        <v>1053</v>
      </c>
      <c r="BF269" t="s">
        <v>1053</v>
      </c>
      <c r="BG269" t="s">
        <v>2019</v>
      </c>
      <c r="BH269" t="s">
        <v>1581</v>
      </c>
      <c r="BI269" t="s">
        <v>1053</v>
      </c>
      <c r="BJ269" t="s">
        <v>1053</v>
      </c>
      <c r="BK269" t="s">
        <v>1053</v>
      </c>
      <c r="BL269" t="s">
        <v>1053</v>
      </c>
      <c r="BM269" t="s">
        <v>2324</v>
      </c>
      <c r="BN269" t="s">
        <v>2325</v>
      </c>
      <c r="BO269" t="s">
        <v>1053</v>
      </c>
      <c r="BP269" t="s">
        <v>2327</v>
      </c>
      <c r="BQ269" t="s">
        <v>1582</v>
      </c>
      <c r="BR269" t="s">
        <v>1053</v>
      </c>
      <c r="BS269" t="s">
        <v>1053</v>
      </c>
      <c r="BV269" t="s">
        <v>1444</v>
      </c>
      <c r="BX269" t="str">
        <f>""</f>
        <v/>
      </c>
      <c r="BY269" t="str">
        <f>""</f>
        <v/>
      </c>
      <c r="BZ269" t="str">
        <f>""</f>
        <v/>
      </c>
      <c r="CA269" t="str">
        <f>""</f>
        <v/>
      </c>
      <c r="CB269" t="str">
        <f>""</f>
        <v/>
      </c>
      <c r="CC269" t="str">
        <f>""</f>
        <v/>
      </c>
      <c r="CD269" t="str">
        <f>""</f>
        <v/>
      </c>
      <c r="CE269" t="str">
        <f>""</f>
        <v/>
      </c>
      <c r="CF269" t="str">
        <f>""</f>
        <v/>
      </c>
      <c r="CG269" t="str">
        <f>""</f>
        <v/>
      </c>
      <c r="CH269" t="str">
        <f>""</f>
        <v/>
      </c>
    </row>
    <row r="270" spans="1:86" x14ac:dyDescent="0.25">
      <c r="A270" t="s">
        <v>1731</v>
      </c>
      <c r="B270" t="s">
        <v>1732</v>
      </c>
      <c r="C270" t="s">
        <v>1991</v>
      </c>
      <c r="D270" t="s">
        <v>2010</v>
      </c>
      <c r="E270" t="s">
        <v>1733</v>
      </c>
      <c r="H270" t="s">
        <v>1734</v>
      </c>
      <c r="I270" t="s">
        <v>558</v>
      </c>
      <c r="J270" t="str">
        <f>"33312"</f>
        <v>33312</v>
      </c>
      <c r="K270" t="s">
        <v>1998</v>
      </c>
      <c r="L270" t="s">
        <v>408</v>
      </c>
      <c r="M270" t="s">
        <v>1735</v>
      </c>
      <c r="N270" t="s">
        <v>1991</v>
      </c>
      <c r="O270" t="s">
        <v>1991</v>
      </c>
      <c r="P270" t="s">
        <v>1992</v>
      </c>
      <c r="Q270" t="s">
        <v>1991</v>
      </c>
      <c r="R270" t="s">
        <v>1991</v>
      </c>
      <c r="S270" t="s">
        <v>1992</v>
      </c>
      <c r="T270" t="s">
        <v>1992</v>
      </c>
      <c r="U270" t="s">
        <v>1991</v>
      </c>
      <c r="V270" t="s">
        <v>1991</v>
      </c>
      <c r="W270" t="s">
        <v>1991</v>
      </c>
      <c r="X270" t="s">
        <v>1991</v>
      </c>
      <c r="Y270" t="s">
        <v>1992</v>
      </c>
      <c r="Z270" t="s">
        <v>1992</v>
      </c>
      <c r="AA270" t="s">
        <v>1991</v>
      </c>
      <c r="AE270" t="s">
        <v>2047</v>
      </c>
      <c r="AF270" t="s">
        <v>2016</v>
      </c>
      <c r="AG270" t="s">
        <v>1991</v>
      </c>
      <c r="AH270">
        <v>60</v>
      </c>
      <c r="AI270">
        <v>30</v>
      </c>
      <c r="AJ270" t="s">
        <v>1736</v>
      </c>
      <c r="AK270">
        <v>4</v>
      </c>
      <c r="AL270">
        <v>152397</v>
      </c>
      <c r="AN270" t="s">
        <v>1053</v>
      </c>
      <c r="AO270" t="s">
        <v>1053</v>
      </c>
      <c r="AP270" t="s">
        <v>2069</v>
      </c>
      <c r="AQ270" t="s">
        <v>1053</v>
      </c>
      <c r="AR270" t="s">
        <v>2069</v>
      </c>
      <c r="AS270" t="s">
        <v>1731</v>
      </c>
      <c r="AT270" t="s">
        <v>1737</v>
      </c>
      <c r="AU270" t="s">
        <v>1053</v>
      </c>
      <c r="AV270" t="s">
        <v>1053</v>
      </c>
      <c r="AW270" t="s">
        <v>2069</v>
      </c>
      <c r="AX270" t="s">
        <v>1053</v>
      </c>
      <c r="AY270" t="s">
        <v>2069</v>
      </c>
      <c r="AZ270" t="s">
        <v>1731</v>
      </c>
      <c r="BA270" t="s">
        <v>1737</v>
      </c>
      <c r="BB270" t="s">
        <v>1053</v>
      </c>
      <c r="BC270" t="s">
        <v>2069</v>
      </c>
      <c r="BD270" t="s">
        <v>1053</v>
      </c>
      <c r="BE270" t="s">
        <v>2069</v>
      </c>
      <c r="BF270" t="s">
        <v>1053</v>
      </c>
      <c r="BG270" t="s">
        <v>2019</v>
      </c>
      <c r="BH270" t="s">
        <v>1738</v>
      </c>
      <c r="BI270" t="s">
        <v>1053</v>
      </c>
      <c r="BJ270" t="s">
        <v>1053</v>
      </c>
      <c r="BK270" t="s">
        <v>1053</v>
      </c>
      <c r="BL270" t="s">
        <v>1053</v>
      </c>
      <c r="BM270" t="s">
        <v>1052</v>
      </c>
      <c r="BN270" t="s">
        <v>3514</v>
      </c>
      <c r="BO270" t="s">
        <v>1053</v>
      </c>
      <c r="BP270" t="s">
        <v>653</v>
      </c>
      <c r="BQ270" t="s">
        <v>2127</v>
      </c>
      <c r="BR270" t="s">
        <v>1053</v>
      </c>
      <c r="BS270" t="s">
        <v>1053</v>
      </c>
      <c r="BT270" t="s">
        <v>1053</v>
      </c>
      <c r="BU270" t="s">
        <v>2069</v>
      </c>
      <c r="BV270" t="s">
        <v>1052</v>
      </c>
      <c r="BW270" t="s">
        <v>357</v>
      </c>
      <c r="BX270" t="str">
        <f>"SMTWTFS 0815-1815"</f>
        <v>SMTWTFS 0815-1815</v>
      </c>
      <c r="BY270" t="str">
        <f>"SMTWTFS 0815-1815"</f>
        <v>SMTWTFS 0815-1815</v>
      </c>
      <c r="BZ270" t="str">
        <f>"SMTWTFS 0815-1815"</f>
        <v>SMTWTFS 0815-1815</v>
      </c>
      <c r="CA270" t="str">
        <f>"SMTWTFS 0815-1815"</f>
        <v>SMTWTFS 0815-1815</v>
      </c>
      <c r="CB270" t="str">
        <f>""</f>
        <v/>
      </c>
      <c r="CC270" t="str">
        <f>"SMTWTFS 0815-1815"</f>
        <v>SMTWTFS 0815-1815</v>
      </c>
      <c r="CD270" t="str">
        <f>""</f>
        <v/>
      </c>
      <c r="CE270" t="str">
        <f>""</f>
        <v/>
      </c>
      <c r="CF270" t="str">
        <f>"SMTWTFS 1030-1700"</f>
        <v>SMTWTFS 1030-1700</v>
      </c>
      <c r="CG270" t="str">
        <f>""</f>
        <v/>
      </c>
      <c r="CH270" t="str">
        <f>""</f>
        <v/>
      </c>
    </row>
    <row r="271" spans="1:86" x14ac:dyDescent="0.25">
      <c r="A271" t="s">
        <v>1739</v>
      </c>
      <c r="B271" t="s">
        <v>1740</v>
      </c>
      <c r="C271" t="s">
        <v>1992</v>
      </c>
      <c r="D271" t="s">
        <v>1993</v>
      </c>
      <c r="E271" t="s">
        <v>1741</v>
      </c>
      <c r="F271" t="s">
        <v>1742</v>
      </c>
      <c r="H271" t="s">
        <v>1743</v>
      </c>
      <c r="I271" t="s">
        <v>558</v>
      </c>
      <c r="J271" t="str">
        <f>"33906-4419"</f>
        <v>33906-4419</v>
      </c>
      <c r="K271" t="s">
        <v>1998</v>
      </c>
      <c r="L271" t="s">
        <v>408</v>
      </c>
      <c r="M271" t="s">
        <v>2063</v>
      </c>
      <c r="N271" t="s">
        <v>1992</v>
      </c>
      <c r="O271" t="s">
        <v>1992</v>
      </c>
      <c r="P271" t="s">
        <v>1992</v>
      </c>
      <c r="Q271" t="s">
        <v>1991</v>
      </c>
      <c r="R271" t="s">
        <v>1992</v>
      </c>
      <c r="S271" t="s">
        <v>1992</v>
      </c>
      <c r="T271" t="s">
        <v>1992</v>
      </c>
      <c r="U271" t="s">
        <v>1992</v>
      </c>
      <c r="V271" t="s">
        <v>1991</v>
      </c>
      <c r="W271" t="s">
        <v>1992</v>
      </c>
      <c r="X271" t="s">
        <v>1992</v>
      </c>
      <c r="Y271" t="s">
        <v>1991</v>
      </c>
      <c r="Z271" t="s">
        <v>1992</v>
      </c>
      <c r="AA271" t="s">
        <v>1992</v>
      </c>
      <c r="AF271" t="s">
        <v>2016</v>
      </c>
      <c r="AG271" t="s">
        <v>1991</v>
      </c>
      <c r="AH271">
        <v>30</v>
      </c>
      <c r="AI271">
        <v>30</v>
      </c>
      <c r="AJ271" t="s">
        <v>1744</v>
      </c>
      <c r="AK271">
        <v>18</v>
      </c>
      <c r="AL271">
        <v>60531</v>
      </c>
      <c r="AM271" t="s">
        <v>1745</v>
      </c>
      <c r="BF271" t="s">
        <v>1053</v>
      </c>
      <c r="BG271" t="s">
        <v>2019</v>
      </c>
      <c r="BH271" t="s">
        <v>1746</v>
      </c>
      <c r="BI271" t="s">
        <v>1053</v>
      </c>
      <c r="BK271" t="s">
        <v>1053</v>
      </c>
      <c r="BM271" t="s">
        <v>561</v>
      </c>
      <c r="BN271" t="s">
        <v>562</v>
      </c>
      <c r="BO271" t="s">
        <v>1053</v>
      </c>
      <c r="BP271" t="s">
        <v>1747</v>
      </c>
      <c r="BQ271" t="s">
        <v>564</v>
      </c>
      <c r="BR271" t="s">
        <v>1053</v>
      </c>
      <c r="BT271" t="s">
        <v>1053</v>
      </c>
      <c r="BX271" t="str">
        <f>""</f>
        <v/>
      </c>
      <c r="BY271" t="str">
        <f>""</f>
        <v/>
      </c>
      <c r="BZ271" t="str">
        <f>""</f>
        <v/>
      </c>
      <c r="CA271" t="str">
        <f>""</f>
        <v/>
      </c>
      <c r="CB271" t="str">
        <f>""</f>
        <v/>
      </c>
      <c r="CC271" t="str">
        <f>""</f>
        <v/>
      </c>
      <c r="CD271" t="str">
        <f>""</f>
        <v/>
      </c>
      <c r="CE271" t="str">
        <f>""</f>
        <v/>
      </c>
      <c r="CF271" t="str">
        <f>""</f>
        <v/>
      </c>
      <c r="CG271" t="str">
        <f>""</f>
        <v/>
      </c>
      <c r="CH271" t="str">
        <f>""</f>
        <v/>
      </c>
    </row>
    <row r="272" spans="1:86" x14ac:dyDescent="0.25">
      <c r="A272" t="s">
        <v>1748</v>
      </c>
      <c r="B272" t="s">
        <v>1749</v>
      </c>
      <c r="C272" t="s">
        <v>1992</v>
      </c>
      <c r="D272" t="s">
        <v>2010</v>
      </c>
      <c r="E272" t="s">
        <v>1750</v>
      </c>
      <c r="H272" t="s">
        <v>1751</v>
      </c>
      <c r="I272" t="s">
        <v>2309</v>
      </c>
      <c r="J272" t="str">
        <f>"42041"</f>
        <v>42041</v>
      </c>
      <c r="K272" t="s">
        <v>1998</v>
      </c>
      <c r="L272" t="s">
        <v>1999</v>
      </c>
      <c r="M272" t="s">
        <v>2063</v>
      </c>
      <c r="N272" t="s">
        <v>1992</v>
      </c>
      <c r="O272" t="s">
        <v>1992</v>
      </c>
      <c r="P272" t="s">
        <v>1992</v>
      </c>
      <c r="Q272" t="s">
        <v>1992</v>
      </c>
      <c r="R272" t="s">
        <v>1992</v>
      </c>
      <c r="S272" t="s">
        <v>1992</v>
      </c>
      <c r="T272" t="s">
        <v>1992</v>
      </c>
      <c r="U272" t="s">
        <v>1992</v>
      </c>
      <c r="V272" t="s">
        <v>1991</v>
      </c>
      <c r="W272" t="s">
        <v>1991</v>
      </c>
      <c r="X272" t="s">
        <v>1992</v>
      </c>
      <c r="Y272" t="s">
        <v>1992</v>
      </c>
      <c r="Z272" t="s">
        <v>1992</v>
      </c>
      <c r="AF272" t="s">
        <v>2001</v>
      </c>
      <c r="AG272" t="s">
        <v>1991</v>
      </c>
      <c r="AH272">
        <v>30</v>
      </c>
      <c r="AI272">
        <v>30</v>
      </c>
      <c r="AJ272" t="s">
        <v>1752</v>
      </c>
      <c r="AK272">
        <v>420</v>
      </c>
      <c r="AL272">
        <v>2775</v>
      </c>
      <c r="AN272" t="s">
        <v>2066</v>
      </c>
      <c r="AO272" t="s">
        <v>2063</v>
      </c>
      <c r="BF272" t="s">
        <v>1053</v>
      </c>
      <c r="BG272" t="s">
        <v>2371</v>
      </c>
      <c r="BH272" t="s">
        <v>985</v>
      </c>
      <c r="BI272" t="s">
        <v>1053</v>
      </c>
      <c r="BJ272" t="s">
        <v>1053</v>
      </c>
      <c r="BK272" t="s">
        <v>1053</v>
      </c>
      <c r="BL272" t="s">
        <v>1053</v>
      </c>
      <c r="BM272" t="s">
        <v>2373</v>
      </c>
      <c r="BN272" t="s">
        <v>2374</v>
      </c>
      <c r="BO272" t="s">
        <v>1053</v>
      </c>
      <c r="BP272" t="s">
        <v>986</v>
      </c>
      <c r="BQ272" t="s">
        <v>2376</v>
      </c>
      <c r="BR272" t="s">
        <v>1053</v>
      </c>
      <c r="BS272" t="s">
        <v>1053</v>
      </c>
      <c r="BT272" t="s">
        <v>1053</v>
      </c>
      <c r="BU272" t="s">
        <v>1053</v>
      </c>
      <c r="BV272" t="s">
        <v>987</v>
      </c>
      <c r="BX272" t="str">
        <f>"SMTWTFS 0100-0200 0300-0430"</f>
        <v>SMTWTFS 0100-0200 0300-0430</v>
      </c>
      <c r="BY272" t="str">
        <f>""</f>
        <v/>
      </c>
      <c r="BZ272" t="str">
        <f>""</f>
        <v/>
      </c>
      <c r="CA272" t="str">
        <f>""</f>
        <v/>
      </c>
      <c r="CB272" t="str">
        <f>""</f>
        <v/>
      </c>
      <c r="CC272" t="str">
        <f>""</f>
        <v/>
      </c>
      <c r="CD272" t="str">
        <f>""</f>
        <v/>
      </c>
      <c r="CE272" t="str">
        <f>""</f>
        <v/>
      </c>
      <c r="CF272" t="str">
        <f>""</f>
        <v/>
      </c>
      <c r="CG272" t="str">
        <f>""</f>
        <v/>
      </c>
      <c r="CH272" t="str">
        <f>""</f>
        <v/>
      </c>
    </row>
    <row r="273" spans="1:86" x14ac:dyDescent="0.25">
      <c r="A273" t="s">
        <v>1753</v>
      </c>
      <c r="B273" t="s">
        <v>1754</v>
      </c>
      <c r="C273" t="s">
        <v>1991</v>
      </c>
      <c r="D273" t="s">
        <v>2010</v>
      </c>
      <c r="E273" t="s">
        <v>1755</v>
      </c>
      <c r="H273" t="s">
        <v>1756</v>
      </c>
      <c r="I273" t="s">
        <v>2381</v>
      </c>
      <c r="J273" t="str">
        <f>"76102"</f>
        <v>76102</v>
      </c>
      <c r="K273" t="s">
        <v>1998</v>
      </c>
      <c r="L273" t="s">
        <v>2045</v>
      </c>
      <c r="M273" t="s">
        <v>1757</v>
      </c>
      <c r="N273" t="s">
        <v>1991</v>
      </c>
      <c r="O273" t="s">
        <v>1991</v>
      </c>
      <c r="P273" t="s">
        <v>1992</v>
      </c>
      <c r="Q273" t="s">
        <v>1991</v>
      </c>
      <c r="R273" t="s">
        <v>1991</v>
      </c>
      <c r="S273" t="s">
        <v>1992</v>
      </c>
      <c r="T273" t="s">
        <v>1992</v>
      </c>
      <c r="U273" t="s">
        <v>1991</v>
      </c>
      <c r="V273" t="s">
        <v>1991</v>
      </c>
      <c r="W273" t="s">
        <v>1991</v>
      </c>
      <c r="X273" t="s">
        <v>1992</v>
      </c>
      <c r="Y273" t="s">
        <v>1992</v>
      </c>
      <c r="Z273" t="s">
        <v>1992</v>
      </c>
      <c r="AA273" t="s">
        <v>1991</v>
      </c>
      <c r="AE273" t="s">
        <v>2047</v>
      </c>
      <c r="AF273" t="s">
        <v>2001</v>
      </c>
      <c r="AG273" t="s">
        <v>1991</v>
      </c>
      <c r="AH273">
        <v>60</v>
      </c>
      <c r="AI273">
        <v>30</v>
      </c>
      <c r="AJ273" t="s">
        <v>1758</v>
      </c>
      <c r="AK273">
        <v>601</v>
      </c>
      <c r="AL273">
        <v>703073</v>
      </c>
      <c r="AN273" t="s">
        <v>1053</v>
      </c>
      <c r="AO273" t="s">
        <v>1053</v>
      </c>
      <c r="AP273" t="s">
        <v>2069</v>
      </c>
      <c r="AQ273" t="s">
        <v>1053</v>
      </c>
      <c r="AR273" t="s">
        <v>2069</v>
      </c>
      <c r="AS273" t="s">
        <v>1753</v>
      </c>
      <c r="AT273" t="s">
        <v>1759</v>
      </c>
      <c r="AU273" t="s">
        <v>1053</v>
      </c>
      <c r="AV273" t="s">
        <v>1053</v>
      </c>
      <c r="AW273" t="s">
        <v>2069</v>
      </c>
      <c r="AX273" t="s">
        <v>1053</v>
      </c>
      <c r="AY273" t="s">
        <v>2069</v>
      </c>
      <c r="AZ273" t="s">
        <v>1753</v>
      </c>
      <c r="BA273" t="s">
        <v>1759</v>
      </c>
      <c r="BB273" t="s">
        <v>1053</v>
      </c>
      <c r="BC273" t="s">
        <v>2069</v>
      </c>
      <c r="BD273" t="s">
        <v>1053</v>
      </c>
      <c r="BE273" t="s">
        <v>2069</v>
      </c>
      <c r="BF273" t="s">
        <v>1053</v>
      </c>
      <c r="BG273" t="s">
        <v>235</v>
      </c>
      <c r="BH273" t="s">
        <v>2098</v>
      </c>
      <c r="BI273" t="s">
        <v>1053</v>
      </c>
      <c r="BJ273" t="s">
        <v>2069</v>
      </c>
      <c r="BK273" t="s">
        <v>1053</v>
      </c>
      <c r="BL273" t="s">
        <v>2069</v>
      </c>
      <c r="BM273" t="s">
        <v>2099</v>
      </c>
      <c r="BN273" t="s">
        <v>2100</v>
      </c>
      <c r="BO273" t="s">
        <v>1053</v>
      </c>
      <c r="BP273" t="s">
        <v>2101</v>
      </c>
      <c r="BQ273" t="s">
        <v>2055</v>
      </c>
      <c r="BR273" t="s">
        <v>1053</v>
      </c>
      <c r="BS273" t="s">
        <v>1053</v>
      </c>
      <c r="BT273" t="s">
        <v>1053</v>
      </c>
      <c r="BU273" t="s">
        <v>1053</v>
      </c>
      <c r="BV273" t="s">
        <v>2056</v>
      </c>
      <c r="BX273" t="str">
        <f>"SMTWTFS 0800-1800"</f>
        <v>SMTWTFS 0800-1800</v>
      </c>
      <c r="BY273" t="str">
        <f>"SMTWTFS 1000-1730"</f>
        <v>SMTWTFS 1000-1730</v>
      </c>
      <c r="BZ273" t="str">
        <f>"SMTWTFS 1000-1700"</f>
        <v>SMTWTFS 1000-1700</v>
      </c>
      <c r="CA273" t="str">
        <f>"SMTWTFS 1000-1730"</f>
        <v>SMTWTFS 1000-1730</v>
      </c>
      <c r="CB273" t="str">
        <f>""</f>
        <v/>
      </c>
      <c r="CC273" t="str">
        <f>"SMTWTFS 0830-2200"</f>
        <v>SMTWTFS 0830-2200</v>
      </c>
      <c r="CD273" t="str">
        <f>""</f>
        <v/>
      </c>
      <c r="CE273" t="str">
        <f>""</f>
        <v/>
      </c>
      <c r="CF273" t="str">
        <f>"SMTWTFS 1000-1700"</f>
        <v>SMTWTFS 1000-1700</v>
      </c>
      <c r="CG273" t="str">
        <f>""</f>
        <v/>
      </c>
      <c r="CH273" t="str">
        <f>"SMTWTFS 0000-2359"</f>
        <v>SMTWTFS 0000-2359</v>
      </c>
    </row>
    <row r="274" spans="1:86" x14ac:dyDescent="0.25">
      <c r="A274" t="s">
        <v>1760</v>
      </c>
      <c r="B274" t="s">
        <v>1761</v>
      </c>
      <c r="C274" t="s">
        <v>1991</v>
      </c>
      <c r="D274" t="s">
        <v>2010</v>
      </c>
      <c r="E274" t="s">
        <v>1762</v>
      </c>
      <c r="F274" t="s">
        <v>1763</v>
      </c>
      <c r="H274" t="s">
        <v>1764</v>
      </c>
      <c r="I274" t="s">
        <v>2061</v>
      </c>
      <c r="J274" t="str">
        <f>"92832"</f>
        <v>92832</v>
      </c>
      <c r="K274" t="s">
        <v>1998</v>
      </c>
      <c r="L274" t="s">
        <v>2045</v>
      </c>
      <c r="M274" t="s">
        <v>1765</v>
      </c>
      <c r="N274" t="s">
        <v>1991</v>
      </c>
      <c r="O274" t="s">
        <v>1991</v>
      </c>
      <c r="P274" t="s">
        <v>1991</v>
      </c>
      <c r="Q274" t="s">
        <v>1991</v>
      </c>
      <c r="R274" t="s">
        <v>1992</v>
      </c>
      <c r="S274" t="s">
        <v>1992</v>
      </c>
      <c r="T274" t="s">
        <v>1992</v>
      </c>
      <c r="U274" t="s">
        <v>1991</v>
      </c>
      <c r="V274" t="s">
        <v>1991</v>
      </c>
      <c r="W274" t="s">
        <v>1991</v>
      </c>
      <c r="X274" t="s">
        <v>1991</v>
      </c>
      <c r="Y274" t="s">
        <v>1991</v>
      </c>
      <c r="Z274" t="s">
        <v>1992</v>
      </c>
      <c r="AA274" t="s">
        <v>1991</v>
      </c>
      <c r="AE274" t="s">
        <v>2047</v>
      </c>
      <c r="AF274" t="s">
        <v>2064</v>
      </c>
      <c r="AG274" t="s">
        <v>1991</v>
      </c>
      <c r="AH274">
        <v>60</v>
      </c>
      <c r="AI274">
        <v>30</v>
      </c>
      <c r="AJ274" t="s">
        <v>1766</v>
      </c>
      <c r="AK274">
        <v>162</v>
      </c>
      <c r="AL274">
        <v>114000</v>
      </c>
      <c r="AN274" t="s">
        <v>1053</v>
      </c>
      <c r="AO274" t="s">
        <v>1053</v>
      </c>
      <c r="AQ274" t="s">
        <v>1053</v>
      </c>
      <c r="AS274" t="s">
        <v>1760</v>
      </c>
      <c r="AT274" t="s">
        <v>1767</v>
      </c>
      <c r="AU274" t="s">
        <v>1053</v>
      </c>
      <c r="AV274" t="s">
        <v>1053</v>
      </c>
      <c r="AX274" t="s">
        <v>1053</v>
      </c>
      <c r="AZ274" t="s">
        <v>1760</v>
      </c>
      <c r="BA274" t="s">
        <v>1767</v>
      </c>
      <c r="BB274" t="s">
        <v>1053</v>
      </c>
      <c r="BD274" t="s">
        <v>1053</v>
      </c>
      <c r="BF274" t="s">
        <v>1053</v>
      </c>
      <c r="BG274" t="s">
        <v>2067</v>
      </c>
      <c r="BH274" t="s">
        <v>275</v>
      </c>
      <c r="BI274" t="s">
        <v>1053</v>
      </c>
      <c r="BK274" t="s">
        <v>1053</v>
      </c>
      <c r="BM274" t="s">
        <v>276</v>
      </c>
      <c r="BN274" t="s">
        <v>277</v>
      </c>
      <c r="BO274" t="s">
        <v>1053</v>
      </c>
      <c r="BP274" t="s">
        <v>2067</v>
      </c>
      <c r="BQ274" t="s">
        <v>275</v>
      </c>
      <c r="BR274" t="s">
        <v>1053</v>
      </c>
      <c r="BX274" t="str">
        <f>"SMTWTFS 0600-2245"</f>
        <v>SMTWTFS 0600-2245</v>
      </c>
      <c r="BY274" t="str">
        <f>"SMTWTFS 0600-2245"</f>
        <v>SMTWTFS 0600-2245</v>
      </c>
      <c r="BZ274" t="str">
        <f>"SMTWTFS 0600-2245"</f>
        <v>SMTWTFS 0600-2245</v>
      </c>
      <c r="CA274" t="str">
        <f>"SMTWTFS 0600-2245"</f>
        <v>SMTWTFS 0600-2245</v>
      </c>
      <c r="CB274" t="str">
        <f>""</f>
        <v/>
      </c>
      <c r="CC274" t="str">
        <f>"SMTWTFS 0600-2245"</f>
        <v>SMTWTFS 0600-2245</v>
      </c>
      <c r="CD274" t="str">
        <f>"SMTWTFS 0000-2359"</f>
        <v>SMTWTFS 0000-2359</v>
      </c>
      <c r="CE274" t="str">
        <f>""</f>
        <v/>
      </c>
      <c r="CF274" t="str">
        <f>""</f>
        <v/>
      </c>
      <c r="CG274" t="str">
        <f>""</f>
        <v/>
      </c>
      <c r="CH274" t="str">
        <f>""</f>
        <v/>
      </c>
    </row>
    <row r="275" spans="1:86" x14ac:dyDescent="0.25">
      <c r="A275" t="s">
        <v>1768</v>
      </c>
      <c r="B275" t="s">
        <v>1769</v>
      </c>
      <c r="C275" t="s">
        <v>1992</v>
      </c>
      <c r="D275" t="s">
        <v>2331</v>
      </c>
      <c r="E275" t="s">
        <v>1770</v>
      </c>
      <c r="F275" t="s">
        <v>1771</v>
      </c>
      <c r="H275" t="s">
        <v>1772</v>
      </c>
      <c r="I275" t="s">
        <v>2061</v>
      </c>
      <c r="J275" t="str">
        <f>"95054"</f>
        <v>95054</v>
      </c>
      <c r="K275" t="s">
        <v>1998</v>
      </c>
      <c r="L275" t="s">
        <v>2062</v>
      </c>
      <c r="M275" t="s">
        <v>2000</v>
      </c>
      <c r="N275" t="s">
        <v>1992</v>
      </c>
      <c r="O275" t="s">
        <v>1991</v>
      </c>
      <c r="P275" t="s">
        <v>1992</v>
      </c>
      <c r="Q275" t="s">
        <v>1992</v>
      </c>
      <c r="R275" t="s">
        <v>1992</v>
      </c>
      <c r="S275" t="s">
        <v>1992</v>
      </c>
      <c r="T275" t="s">
        <v>1992</v>
      </c>
      <c r="U275" t="s">
        <v>1992</v>
      </c>
      <c r="V275" t="s">
        <v>1991</v>
      </c>
      <c r="W275" t="s">
        <v>1991</v>
      </c>
      <c r="X275" t="s">
        <v>1991</v>
      </c>
      <c r="Y275" t="s">
        <v>1991</v>
      </c>
      <c r="Z275" t="s">
        <v>1992</v>
      </c>
      <c r="AA275" t="s">
        <v>1991</v>
      </c>
      <c r="AF275" t="s">
        <v>2064</v>
      </c>
      <c r="AG275" t="s">
        <v>1991</v>
      </c>
      <c r="AH275">
        <v>30</v>
      </c>
      <c r="AI275">
        <v>30</v>
      </c>
      <c r="AJ275" t="s">
        <v>1773</v>
      </c>
      <c r="AK275">
        <v>13</v>
      </c>
      <c r="AL275">
        <v>108518</v>
      </c>
      <c r="AN275" t="s">
        <v>2066</v>
      </c>
      <c r="AO275" t="s">
        <v>2063</v>
      </c>
      <c r="BF275" t="s">
        <v>1053</v>
      </c>
      <c r="BG275" t="s">
        <v>2067</v>
      </c>
      <c r="BH275" t="s">
        <v>348</v>
      </c>
      <c r="BI275" t="s">
        <v>1053</v>
      </c>
      <c r="BK275" t="s">
        <v>1053</v>
      </c>
      <c r="BO275" t="s">
        <v>1053</v>
      </c>
      <c r="BP275" t="s">
        <v>675</v>
      </c>
      <c r="BQ275" t="s">
        <v>2073</v>
      </c>
      <c r="BR275" t="s">
        <v>1053</v>
      </c>
      <c r="BS275" t="s">
        <v>1053</v>
      </c>
      <c r="BX275" t="str">
        <f>""</f>
        <v/>
      </c>
      <c r="BY275" t="str">
        <f>""</f>
        <v/>
      </c>
      <c r="BZ275" t="str">
        <f>""</f>
        <v/>
      </c>
      <c r="CA275" t="str">
        <f>""</f>
        <v/>
      </c>
      <c r="CB275" t="str">
        <f>""</f>
        <v/>
      </c>
      <c r="CC275" t="str">
        <f>"SMTWTFS 0000-2359"</f>
        <v>SMTWTFS 0000-2359</v>
      </c>
      <c r="CD275" t="str">
        <f>""</f>
        <v/>
      </c>
      <c r="CE275" t="str">
        <f>""</f>
        <v/>
      </c>
      <c r="CF275" t="str">
        <f>""</f>
        <v/>
      </c>
      <c r="CG275" t="str">
        <f>""</f>
        <v/>
      </c>
      <c r="CH275" t="str">
        <f>""</f>
        <v/>
      </c>
    </row>
    <row r="276" spans="1:86" x14ac:dyDescent="0.25">
      <c r="A276" t="s">
        <v>1774</v>
      </c>
      <c r="B276" t="s">
        <v>1775</v>
      </c>
      <c r="D276" t="s">
        <v>2089</v>
      </c>
      <c r="E276" t="s">
        <v>1776</v>
      </c>
      <c r="F276" t="s">
        <v>497</v>
      </c>
      <c r="H276" t="s">
        <v>1777</v>
      </c>
      <c r="I276" t="s">
        <v>2014</v>
      </c>
      <c r="J276" t="str">
        <f>"20877"</f>
        <v>20877</v>
      </c>
      <c r="K276" t="s">
        <v>1998</v>
      </c>
      <c r="L276" t="s">
        <v>499</v>
      </c>
      <c r="M276" t="s">
        <v>500</v>
      </c>
      <c r="O276" t="s">
        <v>1991</v>
      </c>
      <c r="AF276" t="s">
        <v>2016</v>
      </c>
      <c r="AG276" t="s">
        <v>1991</v>
      </c>
      <c r="AJ276" t="s">
        <v>2090</v>
      </c>
      <c r="AM276" t="s">
        <v>501</v>
      </c>
      <c r="BX276" t="str">
        <f>"-MTWTF- 0530-2030; ------S 0800-1530"</f>
        <v>-MTWTF- 0530-2030; ------S 0800-1530</v>
      </c>
      <c r="BY276" t="str">
        <f>""</f>
        <v/>
      </c>
      <c r="BZ276" t="str">
        <f>""</f>
        <v/>
      </c>
      <c r="CA276" t="str">
        <f>""</f>
        <v/>
      </c>
      <c r="CB276" t="str">
        <f>""</f>
        <v/>
      </c>
      <c r="CC276" t="str">
        <f>"-MTWTF- 0530-2030; ------S 0800-1530"</f>
        <v>-MTWTF- 0530-2030; ------S 0800-1530</v>
      </c>
      <c r="CD276" t="str">
        <f>""</f>
        <v/>
      </c>
      <c r="CE276" t="str">
        <f>""</f>
        <v/>
      </c>
      <c r="CF276" t="str">
        <f>""</f>
        <v/>
      </c>
      <c r="CG276" t="str">
        <f>""</f>
        <v/>
      </c>
      <c r="CH276" t="str">
        <f>""</f>
        <v/>
      </c>
    </row>
    <row r="277" spans="1:86" x14ac:dyDescent="0.25">
      <c r="A277" t="s">
        <v>1778</v>
      </c>
      <c r="B277" t="s">
        <v>1779</v>
      </c>
      <c r="C277" t="s">
        <v>1992</v>
      </c>
      <c r="D277" t="s">
        <v>2010</v>
      </c>
      <c r="E277" t="s">
        <v>1780</v>
      </c>
      <c r="H277" t="s">
        <v>1781</v>
      </c>
      <c r="I277" t="s">
        <v>700</v>
      </c>
      <c r="J277" t="str">
        <f>"28054"</f>
        <v>28054</v>
      </c>
      <c r="K277" t="s">
        <v>1998</v>
      </c>
      <c r="L277" t="s">
        <v>408</v>
      </c>
      <c r="M277" t="s">
        <v>2063</v>
      </c>
      <c r="N277" t="s">
        <v>1992</v>
      </c>
      <c r="O277" t="s">
        <v>1992</v>
      </c>
      <c r="P277" t="s">
        <v>1992</v>
      </c>
      <c r="Q277" t="s">
        <v>1992</v>
      </c>
      <c r="R277" t="s">
        <v>1992</v>
      </c>
      <c r="S277" t="s">
        <v>1992</v>
      </c>
      <c r="T277" t="s">
        <v>1992</v>
      </c>
      <c r="U277" t="s">
        <v>1992</v>
      </c>
      <c r="V277" t="s">
        <v>1991</v>
      </c>
      <c r="W277" t="s">
        <v>1991</v>
      </c>
      <c r="X277" t="s">
        <v>1992</v>
      </c>
      <c r="Y277" t="s">
        <v>1992</v>
      </c>
      <c r="Z277" t="s">
        <v>1992</v>
      </c>
      <c r="AF277" t="s">
        <v>2016</v>
      </c>
      <c r="AG277" t="s">
        <v>1991</v>
      </c>
      <c r="AH277">
        <v>30</v>
      </c>
      <c r="AI277">
        <v>30</v>
      </c>
      <c r="AJ277" t="s">
        <v>1782</v>
      </c>
      <c r="AK277">
        <v>819</v>
      </c>
      <c r="AL277">
        <v>69904</v>
      </c>
      <c r="AN277" t="s">
        <v>1783</v>
      </c>
      <c r="AU277" t="s">
        <v>1783</v>
      </c>
      <c r="BF277" t="s">
        <v>1053</v>
      </c>
      <c r="BG277" t="s">
        <v>703</v>
      </c>
      <c r="BH277" t="s">
        <v>704</v>
      </c>
      <c r="BI277" t="s">
        <v>1053</v>
      </c>
      <c r="BJ277" t="s">
        <v>1053</v>
      </c>
      <c r="BK277" t="s">
        <v>1053</v>
      </c>
      <c r="BL277" t="s">
        <v>1053</v>
      </c>
      <c r="BM277" t="s">
        <v>705</v>
      </c>
      <c r="BO277" t="s">
        <v>1053</v>
      </c>
      <c r="BP277" t="s">
        <v>2375</v>
      </c>
      <c r="BQ277" t="s">
        <v>427</v>
      </c>
      <c r="BR277" t="s">
        <v>1053</v>
      </c>
      <c r="BS277" t="s">
        <v>1053</v>
      </c>
      <c r="BT277" t="s">
        <v>1053</v>
      </c>
      <c r="BU277" t="s">
        <v>1053</v>
      </c>
      <c r="BV277" t="s">
        <v>416</v>
      </c>
      <c r="BW277" t="s">
        <v>417</v>
      </c>
      <c r="BX277" t="str">
        <f>""</f>
        <v/>
      </c>
      <c r="BY277" t="str">
        <f>""</f>
        <v/>
      </c>
      <c r="BZ277" t="str">
        <f>""</f>
        <v/>
      </c>
      <c r="CA277" t="str">
        <f>""</f>
        <v/>
      </c>
      <c r="CB277" t="str">
        <f>""</f>
        <v/>
      </c>
      <c r="CC277" t="str">
        <f>""</f>
        <v/>
      </c>
      <c r="CD277" t="str">
        <f>""</f>
        <v/>
      </c>
      <c r="CE277" t="str">
        <f>""</f>
        <v/>
      </c>
      <c r="CF277" t="str">
        <f>""</f>
        <v/>
      </c>
      <c r="CG277" t="str">
        <f>""</f>
        <v/>
      </c>
      <c r="CH277" t="str">
        <f>""</f>
        <v/>
      </c>
    </row>
    <row r="278" spans="1:86" x14ac:dyDescent="0.25">
      <c r="A278" t="s">
        <v>1784</v>
      </c>
      <c r="B278" t="s">
        <v>1785</v>
      </c>
      <c r="C278" t="s">
        <v>1991</v>
      </c>
      <c r="D278" t="s">
        <v>2010</v>
      </c>
      <c r="E278" t="s">
        <v>1786</v>
      </c>
      <c r="H278" t="s">
        <v>1787</v>
      </c>
      <c r="I278" t="s">
        <v>2367</v>
      </c>
      <c r="J278" t="str">
        <f>"61401"</f>
        <v>61401</v>
      </c>
      <c r="K278" t="s">
        <v>1998</v>
      </c>
      <c r="L278" t="s">
        <v>1999</v>
      </c>
      <c r="M278" t="s">
        <v>1788</v>
      </c>
      <c r="N278" t="s">
        <v>1991</v>
      </c>
      <c r="O278" t="s">
        <v>1991</v>
      </c>
      <c r="P278" t="s">
        <v>1992</v>
      </c>
      <c r="Q278" t="s">
        <v>1992</v>
      </c>
      <c r="R278" t="s">
        <v>1992</v>
      </c>
      <c r="S278" t="s">
        <v>1992</v>
      </c>
      <c r="T278" t="s">
        <v>1992</v>
      </c>
      <c r="U278" t="s">
        <v>1991</v>
      </c>
      <c r="V278" t="s">
        <v>1991</v>
      </c>
      <c r="W278" t="s">
        <v>1991</v>
      </c>
      <c r="X278" t="s">
        <v>1992</v>
      </c>
      <c r="Y278" t="s">
        <v>1992</v>
      </c>
      <c r="Z278" t="s">
        <v>1991</v>
      </c>
      <c r="AE278" t="s">
        <v>2047</v>
      </c>
      <c r="AF278" t="s">
        <v>2001</v>
      </c>
      <c r="AG278" t="s">
        <v>1991</v>
      </c>
      <c r="AH278">
        <v>60</v>
      </c>
      <c r="AI278">
        <v>30</v>
      </c>
      <c r="AJ278" t="s">
        <v>1789</v>
      </c>
      <c r="AK278">
        <v>780</v>
      </c>
      <c r="AL278">
        <v>31738</v>
      </c>
      <c r="AN278" t="s">
        <v>1053</v>
      </c>
      <c r="AO278" t="s">
        <v>1053</v>
      </c>
      <c r="AP278" t="s">
        <v>2069</v>
      </c>
      <c r="AQ278" t="s">
        <v>1053</v>
      </c>
      <c r="AR278" t="s">
        <v>2069</v>
      </c>
      <c r="AS278" t="s">
        <v>1784</v>
      </c>
      <c r="AT278" t="s">
        <v>1790</v>
      </c>
      <c r="AU278" t="s">
        <v>1053</v>
      </c>
      <c r="AV278" t="s">
        <v>1053</v>
      </c>
      <c r="AW278" t="s">
        <v>2069</v>
      </c>
      <c r="AX278" t="s">
        <v>1053</v>
      </c>
      <c r="AY278" t="s">
        <v>2069</v>
      </c>
      <c r="AZ278" t="s">
        <v>1784</v>
      </c>
      <c r="BA278" t="s">
        <v>1790</v>
      </c>
      <c r="BB278" t="s">
        <v>1053</v>
      </c>
      <c r="BC278" t="s">
        <v>2069</v>
      </c>
      <c r="BD278" t="s">
        <v>1053</v>
      </c>
      <c r="BE278" t="s">
        <v>2069</v>
      </c>
      <c r="BF278" t="s">
        <v>1053</v>
      </c>
      <c r="BG278" t="s">
        <v>2097</v>
      </c>
      <c r="BH278" t="s">
        <v>798</v>
      </c>
      <c r="BI278" t="s">
        <v>1053</v>
      </c>
      <c r="BK278" t="s">
        <v>1053</v>
      </c>
      <c r="BL278" t="s">
        <v>1053</v>
      </c>
      <c r="BO278" t="s">
        <v>1053</v>
      </c>
      <c r="BP278" t="s">
        <v>1791</v>
      </c>
      <c r="BQ278" t="s">
        <v>2376</v>
      </c>
      <c r="BR278" t="s">
        <v>1053</v>
      </c>
      <c r="BX278" t="str">
        <f>"SMTWTFS 0700-2100"</f>
        <v>SMTWTFS 0700-2100</v>
      </c>
      <c r="BY278" t="str">
        <f>""</f>
        <v/>
      </c>
      <c r="BZ278" t="str">
        <f>"SMTWTFS 0700-2100"</f>
        <v>SMTWTFS 0700-2100</v>
      </c>
      <c r="CA278" t="str">
        <f>"SMTWTFS 0700-2035"</f>
        <v>SMTWTFS 0700-2035</v>
      </c>
      <c r="CB278" t="str">
        <f>""</f>
        <v/>
      </c>
      <c r="CC278" t="str">
        <f>"SMTWTFS 0700-2100"</f>
        <v>SMTWTFS 0700-2100</v>
      </c>
      <c r="CD278" t="str">
        <f>""</f>
        <v/>
      </c>
      <c r="CE278" t="str">
        <f>""</f>
        <v/>
      </c>
      <c r="CF278" t="str">
        <f>""</f>
        <v/>
      </c>
      <c r="CG278" t="str">
        <f>""</f>
        <v/>
      </c>
      <c r="CH278" t="str">
        <f>""</f>
        <v/>
      </c>
    </row>
    <row r="279" spans="1:86" x14ac:dyDescent="0.25">
      <c r="A279" t="s">
        <v>1792</v>
      </c>
      <c r="B279" t="s">
        <v>1793</v>
      </c>
      <c r="C279" t="s">
        <v>1992</v>
      </c>
      <c r="D279" t="s">
        <v>1993</v>
      </c>
      <c r="E279" t="s">
        <v>1794</v>
      </c>
      <c r="F279" t="s">
        <v>1795</v>
      </c>
      <c r="H279" t="s">
        <v>1796</v>
      </c>
      <c r="I279" t="s">
        <v>1797</v>
      </c>
      <c r="J279" t="str">
        <f>"V0N 1T0"</f>
        <v>V0N 1T0</v>
      </c>
      <c r="K279" t="s">
        <v>373</v>
      </c>
      <c r="L279" t="s">
        <v>2062</v>
      </c>
      <c r="M279" t="s">
        <v>1798</v>
      </c>
      <c r="N279" t="s">
        <v>1992</v>
      </c>
      <c r="O279" t="s">
        <v>1992</v>
      </c>
      <c r="P279" t="s">
        <v>1992</v>
      </c>
      <c r="Q279" t="s">
        <v>1992</v>
      </c>
      <c r="R279" t="s">
        <v>1992</v>
      </c>
      <c r="S279" t="s">
        <v>1992</v>
      </c>
      <c r="T279" t="s">
        <v>1992</v>
      </c>
      <c r="U279" t="s">
        <v>1992</v>
      </c>
      <c r="V279" t="s">
        <v>1991</v>
      </c>
      <c r="W279" t="s">
        <v>1992</v>
      </c>
      <c r="X279" t="s">
        <v>1992</v>
      </c>
      <c r="Y279" t="s">
        <v>1992</v>
      </c>
      <c r="Z279" t="s">
        <v>1991</v>
      </c>
      <c r="AE279" t="s">
        <v>1799</v>
      </c>
      <c r="AF279" t="s">
        <v>2064</v>
      </c>
      <c r="AG279" t="s">
        <v>1991</v>
      </c>
      <c r="AH279">
        <v>30</v>
      </c>
      <c r="AI279">
        <v>30</v>
      </c>
      <c r="AJ279" t="s">
        <v>1800</v>
      </c>
      <c r="AK279">
        <v>49</v>
      </c>
      <c r="AL279">
        <v>5966</v>
      </c>
      <c r="AM279" t="s">
        <v>1801</v>
      </c>
      <c r="AN279" t="s">
        <v>1802</v>
      </c>
      <c r="AO279" t="s">
        <v>2063</v>
      </c>
      <c r="BF279" t="s">
        <v>1053</v>
      </c>
      <c r="BG279" t="s">
        <v>394</v>
      </c>
      <c r="BH279" t="s">
        <v>311</v>
      </c>
      <c r="BI279" t="s">
        <v>1053</v>
      </c>
      <c r="BJ279" t="s">
        <v>1053</v>
      </c>
      <c r="BK279" t="s">
        <v>1053</v>
      </c>
      <c r="BL279" t="s">
        <v>1053</v>
      </c>
      <c r="BX279" t="str">
        <f>""</f>
        <v/>
      </c>
      <c r="BY279" t="str">
        <f>""</f>
        <v/>
      </c>
      <c r="BZ279" t="str">
        <f>""</f>
        <v/>
      </c>
      <c r="CA279" t="str">
        <f>""</f>
        <v/>
      </c>
      <c r="CB279" t="str">
        <f>""</f>
        <v/>
      </c>
      <c r="CC279" t="str">
        <f>""</f>
        <v/>
      </c>
      <c r="CD279" t="str">
        <f>""</f>
        <v/>
      </c>
      <c r="CE279" t="str">
        <f>""</f>
        <v/>
      </c>
      <c r="CF279" t="str">
        <f>""</f>
        <v/>
      </c>
      <c r="CG279" t="str">
        <f>""</f>
        <v/>
      </c>
      <c r="CH279" t="str">
        <f>""</f>
        <v/>
      </c>
    </row>
    <row r="280" spans="1:86" x14ac:dyDescent="0.25">
      <c r="A280" t="s">
        <v>1803</v>
      </c>
      <c r="B280" t="s">
        <v>1804</v>
      </c>
      <c r="D280" t="s">
        <v>2089</v>
      </c>
      <c r="E280" t="s">
        <v>1805</v>
      </c>
      <c r="F280" t="s">
        <v>1806</v>
      </c>
      <c r="H280" t="s">
        <v>1807</v>
      </c>
      <c r="I280" t="s">
        <v>2014</v>
      </c>
      <c r="J280" t="str">
        <f>"20770"</f>
        <v>20770</v>
      </c>
      <c r="L280" t="s">
        <v>499</v>
      </c>
      <c r="M280" t="s">
        <v>500</v>
      </c>
      <c r="O280" t="s">
        <v>1992</v>
      </c>
      <c r="AF280" t="s">
        <v>2016</v>
      </c>
      <c r="AG280" t="s">
        <v>1991</v>
      </c>
      <c r="AJ280" t="s">
        <v>2090</v>
      </c>
      <c r="AM280" t="s">
        <v>501</v>
      </c>
      <c r="BX280" t="str">
        <f>""</f>
        <v/>
      </c>
      <c r="BY280" t="str">
        <f>""</f>
        <v/>
      </c>
      <c r="BZ280" t="str">
        <f>""</f>
        <v/>
      </c>
      <c r="CA280" t="str">
        <f>""</f>
        <v/>
      </c>
      <c r="CB280" t="str">
        <f>""</f>
        <v/>
      </c>
      <c r="CC280" t="str">
        <f>""</f>
        <v/>
      </c>
      <c r="CD280" t="str">
        <f>""</f>
        <v/>
      </c>
      <c r="CE280" t="str">
        <f>""</f>
        <v/>
      </c>
      <c r="CF280" t="str">
        <f>""</f>
        <v/>
      </c>
      <c r="CG280" t="str">
        <f>""</f>
        <v/>
      </c>
      <c r="CH280" t="str">
        <f>""</f>
        <v/>
      </c>
    </row>
    <row r="281" spans="1:86" x14ac:dyDescent="0.25">
      <c r="A281" t="s">
        <v>1808</v>
      </c>
      <c r="B281" t="s">
        <v>1809</v>
      </c>
      <c r="C281" t="s">
        <v>1992</v>
      </c>
      <c r="D281" t="s">
        <v>1993</v>
      </c>
      <c r="E281" t="s">
        <v>1810</v>
      </c>
      <c r="F281" t="s">
        <v>1811</v>
      </c>
      <c r="H281" t="s">
        <v>1812</v>
      </c>
      <c r="I281" t="s">
        <v>2061</v>
      </c>
      <c r="J281" t="str">
        <f>"95542"</f>
        <v>95542</v>
      </c>
      <c r="K281" t="s">
        <v>1998</v>
      </c>
      <c r="L281" t="s">
        <v>2062</v>
      </c>
      <c r="M281" t="s">
        <v>2063</v>
      </c>
      <c r="N281" t="s">
        <v>1992</v>
      </c>
      <c r="O281" t="s">
        <v>1992</v>
      </c>
      <c r="P281" t="s">
        <v>1992</v>
      </c>
      <c r="Q281" t="s">
        <v>1992</v>
      </c>
      <c r="R281" t="s">
        <v>1992</v>
      </c>
      <c r="S281" t="s">
        <v>1992</v>
      </c>
      <c r="T281" t="s">
        <v>1992</v>
      </c>
      <c r="U281" t="s">
        <v>1992</v>
      </c>
      <c r="V281" t="s">
        <v>1991</v>
      </c>
      <c r="W281" t="s">
        <v>1992</v>
      </c>
      <c r="X281" t="s">
        <v>1992</v>
      </c>
      <c r="Y281" t="s">
        <v>1991</v>
      </c>
      <c r="Z281" t="s">
        <v>1992</v>
      </c>
      <c r="AF281" t="s">
        <v>2064</v>
      </c>
      <c r="AG281" t="s">
        <v>1991</v>
      </c>
      <c r="AH281">
        <v>30</v>
      </c>
      <c r="AI281">
        <v>30</v>
      </c>
      <c r="AJ281" t="s">
        <v>1813</v>
      </c>
      <c r="AK281">
        <v>556</v>
      </c>
      <c r="AL281">
        <v>1200</v>
      </c>
      <c r="AM281" t="s">
        <v>2298</v>
      </c>
      <c r="AN281" t="s">
        <v>1053</v>
      </c>
      <c r="AO281" t="s">
        <v>1053</v>
      </c>
      <c r="AP281" t="s">
        <v>1053</v>
      </c>
      <c r="BF281" t="s">
        <v>1053</v>
      </c>
      <c r="BG281" t="s">
        <v>309</v>
      </c>
      <c r="BH281" t="s">
        <v>2301</v>
      </c>
      <c r="BI281" t="s">
        <v>1053</v>
      </c>
      <c r="BK281" t="s">
        <v>1053</v>
      </c>
      <c r="BO281" t="s">
        <v>1053</v>
      </c>
      <c r="BP281" t="s">
        <v>634</v>
      </c>
      <c r="BQ281" t="s">
        <v>1814</v>
      </c>
      <c r="BR281" t="s">
        <v>1053</v>
      </c>
      <c r="BX281" t="str">
        <f>""</f>
        <v/>
      </c>
      <c r="BY281" t="str">
        <f>""</f>
        <v/>
      </c>
      <c r="BZ281" t="str">
        <f>""</f>
        <v/>
      </c>
      <c r="CA281" t="str">
        <f>""</f>
        <v/>
      </c>
      <c r="CB281" t="str">
        <f>""</f>
        <v/>
      </c>
      <c r="CC281" t="str">
        <f>""</f>
        <v/>
      </c>
      <c r="CD281" t="str">
        <f>""</f>
        <v/>
      </c>
      <c r="CE281" t="str">
        <f>""</f>
        <v/>
      </c>
      <c r="CF281" t="str">
        <f>""</f>
        <v/>
      </c>
      <c r="CG281" t="str">
        <f>""</f>
        <v/>
      </c>
      <c r="CH281" t="str">
        <f>""</f>
        <v/>
      </c>
    </row>
    <row r="282" spans="1:86" x14ac:dyDescent="0.25">
      <c r="A282" t="s">
        <v>1815</v>
      </c>
      <c r="B282" t="s">
        <v>1816</v>
      </c>
      <c r="C282" t="s">
        <v>1992</v>
      </c>
      <c r="D282" t="s">
        <v>2010</v>
      </c>
      <c r="E282" t="s">
        <v>1817</v>
      </c>
      <c r="F282" t="s">
        <v>743</v>
      </c>
      <c r="H282" t="s">
        <v>1818</v>
      </c>
      <c r="I282" t="s">
        <v>1997</v>
      </c>
      <c r="J282" t="str">
        <f>"54301"</f>
        <v>54301</v>
      </c>
      <c r="K282" t="s">
        <v>1998</v>
      </c>
      <c r="L282" t="s">
        <v>1999</v>
      </c>
      <c r="M282" t="s">
        <v>1819</v>
      </c>
      <c r="N282" t="s">
        <v>1992</v>
      </c>
      <c r="O282" t="s">
        <v>1992</v>
      </c>
      <c r="P282" t="s">
        <v>1992</v>
      </c>
      <c r="Q282" t="s">
        <v>1992</v>
      </c>
      <c r="R282" t="s">
        <v>1992</v>
      </c>
      <c r="S282" t="s">
        <v>1992</v>
      </c>
      <c r="T282" t="s">
        <v>1992</v>
      </c>
      <c r="U282" t="s">
        <v>1992</v>
      </c>
      <c r="V282" t="s">
        <v>1991</v>
      </c>
      <c r="W282" t="s">
        <v>1992</v>
      </c>
      <c r="X282" t="s">
        <v>1992</v>
      </c>
      <c r="Y282" t="s">
        <v>1992</v>
      </c>
      <c r="Z282" t="s">
        <v>1991</v>
      </c>
      <c r="AA282" t="s">
        <v>1992</v>
      </c>
      <c r="AF282" t="s">
        <v>2001</v>
      </c>
      <c r="AG282" t="s">
        <v>1991</v>
      </c>
      <c r="AH282">
        <v>30</v>
      </c>
      <c r="AI282">
        <v>30</v>
      </c>
      <c r="AJ282" t="s">
        <v>1820</v>
      </c>
      <c r="AK282">
        <v>590</v>
      </c>
      <c r="AL282">
        <v>100353</v>
      </c>
      <c r="BF282" t="s">
        <v>1053</v>
      </c>
      <c r="BG282" t="s">
        <v>2067</v>
      </c>
      <c r="BH282" t="s">
        <v>2004</v>
      </c>
      <c r="BI282" t="s">
        <v>1053</v>
      </c>
      <c r="BK282" t="s">
        <v>1053</v>
      </c>
      <c r="BM282" t="s">
        <v>287</v>
      </c>
      <c r="BO282" t="s">
        <v>1053</v>
      </c>
      <c r="BP282" t="s">
        <v>2005</v>
      </c>
      <c r="BQ282" t="s">
        <v>2006</v>
      </c>
      <c r="BR282" t="s">
        <v>1053</v>
      </c>
      <c r="BS282" t="s">
        <v>1053</v>
      </c>
      <c r="BT282" t="s">
        <v>1053</v>
      </c>
      <c r="BU282" t="s">
        <v>1053</v>
      </c>
      <c r="BX282" t="str">
        <f>""</f>
        <v/>
      </c>
      <c r="BY282" t="str">
        <f>""</f>
        <v/>
      </c>
      <c r="BZ282" t="str">
        <f>""</f>
        <v/>
      </c>
      <c r="CA282" t="str">
        <f>""</f>
        <v/>
      </c>
      <c r="CB282" t="str">
        <f>""</f>
        <v/>
      </c>
      <c r="CC282" t="str">
        <f>""</f>
        <v/>
      </c>
      <c r="CD282" t="str">
        <f>""</f>
        <v/>
      </c>
      <c r="CE282" t="str">
        <f>""</f>
        <v/>
      </c>
      <c r="CF282" t="str">
        <f>""</f>
        <v/>
      </c>
      <c r="CG282" t="str">
        <f>""</f>
        <v/>
      </c>
      <c r="CH282" t="str">
        <f>""</f>
        <v/>
      </c>
    </row>
    <row r="283" spans="1:86" x14ac:dyDescent="0.25">
      <c r="A283" t="s">
        <v>1821</v>
      </c>
      <c r="B283" t="s">
        <v>1822</v>
      </c>
      <c r="D283" t="s">
        <v>2089</v>
      </c>
      <c r="V283" t="s">
        <v>1991</v>
      </c>
      <c r="AJ283" t="s">
        <v>2090</v>
      </c>
      <c r="BX283" t="str">
        <f>""</f>
        <v/>
      </c>
      <c r="BY283" t="str">
        <f>""</f>
        <v/>
      </c>
      <c r="BZ283" t="str">
        <f>""</f>
        <v/>
      </c>
      <c r="CA283" t="str">
        <f>""</f>
        <v/>
      </c>
      <c r="CB283" t="str">
        <f>""</f>
        <v/>
      </c>
      <c r="CC283" t="str">
        <f>""</f>
        <v/>
      </c>
      <c r="CD283" t="str">
        <f>""</f>
        <v/>
      </c>
      <c r="CE283" t="str">
        <f>""</f>
        <v/>
      </c>
      <c r="CF283" t="str">
        <f>""</f>
        <v/>
      </c>
      <c r="CG283" t="str">
        <f>""</f>
        <v/>
      </c>
      <c r="CH283" t="str">
        <f>""</f>
        <v/>
      </c>
    </row>
    <row r="284" spans="1:86" x14ac:dyDescent="0.25">
      <c r="A284" t="s">
        <v>1823</v>
      </c>
      <c r="B284" t="s">
        <v>1824</v>
      </c>
      <c r="C284" t="s">
        <v>1992</v>
      </c>
      <c r="D284" t="s">
        <v>1993</v>
      </c>
      <c r="E284" t="s">
        <v>1825</v>
      </c>
      <c r="H284" t="s">
        <v>1826</v>
      </c>
      <c r="I284" t="s">
        <v>586</v>
      </c>
      <c r="J284" t="str">
        <f>"86023"</f>
        <v>86023</v>
      </c>
      <c r="K284" t="s">
        <v>1998</v>
      </c>
      <c r="L284" t="s">
        <v>2045</v>
      </c>
      <c r="M284" t="s">
        <v>2063</v>
      </c>
      <c r="N284" t="s">
        <v>1992</v>
      </c>
      <c r="O284" t="s">
        <v>1992</v>
      </c>
      <c r="P284" t="s">
        <v>1992</v>
      </c>
      <c r="Q284" t="s">
        <v>1992</v>
      </c>
      <c r="R284" t="s">
        <v>1992</v>
      </c>
      <c r="S284" t="s">
        <v>1992</v>
      </c>
      <c r="T284" t="s">
        <v>1992</v>
      </c>
      <c r="U284" t="s">
        <v>1992</v>
      </c>
      <c r="V284" t="s">
        <v>1991</v>
      </c>
      <c r="W284" t="s">
        <v>1992</v>
      </c>
      <c r="X284" t="s">
        <v>1992</v>
      </c>
      <c r="Y284" t="s">
        <v>1992</v>
      </c>
      <c r="Z284" t="s">
        <v>1991</v>
      </c>
      <c r="AB284" t="s">
        <v>1827</v>
      </c>
      <c r="AF284" t="s">
        <v>2048</v>
      </c>
      <c r="AG284" t="s">
        <v>1992</v>
      </c>
      <c r="AH284">
        <v>30</v>
      </c>
      <c r="AI284">
        <v>30</v>
      </c>
      <c r="AJ284" t="s">
        <v>1828</v>
      </c>
      <c r="AK284">
        <v>6848</v>
      </c>
      <c r="AL284">
        <v>1460</v>
      </c>
      <c r="AM284" t="s">
        <v>1829</v>
      </c>
      <c r="BF284" t="s">
        <v>1053</v>
      </c>
      <c r="BG284" t="s">
        <v>518</v>
      </c>
      <c r="BH284" t="s">
        <v>2053</v>
      </c>
      <c r="BI284" t="s">
        <v>1053</v>
      </c>
      <c r="BO284" t="s">
        <v>1053</v>
      </c>
      <c r="BP284" t="s">
        <v>2101</v>
      </c>
      <c r="BQ284" t="s">
        <v>2055</v>
      </c>
      <c r="BR284" t="s">
        <v>1053</v>
      </c>
      <c r="BS284" t="s">
        <v>1053</v>
      </c>
      <c r="BV284" t="s">
        <v>2056</v>
      </c>
      <c r="BX284" t="str">
        <f>""</f>
        <v/>
      </c>
      <c r="BY284" t="str">
        <f>""</f>
        <v/>
      </c>
      <c r="BZ284" t="str">
        <f>""</f>
        <v/>
      </c>
      <c r="CA284" t="str">
        <f>""</f>
        <v/>
      </c>
      <c r="CB284" t="str">
        <f>""</f>
        <v/>
      </c>
      <c r="CC284" t="str">
        <f>""</f>
        <v/>
      </c>
      <c r="CD284" t="str">
        <f>""</f>
        <v/>
      </c>
      <c r="CE284" t="str">
        <f>""</f>
        <v/>
      </c>
      <c r="CF284" t="str">
        <f>""</f>
        <v/>
      </c>
      <c r="CG284" t="str">
        <f>""</f>
        <v/>
      </c>
      <c r="CH284" t="str">
        <f>""</f>
        <v/>
      </c>
    </row>
    <row r="285" spans="1:86" x14ac:dyDescent="0.25">
      <c r="A285" t="s">
        <v>1830</v>
      </c>
      <c r="B285" t="s">
        <v>1831</v>
      </c>
      <c r="C285" t="s">
        <v>1991</v>
      </c>
      <c r="D285" t="s">
        <v>2010</v>
      </c>
      <c r="E285" t="s">
        <v>1832</v>
      </c>
      <c r="F285" t="s">
        <v>1833</v>
      </c>
      <c r="H285" t="s">
        <v>1834</v>
      </c>
      <c r="I285" t="s">
        <v>1144</v>
      </c>
      <c r="J285" t="str">
        <f>"67846"</f>
        <v>67846</v>
      </c>
      <c r="K285" t="s">
        <v>1998</v>
      </c>
      <c r="L285" t="s">
        <v>2045</v>
      </c>
      <c r="M285" t="s">
        <v>1835</v>
      </c>
      <c r="N285" t="s">
        <v>1991</v>
      </c>
      <c r="O285" t="s">
        <v>1992</v>
      </c>
      <c r="P285" t="s">
        <v>1992</v>
      </c>
      <c r="Q285" t="s">
        <v>1992</v>
      </c>
      <c r="R285" t="s">
        <v>1992</v>
      </c>
      <c r="S285" t="s">
        <v>1992</v>
      </c>
      <c r="T285" t="s">
        <v>1992</v>
      </c>
      <c r="U285" t="s">
        <v>1992</v>
      </c>
      <c r="V285" t="s">
        <v>1991</v>
      </c>
      <c r="W285" t="s">
        <v>1991</v>
      </c>
      <c r="AF285" t="s">
        <v>2001</v>
      </c>
      <c r="AG285" t="s">
        <v>1991</v>
      </c>
      <c r="AH285">
        <v>30</v>
      </c>
      <c r="AI285">
        <v>15</v>
      </c>
      <c r="AJ285" t="s">
        <v>1836</v>
      </c>
      <c r="AK285">
        <v>2835</v>
      </c>
      <c r="AL285">
        <v>26665</v>
      </c>
      <c r="AM285" t="s">
        <v>1837</v>
      </c>
      <c r="AN285" t="s">
        <v>1053</v>
      </c>
      <c r="AO285" t="s">
        <v>1053</v>
      </c>
      <c r="AQ285" t="s">
        <v>1053</v>
      </c>
      <c r="AS285" t="s">
        <v>1830</v>
      </c>
      <c r="AT285" t="s">
        <v>1838</v>
      </c>
      <c r="BF285" t="s">
        <v>1053</v>
      </c>
      <c r="BG285" t="s">
        <v>2019</v>
      </c>
      <c r="BH285" t="s">
        <v>2053</v>
      </c>
      <c r="BI285" t="s">
        <v>1053</v>
      </c>
      <c r="BO285" t="s">
        <v>1053</v>
      </c>
      <c r="BP285" t="s">
        <v>2054</v>
      </c>
      <c r="BQ285" t="s">
        <v>2055</v>
      </c>
      <c r="BR285" t="s">
        <v>1053</v>
      </c>
      <c r="BS285" t="s">
        <v>1053</v>
      </c>
      <c r="BV285" t="s">
        <v>2056</v>
      </c>
      <c r="BX285" t="str">
        <f>"-M----- 2200-2359; --TWTF- 0600-0900 2200-2359; ------S 0600-0900"</f>
        <v>-M----- 2200-2359; --TWTF- 0600-0900 2200-2359; ------S 0600-0900</v>
      </c>
      <c r="BY285" t="str">
        <f>""</f>
        <v/>
      </c>
      <c r="BZ285" t="str">
        <f>"-M----- 2200-2359; --TWTF- 0600-0900 2200-2359; ------S 0600-0900"</f>
        <v>-M----- 2200-2359; --TWTF- 0600-0900 2200-2359; ------S 0600-0900</v>
      </c>
      <c r="CA285" t="str">
        <f>"-M----- 2200-2359; --TWTF- 0600-0900 2200-2359; ------S 0600-0900"</f>
        <v>-M----- 2200-2359; --TWTF- 0600-0900 2200-2359; ------S 0600-0900</v>
      </c>
      <c r="CB285" t="str">
        <f>""</f>
        <v/>
      </c>
      <c r="CC285" t="str">
        <f>""</f>
        <v/>
      </c>
      <c r="CD285" t="str">
        <f>""</f>
        <v/>
      </c>
      <c r="CE285" t="str">
        <f>""</f>
        <v/>
      </c>
      <c r="CF285" t="str">
        <f>""</f>
        <v/>
      </c>
      <c r="CG285" t="str">
        <f>""</f>
        <v/>
      </c>
      <c r="CH285" t="str">
        <f>""</f>
        <v/>
      </c>
    </row>
    <row r="286" spans="1:86" x14ac:dyDescent="0.25">
      <c r="A286" t="s">
        <v>1839</v>
      </c>
      <c r="B286" t="s">
        <v>1840</v>
      </c>
      <c r="C286" t="s">
        <v>1992</v>
      </c>
      <c r="D286" t="s">
        <v>2010</v>
      </c>
      <c r="E286" t="s">
        <v>1841</v>
      </c>
      <c r="F286" t="s">
        <v>1842</v>
      </c>
      <c r="G286" t="s">
        <v>1843</v>
      </c>
      <c r="H286" t="s">
        <v>1826</v>
      </c>
      <c r="I286" t="s">
        <v>586</v>
      </c>
      <c r="J286" t="str">
        <f>"86023"</f>
        <v>86023</v>
      </c>
      <c r="K286" t="s">
        <v>1998</v>
      </c>
      <c r="L286" t="s">
        <v>2045</v>
      </c>
      <c r="M286" t="s">
        <v>1844</v>
      </c>
      <c r="N286" t="s">
        <v>1992</v>
      </c>
      <c r="O286" t="s">
        <v>1992</v>
      </c>
      <c r="P286" t="s">
        <v>1992</v>
      </c>
      <c r="Q286" t="s">
        <v>1992</v>
      </c>
      <c r="R286" t="s">
        <v>1992</v>
      </c>
      <c r="S286" t="s">
        <v>1992</v>
      </c>
      <c r="T286" t="s">
        <v>1992</v>
      </c>
      <c r="U286" t="s">
        <v>1992</v>
      </c>
      <c r="V286" t="s">
        <v>1991</v>
      </c>
      <c r="W286" t="s">
        <v>1992</v>
      </c>
      <c r="X286" t="s">
        <v>1991</v>
      </c>
      <c r="Y286" t="s">
        <v>1992</v>
      </c>
      <c r="Z286" t="s">
        <v>1992</v>
      </c>
      <c r="AB286" t="s">
        <v>1827</v>
      </c>
      <c r="AF286" t="s">
        <v>2048</v>
      </c>
      <c r="AG286" t="s">
        <v>1992</v>
      </c>
      <c r="AH286">
        <v>30</v>
      </c>
      <c r="AI286">
        <v>30</v>
      </c>
      <c r="AJ286" t="s">
        <v>1845</v>
      </c>
      <c r="AK286">
        <v>6882</v>
      </c>
      <c r="AL286">
        <v>1460</v>
      </c>
      <c r="AM286" t="s">
        <v>1846</v>
      </c>
      <c r="BF286" t="s">
        <v>1053</v>
      </c>
      <c r="BG286" t="s">
        <v>518</v>
      </c>
      <c r="BH286" t="s">
        <v>2053</v>
      </c>
      <c r="BI286" t="s">
        <v>1053</v>
      </c>
      <c r="BO286" t="s">
        <v>1053</v>
      </c>
      <c r="BP286" t="s">
        <v>2101</v>
      </c>
      <c r="BQ286" t="s">
        <v>1847</v>
      </c>
      <c r="BR286" t="s">
        <v>1053</v>
      </c>
      <c r="BT286" t="s">
        <v>1053</v>
      </c>
      <c r="BX286" t="str">
        <f>""</f>
        <v/>
      </c>
      <c r="BY286" t="str">
        <f>""</f>
        <v/>
      </c>
      <c r="BZ286" t="str">
        <f>""</f>
        <v/>
      </c>
      <c r="CA286" t="str">
        <f>""</f>
        <v/>
      </c>
      <c r="CB286" t="str">
        <f>""</f>
        <v/>
      </c>
      <c r="CC286" t="str">
        <f>""</f>
        <v/>
      </c>
      <c r="CD286" t="str">
        <f>""</f>
        <v/>
      </c>
      <c r="CE286" t="str">
        <f>""</f>
        <v/>
      </c>
      <c r="CF286" t="str">
        <f>""</f>
        <v/>
      </c>
      <c r="CG286" t="str">
        <f>""</f>
        <v/>
      </c>
      <c r="CH286" t="str">
        <f>""</f>
        <v/>
      </c>
    </row>
    <row r="287" spans="1:86" x14ac:dyDescent="0.25">
      <c r="A287" t="s">
        <v>1848</v>
      </c>
      <c r="B287" t="s">
        <v>1849</v>
      </c>
      <c r="C287" t="s">
        <v>1992</v>
      </c>
      <c r="D287" t="s">
        <v>2028</v>
      </c>
      <c r="E287" t="s">
        <v>1850</v>
      </c>
      <c r="F287" t="s">
        <v>1851</v>
      </c>
      <c r="H287" t="s">
        <v>1852</v>
      </c>
      <c r="I287" t="s">
        <v>2061</v>
      </c>
      <c r="J287" t="str">
        <f>"91204"</f>
        <v>91204</v>
      </c>
      <c r="K287" t="s">
        <v>1998</v>
      </c>
      <c r="L287" t="s">
        <v>2045</v>
      </c>
      <c r="M287" t="s">
        <v>2063</v>
      </c>
      <c r="N287" t="s">
        <v>1992</v>
      </c>
      <c r="O287" t="s">
        <v>1992</v>
      </c>
      <c r="P287" t="s">
        <v>1991</v>
      </c>
      <c r="Q287" t="s">
        <v>1992</v>
      </c>
      <c r="R287" t="s">
        <v>1992</v>
      </c>
      <c r="S287" t="s">
        <v>1992</v>
      </c>
      <c r="T287" t="s">
        <v>1992</v>
      </c>
      <c r="U287" t="s">
        <v>1992</v>
      </c>
      <c r="V287" t="s">
        <v>1991</v>
      </c>
      <c r="W287" t="s">
        <v>1991</v>
      </c>
      <c r="X287" t="s">
        <v>1991</v>
      </c>
      <c r="Y287" t="s">
        <v>1991</v>
      </c>
      <c r="Z287" t="s">
        <v>1992</v>
      </c>
      <c r="AA287" t="s">
        <v>1992</v>
      </c>
      <c r="AF287" t="s">
        <v>2064</v>
      </c>
      <c r="AG287" t="s">
        <v>1991</v>
      </c>
      <c r="AH287">
        <v>30</v>
      </c>
      <c r="AI287">
        <v>30</v>
      </c>
      <c r="AJ287" t="s">
        <v>1853</v>
      </c>
      <c r="AK287">
        <v>434</v>
      </c>
      <c r="AL287">
        <v>155000</v>
      </c>
      <c r="AM287" t="s">
        <v>1854</v>
      </c>
      <c r="AN287" t="s">
        <v>2066</v>
      </c>
      <c r="AO287" t="s">
        <v>2063</v>
      </c>
      <c r="BF287" t="s">
        <v>1053</v>
      </c>
      <c r="BG287" t="s">
        <v>2067</v>
      </c>
      <c r="BH287" t="s">
        <v>275</v>
      </c>
      <c r="BI287" t="s">
        <v>1053</v>
      </c>
      <c r="BJ287" t="s">
        <v>2069</v>
      </c>
      <c r="BK287" t="s">
        <v>1053</v>
      </c>
      <c r="BL287" t="s">
        <v>2069</v>
      </c>
      <c r="BM287" t="s">
        <v>276</v>
      </c>
      <c r="BN287" t="s">
        <v>277</v>
      </c>
      <c r="BO287" t="s">
        <v>1053</v>
      </c>
      <c r="BP287" t="s">
        <v>2067</v>
      </c>
      <c r="BQ287" t="s">
        <v>275</v>
      </c>
      <c r="BR287" t="s">
        <v>1053</v>
      </c>
      <c r="BX287" t="str">
        <f>""</f>
        <v/>
      </c>
      <c r="BY287" t="str">
        <f>""</f>
        <v/>
      </c>
      <c r="BZ287" t="str">
        <f>""</f>
        <v/>
      </c>
      <c r="CA287" t="str">
        <f>""</f>
        <v/>
      </c>
      <c r="CB287" t="str">
        <f>""</f>
        <v/>
      </c>
      <c r="CC287" t="str">
        <f>""</f>
        <v/>
      </c>
      <c r="CD287" t="str">
        <f>"SMTWTFS 0000-2359"</f>
        <v>SMTWTFS 0000-2359</v>
      </c>
      <c r="CE287" t="str">
        <f>""</f>
        <v/>
      </c>
      <c r="CF287" t="str">
        <f>""</f>
        <v/>
      </c>
      <c r="CG287" t="str">
        <f>""</f>
        <v/>
      </c>
      <c r="CH287" t="str">
        <f>""</f>
        <v/>
      </c>
    </row>
    <row r="288" spans="1:86" x14ac:dyDescent="0.25">
      <c r="A288" t="s">
        <v>1855</v>
      </c>
      <c r="B288" t="s">
        <v>1856</v>
      </c>
      <c r="D288" t="s">
        <v>2089</v>
      </c>
      <c r="E288" t="s">
        <v>1857</v>
      </c>
      <c r="F288" t="s">
        <v>497</v>
      </c>
      <c r="H288" t="s">
        <v>1858</v>
      </c>
      <c r="I288" t="s">
        <v>2014</v>
      </c>
      <c r="J288" t="str">
        <f>"20875"</f>
        <v>20875</v>
      </c>
      <c r="K288" t="s">
        <v>1998</v>
      </c>
      <c r="L288" t="s">
        <v>499</v>
      </c>
      <c r="M288" t="s">
        <v>500</v>
      </c>
      <c r="O288" t="s">
        <v>1991</v>
      </c>
      <c r="AF288" t="s">
        <v>2016</v>
      </c>
      <c r="AG288" t="s">
        <v>1991</v>
      </c>
      <c r="AJ288" t="s">
        <v>2090</v>
      </c>
      <c r="AM288" t="s">
        <v>501</v>
      </c>
      <c r="BX288" t="str">
        <f>""</f>
        <v/>
      </c>
      <c r="BY288" t="str">
        <f>""</f>
        <v/>
      </c>
      <c r="BZ288" t="str">
        <f>""</f>
        <v/>
      </c>
      <c r="CA288" t="str">
        <f>""</f>
        <v/>
      </c>
      <c r="CB288" t="str">
        <f>""</f>
        <v/>
      </c>
      <c r="CC288" t="str">
        <f>""</f>
        <v/>
      </c>
      <c r="CD288" t="str">
        <f>""</f>
        <v/>
      </c>
      <c r="CE288" t="str">
        <f>""</f>
        <v/>
      </c>
      <c r="CF288" t="str">
        <f>""</f>
        <v/>
      </c>
      <c r="CG288" t="str">
        <f>""</f>
        <v/>
      </c>
      <c r="CH288" t="str">
        <f>""</f>
        <v/>
      </c>
    </row>
    <row r="289" spans="1:86" x14ac:dyDescent="0.25">
      <c r="A289" t="s">
        <v>1859</v>
      </c>
      <c r="B289" t="s">
        <v>1860</v>
      </c>
      <c r="C289" t="s">
        <v>1991</v>
      </c>
      <c r="D289" t="s">
        <v>2010</v>
      </c>
      <c r="E289" t="s">
        <v>1861</v>
      </c>
      <c r="H289" t="s">
        <v>1862</v>
      </c>
      <c r="I289" t="s">
        <v>2528</v>
      </c>
      <c r="J289" t="str">
        <f>"58201"</f>
        <v>58201</v>
      </c>
      <c r="K289" t="s">
        <v>1998</v>
      </c>
      <c r="L289" t="s">
        <v>1999</v>
      </c>
      <c r="M289" t="s">
        <v>1863</v>
      </c>
      <c r="N289" t="s">
        <v>1991</v>
      </c>
      <c r="O289" t="s">
        <v>1992</v>
      </c>
      <c r="P289" t="s">
        <v>1992</v>
      </c>
      <c r="Q289" t="s">
        <v>1991</v>
      </c>
      <c r="R289" t="s">
        <v>1991</v>
      </c>
      <c r="S289" t="s">
        <v>1992</v>
      </c>
      <c r="T289" t="s">
        <v>1992</v>
      </c>
      <c r="U289" t="s">
        <v>1992</v>
      </c>
      <c r="V289" t="s">
        <v>1991</v>
      </c>
      <c r="W289" t="s">
        <v>1991</v>
      </c>
      <c r="X289" t="s">
        <v>1992</v>
      </c>
      <c r="Y289" t="s">
        <v>1992</v>
      </c>
      <c r="Z289" t="s">
        <v>1992</v>
      </c>
      <c r="AE289" t="s">
        <v>2047</v>
      </c>
      <c r="AF289" t="s">
        <v>2001</v>
      </c>
      <c r="AG289" t="s">
        <v>1991</v>
      </c>
      <c r="AH289">
        <v>60</v>
      </c>
      <c r="AI289">
        <v>30</v>
      </c>
      <c r="AJ289" t="s">
        <v>1864</v>
      </c>
      <c r="AK289">
        <v>836</v>
      </c>
      <c r="AL289">
        <v>51313</v>
      </c>
      <c r="AM289" t="s">
        <v>1865</v>
      </c>
      <c r="AN289" t="s">
        <v>1053</v>
      </c>
      <c r="AO289" t="s">
        <v>1053</v>
      </c>
      <c r="AP289" t="s">
        <v>2069</v>
      </c>
      <c r="AQ289" t="s">
        <v>1053</v>
      </c>
      <c r="AR289" t="s">
        <v>2069</v>
      </c>
      <c r="AS289" t="s">
        <v>1859</v>
      </c>
      <c r="AT289" t="s">
        <v>1866</v>
      </c>
      <c r="AU289" t="s">
        <v>1053</v>
      </c>
      <c r="AV289" t="s">
        <v>1053</v>
      </c>
      <c r="AW289" t="s">
        <v>2069</v>
      </c>
      <c r="AX289" t="s">
        <v>1053</v>
      </c>
      <c r="AY289" t="s">
        <v>2069</v>
      </c>
      <c r="AZ289" t="s">
        <v>1859</v>
      </c>
      <c r="BA289" t="s">
        <v>1866</v>
      </c>
      <c r="BB289" t="s">
        <v>1053</v>
      </c>
      <c r="BC289" t="s">
        <v>2069</v>
      </c>
      <c r="BD289" t="s">
        <v>1053</v>
      </c>
      <c r="BE289" t="s">
        <v>2069</v>
      </c>
      <c r="BF289" t="s">
        <v>1053</v>
      </c>
      <c r="BG289" t="s">
        <v>703</v>
      </c>
      <c r="BH289" t="s">
        <v>2173</v>
      </c>
      <c r="BI289" t="s">
        <v>1053</v>
      </c>
      <c r="BJ289" t="s">
        <v>2069</v>
      </c>
      <c r="BK289" t="s">
        <v>1053</v>
      </c>
      <c r="BL289" t="s">
        <v>2069</v>
      </c>
      <c r="BM289" t="s">
        <v>287</v>
      </c>
      <c r="BN289" t="s">
        <v>288</v>
      </c>
      <c r="BO289" t="s">
        <v>1053</v>
      </c>
      <c r="BP289" t="s">
        <v>950</v>
      </c>
      <c r="BQ289" t="s">
        <v>2006</v>
      </c>
      <c r="BR289" t="s">
        <v>1053</v>
      </c>
      <c r="BS289" t="s">
        <v>1053</v>
      </c>
      <c r="BT289" t="s">
        <v>1053</v>
      </c>
      <c r="BU289" t="s">
        <v>1053</v>
      </c>
      <c r="BV289" t="s">
        <v>951</v>
      </c>
      <c r="BW289" t="s">
        <v>952</v>
      </c>
      <c r="BX289" t="str">
        <f>"SMTWTFS 0000-0800"</f>
        <v>SMTWTFS 0000-0800</v>
      </c>
      <c r="BY289" t="str">
        <f>"SMTWTFS 0000-0800"</f>
        <v>SMTWTFS 0000-0800</v>
      </c>
      <c r="BZ289" t="str">
        <f>""</f>
        <v/>
      </c>
      <c r="CA289" t="str">
        <f>"SMTWTFS 0000-0800"</f>
        <v>SMTWTFS 0000-0800</v>
      </c>
      <c r="CB289" t="str">
        <f>""</f>
        <v/>
      </c>
      <c r="CC289" t="str">
        <f>""</f>
        <v/>
      </c>
      <c r="CD289" t="str">
        <f>""</f>
        <v/>
      </c>
      <c r="CE289" t="str">
        <f>""</f>
        <v/>
      </c>
      <c r="CF289" t="str">
        <f>"SMTWTFS 0000-0800"</f>
        <v>SMTWTFS 0000-0800</v>
      </c>
      <c r="CG289" t="str">
        <f>""</f>
        <v/>
      </c>
      <c r="CH289" t="str">
        <f>""</f>
        <v/>
      </c>
    </row>
    <row r="290" spans="1:86" x14ac:dyDescent="0.25">
      <c r="A290" t="s">
        <v>1867</v>
      </c>
      <c r="B290" t="s">
        <v>1868</v>
      </c>
      <c r="C290" t="s">
        <v>1992</v>
      </c>
      <c r="D290" t="s">
        <v>2028</v>
      </c>
      <c r="E290" t="s">
        <v>1869</v>
      </c>
      <c r="F290" t="s">
        <v>3598</v>
      </c>
      <c r="H290" t="s">
        <v>2104</v>
      </c>
      <c r="I290" t="s">
        <v>2352</v>
      </c>
      <c r="J290" t="str">
        <f>"48216"</f>
        <v>48216</v>
      </c>
      <c r="K290" t="s">
        <v>1998</v>
      </c>
      <c r="L290" t="s">
        <v>1999</v>
      </c>
      <c r="M290" t="s">
        <v>1870</v>
      </c>
      <c r="N290" t="s">
        <v>1992</v>
      </c>
      <c r="O290" t="s">
        <v>1992</v>
      </c>
      <c r="P290" t="s">
        <v>1992</v>
      </c>
      <c r="Q290" t="s">
        <v>1992</v>
      </c>
      <c r="R290" t="s">
        <v>1992</v>
      </c>
      <c r="S290" t="s">
        <v>1992</v>
      </c>
      <c r="T290" t="s">
        <v>1992</v>
      </c>
      <c r="U290" t="s">
        <v>1992</v>
      </c>
      <c r="V290" t="s">
        <v>1991</v>
      </c>
      <c r="W290" t="s">
        <v>1991</v>
      </c>
      <c r="X290" t="s">
        <v>1992</v>
      </c>
      <c r="Y290" t="s">
        <v>1992</v>
      </c>
      <c r="Z290" t="s">
        <v>1992</v>
      </c>
      <c r="AA290" t="s">
        <v>1992</v>
      </c>
      <c r="AE290" t="s">
        <v>2353</v>
      </c>
      <c r="AF290" t="s">
        <v>2016</v>
      </c>
      <c r="AG290" t="s">
        <v>1991</v>
      </c>
      <c r="AH290">
        <v>30</v>
      </c>
      <c r="AI290">
        <v>30</v>
      </c>
      <c r="AJ290" t="s">
        <v>1871</v>
      </c>
      <c r="AK290">
        <v>598</v>
      </c>
      <c r="AM290" t="s">
        <v>1872</v>
      </c>
      <c r="AU290" t="s">
        <v>1873</v>
      </c>
      <c r="AV290" t="s">
        <v>1053</v>
      </c>
      <c r="BF290" t="s">
        <v>1053</v>
      </c>
      <c r="BG290" t="s">
        <v>1874</v>
      </c>
      <c r="BH290" t="s">
        <v>2312</v>
      </c>
      <c r="BI290" t="s">
        <v>1053</v>
      </c>
      <c r="BJ290" t="s">
        <v>2069</v>
      </c>
      <c r="BK290" t="s">
        <v>1053</v>
      </c>
      <c r="BL290" t="s">
        <v>2069</v>
      </c>
      <c r="BM290" t="s">
        <v>2313</v>
      </c>
      <c r="BN290" t="s">
        <v>2314</v>
      </c>
      <c r="BO290" t="s">
        <v>1053</v>
      </c>
      <c r="BP290" t="s">
        <v>301</v>
      </c>
      <c r="BQ290" t="s">
        <v>2316</v>
      </c>
      <c r="BR290" t="s">
        <v>1053</v>
      </c>
      <c r="BT290" t="s">
        <v>1053</v>
      </c>
      <c r="BX290" t="str">
        <f>""</f>
        <v/>
      </c>
      <c r="BY290" t="str">
        <f>""</f>
        <v/>
      </c>
      <c r="BZ290" t="str">
        <f>""</f>
        <v/>
      </c>
      <c r="CA290" t="str">
        <f>""</f>
        <v/>
      </c>
      <c r="CB290" t="str">
        <f>""</f>
        <v/>
      </c>
      <c r="CC290" t="str">
        <f>""</f>
        <v/>
      </c>
      <c r="CD290" t="str">
        <f>""</f>
        <v/>
      </c>
      <c r="CE290" t="str">
        <f>""</f>
        <v/>
      </c>
      <c r="CF290" t="str">
        <f>""</f>
        <v/>
      </c>
      <c r="CG290" t="str">
        <f>""</f>
        <v/>
      </c>
      <c r="CH290" t="str">
        <f>""</f>
        <v/>
      </c>
    </row>
    <row r="291" spans="1:86" x14ac:dyDescent="0.25">
      <c r="A291" t="s">
        <v>1875</v>
      </c>
      <c r="B291" t="s">
        <v>1876</v>
      </c>
      <c r="C291" t="s">
        <v>1992</v>
      </c>
      <c r="D291" t="s">
        <v>2010</v>
      </c>
      <c r="E291" t="s">
        <v>1877</v>
      </c>
      <c r="H291" t="s">
        <v>1878</v>
      </c>
      <c r="I291" t="s">
        <v>803</v>
      </c>
      <c r="J291" t="str">
        <f>"59230-2396"</f>
        <v>59230-2396</v>
      </c>
      <c r="K291" t="s">
        <v>1998</v>
      </c>
      <c r="L291" t="s">
        <v>231</v>
      </c>
      <c r="M291" t="s">
        <v>2063</v>
      </c>
      <c r="N291" t="s">
        <v>1992</v>
      </c>
      <c r="O291" t="s">
        <v>1992</v>
      </c>
      <c r="P291" t="s">
        <v>1992</v>
      </c>
      <c r="Q291" t="s">
        <v>1992</v>
      </c>
      <c r="R291" t="s">
        <v>1992</v>
      </c>
      <c r="S291" t="s">
        <v>1992</v>
      </c>
      <c r="T291" t="s">
        <v>1992</v>
      </c>
      <c r="U291" t="s">
        <v>1992</v>
      </c>
      <c r="V291" t="s">
        <v>1991</v>
      </c>
      <c r="W291" t="s">
        <v>1991</v>
      </c>
      <c r="X291" t="s">
        <v>1992</v>
      </c>
      <c r="Y291" t="s">
        <v>1992</v>
      </c>
      <c r="Z291" t="s">
        <v>1992</v>
      </c>
      <c r="AA291" t="s">
        <v>1992</v>
      </c>
      <c r="AF291" t="s">
        <v>2048</v>
      </c>
      <c r="AG291" t="s">
        <v>1991</v>
      </c>
      <c r="AH291">
        <v>30</v>
      </c>
      <c r="AI291">
        <v>30</v>
      </c>
      <c r="AJ291" t="s">
        <v>1879</v>
      </c>
      <c r="AK291">
        <v>2092</v>
      </c>
      <c r="AL291">
        <v>3523</v>
      </c>
      <c r="AN291" t="s">
        <v>2066</v>
      </c>
      <c r="AO291" t="s">
        <v>2063</v>
      </c>
      <c r="BF291" t="s">
        <v>1053</v>
      </c>
      <c r="BG291" t="s">
        <v>2019</v>
      </c>
      <c r="BH291" t="s">
        <v>240</v>
      </c>
      <c r="BI291" t="s">
        <v>1053</v>
      </c>
      <c r="BJ291" t="s">
        <v>1053</v>
      </c>
      <c r="BK291" t="s">
        <v>1053</v>
      </c>
      <c r="BM291" t="s">
        <v>241</v>
      </c>
      <c r="BN291" t="s">
        <v>242</v>
      </c>
      <c r="BO291" t="s">
        <v>1053</v>
      </c>
      <c r="BP291" t="s">
        <v>239</v>
      </c>
      <c r="BQ291" t="s">
        <v>240</v>
      </c>
      <c r="BR291" t="s">
        <v>1053</v>
      </c>
      <c r="BS291" t="s">
        <v>1053</v>
      </c>
      <c r="BT291" t="s">
        <v>1053</v>
      </c>
      <c r="BU291" t="s">
        <v>1053</v>
      </c>
      <c r="BV291" t="s">
        <v>241</v>
      </c>
      <c r="BW291" t="s">
        <v>242</v>
      </c>
      <c r="BX291" t="str">
        <f>"SMTWTFS 0000-2359"</f>
        <v>SMTWTFS 0000-2359</v>
      </c>
      <c r="BY291" t="str">
        <f>""</f>
        <v/>
      </c>
      <c r="BZ291" t="str">
        <f>""</f>
        <v/>
      </c>
      <c r="CA291" t="str">
        <f>""</f>
        <v/>
      </c>
      <c r="CB291" t="str">
        <f>""</f>
        <v/>
      </c>
      <c r="CC291" t="str">
        <f>""</f>
        <v/>
      </c>
      <c r="CD291" t="str">
        <f>""</f>
        <v/>
      </c>
      <c r="CE291" t="str">
        <f>""</f>
        <v/>
      </c>
      <c r="CF291" t="str">
        <f>""</f>
        <v/>
      </c>
      <c r="CG291" t="str">
        <f>""</f>
        <v/>
      </c>
      <c r="CH291" t="str">
        <f>""</f>
        <v/>
      </c>
    </row>
    <row r="292" spans="1:86" x14ac:dyDescent="0.25">
      <c r="A292" t="s">
        <v>1880</v>
      </c>
      <c r="B292" t="s">
        <v>1881</v>
      </c>
      <c r="C292" t="s">
        <v>1992</v>
      </c>
      <c r="D292" t="s">
        <v>1993</v>
      </c>
      <c r="E292" t="s">
        <v>1882</v>
      </c>
      <c r="F292" t="s">
        <v>1883</v>
      </c>
      <c r="H292" t="s">
        <v>1884</v>
      </c>
      <c r="I292" t="s">
        <v>2295</v>
      </c>
      <c r="J292" t="str">
        <f>"97525"</f>
        <v>97525</v>
      </c>
      <c r="K292" t="s">
        <v>1998</v>
      </c>
      <c r="L292" t="s">
        <v>2062</v>
      </c>
      <c r="M292" t="s">
        <v>2000</v>
      </c>
      <c r="N292" t="s">
        <v>1992</v>
      </c>
      <c r="O292" t="s">
        <v>1992</v>
      </c>
      <c r="P292" t="s">
        <v>1992</v>
      </c>
      <c r="Q292" t="s">
        <v>1992</v>
      </c>
      <c r="R292" t="s">
        <v>1992</v>
      </c>
      <c r="S292" t="s">
        <v>1992</v>
      </c>
      <c r="T292" t="s">
        <v>1992</v>
      </c>
      <c r="U292" t="s">
        <v>1992</v>
      </c>
      <c r="V292" t="s">
        <v>1991</v>
      </c>
      <c r="Y292" t="s">
        <v>1992</v>
      </c>
      <c r="Z292" t="s">
        <v>1991</v>
      </c>
      <c r="AF292" t="s">
        <v>2064</v>
      </c>
      <c r="AG292" t="s">
        <v>1991</v>
      </c>
      <c r="AH292">
        <v>15</v>
      </c>
      <c r="AI292">
        <v>15</v>
      </c>
      <c r="AJ292" t="s">
        <v>1885</v>
      </c>
      <c r="AK292">
        <v>1087</v>
      </c>
      <c r="BX292" t="str">
        <f>""</f>
        <v/>
      </c>
      <c r="BY292" t="str">
        <f>""</f>
        <v/>
      </c>
      <c r="BZ292" t="str">
        <f>""</f>
        <v/>
      </c>
      <c r="CA292" t="str">
        <f>""</f>
        <v/>
      </c>
      <c r="CB292" t="str">
        <f>""</f>
        <v/>
      </c>
      <c r="CC292" t="str">
        <f>""</f>
        <v/>
      </c>
      <c r="CD292" t="str">
        <f>""</f>
        <v/>
      </c>
      <c r="CE292" t="str">
        <f>""</f>
        <v/>
      </c>
      <c r="CF292" t="str">
        <f>""</f>
        <v/>
      </c>
      <c r="CG292" t="str">
        <f>""</f>
        <v/>
      </c>
      <c r="CH292" t="str">
        <f>""</f>
        <v/>
      </c>
    </row>
    <row r="293" spans="1:86" x14ac:dyDescent="0.25">
      <c r="A293" t="s">
        <v>1886</v>
      </c>
      <c r="B293" t="s">
        <v>1887</v>
      </c>
      <c r="C293" t="s">
        <v>1992</v>
      </c>
      <c r="D293" t="s">
        <v>1993</v>
      </c>
      <c r="E293" t="s">
        <v>1888</v>
      </c>
      <c r="F293" t="s">
        <v>1889</v>
      </c>
      <c r="G293" t="s">
        <v>1890</v>
      </c>
      <c r="H293" t="s">
        <v>1891</v>
      </c>
      <c r="I293" t="s">
        <v>2295</v>
      </c>
      <c r="J293" t="str">
        <f>"97301"</f>
        <v>97301</v>
      </c>
      <c r="K293" t="s">
        <v>1998</v>
      </c>
      <c r="L293" t="s">
        <v>231</v>
      </c>
      <c r="M293" t="s">
        <v>2063</v>
      </c>
      <c r="N293" t="s">
        <v>1992</v>
      </c>
      <c r="O293" t="s">
        <v>1992</v>
      </c>
      <c r="P293" t="s">
        <v>1992</v>
      </c>
      <c r="Q293" t="s">
        <v>1992</v>
      </c>
      <c r="R293" t="s">
        <v>1992</v>
      </c>
      <c r="S293" t="s">
        <v>1992</v>
      </c>
      <c r="T293" t="s">
        <v>1992</v>
      </c>
      <c r="U293" t="s">
        <v>1992</v>
      </c>
      <c r="V293" t="s">
        <v>1991</v>
      </c>
      <c r="W293" t="s">
        <v>1992</v>
      </c>
      <c r="X293" t="s">
        <v>1992</v>
      </c>
      <c r="Y293" t="s">
        <v>1991</v>
      </c>
      <c r="Z293" t="s">
        <v>1992</v>
      </c>
      <c r="AE293" t="s">
        <v>1892</v>
      </c>
      <c r="AF293" t="s">
        <v>2064</v>
      </c>
      <c r="AG293" t="s">
        <v>1991</v>
      </c>
      <c r="AH293">
        <v>30</v>
      </c>
      <c r="AI293">
        <v>30</v>
      </c>
      <c r="AJ293" t="s">
        <v>1893</v>
      </c>
      <c r="AK293">
        <v>42</v>
      </c>
      <c r="AL293">
        <v>995</v>
      </c>
      <c r="AM293" t="s">
        <v>2298</v>
      </c>
      <c r="AN293" t="s">
        <v>3819</v>
      </c>
      <c r="AO293" t="s">
        <v>2063</v>
      </c>
      <c r="BF293" t="s">
        <v>1053</v>
      </c>
      <c r="BG293" t="s">
        <v>330</v>
      </c>
      <c r="BH293" t="s">
        <v>331</v>
      </c>
      <c r="BI293" t="s">
        <v>1053</v>
      </c>
      <c r="BJ293" t="s">
        <v>1053</v>
      </c>
      <c r="BK293" t="s">
        <v>1053</v>
      </c>
      <c r="BL293" t="s">
        <v>1053</v>
      </c>
      <c r="BX293" t="str">
        <f>"SMTWTFS 0900-2100"</f>
        <v>SMTWTFS 0900-2100</v>
      </c>
      <c r="BY293" t="str">
        <f>""</f>
        <v/>
      </c>
      <c r="BZ293" t="str">
        <f>""</f>
        <v/>
      </c>
      <c r="CA293" t="str">
        <f>""</f>
        <v/>
      </c>
      <c r="CB293" t="str">
        <f>""</f>
        <v/>
      </c>
      <c r="CC293" t="str">
        <f>""</f>
        <v/>
      </c>
      <c r="CD293" t="str">
        <f>""</f>
        <v/>
      </c>
      <c r="CE293" t="str">
        <f>""</f>
        <v/>
      </c>
      <c r="CF293" t="str">
        <f>""</f>
        <v/>
      </c>
      <c r="CG293" t="str">
        <f>""</f>
        <v/>
      </c>
      <c r="CH293" t="str">
        <f>""</f>
        <v/>
      </c>
    </row>
    <row r="294" spans="1:86" x14ac:dyDescent="0.25">
      <c r="A294" t="s">
        <v>1894</v>
      </c>
      <c r="B294" t="s">
        <v>1895</v>
      </c>
      <c r="D294" t="s">
        <v>2089</v>
      </c>
      <c r="V294" t="s">
        <v>1991</v>
      </c>
      <c r="AJ294" t="s">
        <v>2090</v>
      </c>
      <c r="BX294" t="str">
        <f>""</f>
        <v/>
      </c>
      <c r="BY294" t="str">
        <f>""</f>
        <v/>
      </c>
      <c r="BZ294" t="str">
        <f>""</f>
        <v/>
      </c>
      <c r="CA294" t="str">
        <f>"SMTWTFS 0000-2359"</f>
        <v>SMTWTFS 0000-2359</v>
      </c>
      <c r="CB294" t="str">
        <f>""</f>
        <v/>
      </c>
      <c r="CC294" t="str">
        <f>"SMTWTFS 0000-2359"</f>
        <v>SMTWTFS 0000-2359</v>
      </c>
      <c r="CD294" t="str">
        <f>""</f>
        <v/>
      </c>
      <c r="CE294" t="str">
        <f>""</f>
        <v/>
      </c>
      <c r="CF294" t="str">
        <f>""</f>
        <v/>
      </c>
      <c r="CG294" t="str">
        <f>""</f>
        <v/>
      </c>
      <c r="CH294" t="str">
        <f>""</f>
        <v/>
      </c>
    </row>
    <row r="295" spans="1:86" x14ac:dyDescent="0.25">
      <c r="A295" t="s">
        <v>1896</v>
      </c>
      <c r="B295" t="s">
        <v>1897</v>
      </c>
      <c r="C295" t="s">
        <v>1991</v>
      </c>
      <c r="D295" t="s">
        <v>2010</v>
      </c>
      <c r="E295" t="s">
        <v>1898</v>
      </c>
      <c r="H295" t="s">
        <v>1899</v>
      </c>
      <c r="I295" t="s">
        <v>3629</v>
      </c>
      <c r="J295" t="str">
        <f>"81501-2207"</f>
        <v>81501-2207</v>
      </c>
      <c r="K295" t="s">
        <v>1998</v>
      </c>
      <c r="L295" t="s">
        <v>2062</v>
      </c>
      <c r="M295" t="s">
        <v>1900</v>
      </c>
      <c r="N295" t="s">
        <v>1991</v>
      </c>
      <c r="O295" t="s">
        <v>1992</v>
      </c>
      <c r="P295" t="s">
        <v>1992</v>
      </c>
      <c r="Q295" t="s">
        <v>1991</v>
      </c>
      <c r="R295" t="s">
        <v>1991</v>
      </c>
      <c r="S295" t="s">
        <v>1992</v>
      </c>
      <c r="T295" t="s">
        <v>1992</v>
      </c>
      <c r="U295" t="s">
        <v>1991</v>
      </c>
      <c r="V295" t="s">
        <v>1991</v>
      </c>
      <c r="W295" t="s">
        <v>1991</v>
      </c>
      <c r="X295" t="s">
        <v>1992</v>
      </c>
      <c r="Y295" t="s">
        <v>1992</v>
      </c>
      <c r="Z295" t="s">
        <v>1992</v>
      </c>
      <c r="AA295" t="s">
        <v>1992</v>
      </c>
      <c r="AE295" t="s">
        <v>2047</v>
      </c>
      <c r="AF295" t="s">
        <v>2048</v>
      </c>
      <c r="AG295" t="s">
        <v>1991</v>
      </c>
      <c r="AH295">
        <v>60</v>
      </c>
      <c r="AI295">
        <v>30</v>
      </c>
      <c r="AJ295" t="s">
        <v>1901</v>
      </c>
      <c r="AK295">
        <v>4578</v>
      </c>
      <c r="AL295">
        <v>45000</v>
      </c>
      <c r="AM295" t="s">
        <v>1902</v>
      </c>
      <c r="AN295" t="s">
        <v>1053</v>
      </c>
      <c r="AO295" t="s">
        <v>1053</v>
      </c>
      <c r="AP295" t="s">
        <v>2069</v>
      </c>
      <c r="AQ295" t="s">
        <v>1053</v>
      </c>
      <c r="AR295" t="s">
        <v>2069</v>
      </c>
      <c r="AS295" t="s">
        <v>1896</v>
      </c>
      <c r="AT295" t="s">
        <v>4945</v>
      </c>
      <c r="AU295" t="s">
        <v>1414</v>
      </c>
      <c r="AV295" t="s">
        <v>1053</v>
      </c>
      <c r="AW295" t="s">
        <v>2069</v>
      </c>
      <c r="AX295" t="s">
        <v>1053</v>
      </c>
      <c r="AY295" t="s">
        <v>2069</v>
      </c>
      <c r="AZ295" t="s">
        <v>1896</v>
      </c>
      <c r="BA295" t="s">
        <v>4945</v>
      </c>
      <c r="BB295" t="s">
        <v>1053</v>
      </c>
      <c r="BC295" t="s">
        <v>2069</v>
      </c>
      <c r="BD295" t="s">
        <v>1053</v>
      </c>
      <c r="BE295" t="s">
        <v>2069</v>
      </c>
      <c r="BF295" t="s">
        <v>1053</v>
      </c>
      <c r="BG295" t="s">
        <v>2067</v>
      </c>
      <c r="BH295" t="s">
        <v>348</v>
      </c>
      <c r="BI295" t="s">
        <v>1053</v>
      </c>
      <c r="BK295" t="s">
        <v>1053</v>
      </c>
      <c r="BO295" t="s">
        <v>1053</v>
      </c>
      <c r="BP295" t="s">
        <v>3655</v>
      </c>
      <c r="BQ295" t="s">
        <v>2073</v>
      </c>
      <c r="BR295" t="s">
        <v>1053</v>
      </c>
      <c r="BS295" t="s">
        <v>1053</v>
      </c>
      <c r="BX295" t="str">
        <f>"SMTWTFS 0800-1715"</f>
        <v>SMTWTFS 0800-1715</v>
      </c>
      <c r="BY295" t="str">
        <f>"SMTWTFS 0800-1700"</f>
        <v>SMTWTFS 0800-1700</v>
      </c>
      <c r="BZ295" t="str">
        <f>"SMTWTFS 0800-1700"</f>
        <v>SMTWTFS 0800-1700</v>
      </c>
      <c r="CA295" t="str">
        <f>"SMTWTFS 0800-1700"</f>
        <v>SMTWTFS 0800-1700</v>
      </c>
      <c r="CB295" t="str">
        <f>""</f>
        <v/>
      </c>
      <c r="CC295" t="str">
        <f>""</f>
        <v/>
      </c>
      <c r="CD295" t="str">
        <f>""</f>
        <v/>
      </c>
      <c r="CE295" t="str">
        <f>""</f>
        <v/>
      </c>
      <c r="CF295" t="str">
        <f>"SMTWTFS 0800-1700"</f>
        <v>SMTWTFS 0800-1700</v>
      </c>
      <c r="CG295" t="str">
        <f>""</f>
        <v/>
      </c>
      <c r="CH295" t="str">
        <f>""</f>
        <v/>
      </c>
    </row>
    <row r="296" spans="1:86" x14ac:dyDescent="0.25">
      <c r="A296" t="s">
        <v>4946</v>
      </c>
      <c r="B296" t="s">
        <v>4947</v>
      </c>
      <c r="C296" t="s">
        <v>1992</v>
      </c>
      <c r="D296" t="s">
        <v>2010</v>
      </c>
      <c r="E296" t="s">
        <v>4948</v>
      </c>
      <c r="H296" t="s">
        <v>4949</v>
      </c>
      <c r="I296" t="s">
        <v>2381</v>
      </c>
      <c r="J296" t="str">
        <f>"76240"</f>
        <v>76240</v>
      </c>
      <c r="K296" t="s">
        <v>1998</v>
      </c>
      <c r="L296" t="s">
        <v>2045</v>
      </c>
      <c r="M296" t="s">
        <v>2063</v>
      </c>
      <c r="N296" t="s">
        <v>1992</v>
      </c>
      <c r="O296" t="s">
        <v>1992</v>
      </c>
      <c r="P296" t="s">
        <v>1992</v>
      </c>
      <c r="Q296" t="s">
        <v>1992</v>
      </c>
      <c r="R296" t="s">
        <v>1992</v>
      </c>
      <c r="S296" t="s">
        <v>1992</v>
      </c>
      <c r="T296" t="s">
        <v>1992</v>
      </c>
      <c r="U296" t="s">
        <v>1992</v>
      </c>
      <c r="V296" t="s">
        <v>1991</v>
      </c>
      <c r="W296" t="s">
        <v>1991</v>
      </c>
      <c r="X296" t="s">
        <v>1992</v>
      </c>
      <c r="Y296" t="s">
        <v>1992</v>
      </c>
      <c r="Z296" t="s">
        <v>1992</v>
      </c>
      <c r="AF296" t="s">
        <v>2001</v>
      </c>
      <c r="AG296" t="s">
        <v>1991</v>
      </c>
      <c r="AH296">
        <v>30</v>
      </c>
      <c r="AI296">
        <v>30</v>
      </c>
      <c r="AJ296" t="s">
        <v>4950</v>
      </c>
      <c r="AK296">
        <v>735</v>
      </c>
      <c r="AL296">
        <v>16452</v>
      </c>
      <c r="AN296" t="s">
        <v>2066</v>
      </c>
      <c r="AO296" t="s">
        <v>2063</v>
      </c>
      <c r="BF296" t="s">
        <v>1053</v>
      </c>
      <c r="BG296" t="s">
        <v>2097</v>
      </c>
      <c r="BH296" t="s">
        <v>2098</v>
      </c>
      <c r="BI296" t="s">
        <v>1053</v>
      </c>
      <c r="BJ296" t="s">
        <v>2069</v>
      </c>
      <c r="BK296" t="s">
        <v>1053</v>
      </c>
      <c r="BL296" t="s">
        <v>2069</v>
      </c>
      <c r="BM296" t="s">
        <v>2099</v>
      </c>
      <c r="BN296" t="s">
        <v>2100</v>
      </c>
      <c r="BO296" t="s">
        <v>1053</v>
      </c>
      <c r="BP296" t="s">
        <v>2101</v>
      </c>
      <c r="BQ296" t="s">
        <v>2055</v>
      </c>
      <c r="BR296" t="s">
        <v>1053</v>
      </c>
      <c r="BS296" t="s">
        <v>1053</v>
      </c>
      <c r="BT296" t="s">
        <v>1053</v>
      </c>
      <c r="BU296" t="s">
        <v>1053</v>
      </c>
      <c r="BV296" t="s">
        <v>2056</v>
      </c>
      <c r="BX296" t="str">
        <f>"SMTWTFS 1114-1845"</f>
        <v>SMTWTFS 1114-1845</v>
      </c>
      <c r="BY296" t="str">
        <f>""</f>
        <v/>
      </c>
      <c r="BZ296" t="str">
        <f>""</f>
        <v/>
      </c>
      <c r="CA296" t="str">
        <f>""</f>
        <v/>
      </c>
      <c r="CB296" t="str">
        <f>""</f>
        <v/>
      </c>
      <c r="CC296" t="str">
        <f>""</f>
        <v/>
      </c>
      <c r="CD296" t="str">
        <f>""</f>
        <v/>
      </c>
      <c r="CE296" t="str">
        <f>""</f>
        <v/>
      </c>
      <c r="CF296" t="str">
        <f>""</f>
        <v/>
      </c>
      <c r="CG296" t="str">
        <f>""</f>
        <v/>
      </c>
      <c r="CH296" t="str">
        <f>""</f>
        <v/>
      </c>
    </row>
    <row r="297" spans="1:86" x14ac:dyDescent="0.25">
      <c r="A297" t="s">
        <v>4951</v>
      </c>
      <c r="B297" t="s">
        <v>4952</v>
      </c>
      <c r="D297" t="s">
        <v>2089</v>
      </c>
      <c r="V297" t="s">
        <v>1991</v>
      </c>
      <c r="AJ297" t="s">
        <v>2090</v>
      </c>
      <c r="AM297" t="s">
        <v>4953</v>
      </c>
      <c r="BX297" t="str">
        <f>""</f>
        <v/>
      </c>
      <c r="BY297" t="str">
        <f>""</f>
        <v/>
      </c>
      <c r="BZ297" t="str">
        <f>""</f>
        <v/>
      </c>
      <c r="CA297" t="str">
        <f>""</f>
        <v/>
      </c>
      <c r="CB297" t="str">
        <f>""</f>
        <v/>
      </c>
      <c r="CC297" t="str">
        <f>""</f>
        <v/>
      </c>
      <c r="CD297" t="str">
        <f>""</f>
        <v/>
      </c>
      <c r="CE297" t="str">
        <f>""</f>
        <v/>
      </c>
      <c r="CF297" t="str">
        <f>""</f>
        <v/>
      </c>
      <c r="CG297" t="str">
        <f>""</f>
        <v/>
      </c>
      <c r="CH297" t="str">
        <f>""</f>
        <v/>
      </c>
    </row>
    <row r="298" spans="1:86" x14ac:dyDescent="0.25">
      <c r="A298" t="s">
        <v>4954</v>
      </c>
      <c r="B298" t="s">
        <v>4955</v>
      </c>
      <c r="C298" t="s">
        <v>1992</v>
      </c>
      <c r="D298" t="s">
        <v>2028</v>
      </c>
      <c r="E298" t="s">
        <v>4956</v>
      </c>
      <c r="H298" t="s">
        <v>4957</v>
      </c>
      <c r="I298" t="s">
        <v>2367</v>
      </c>
      <c r="J298" t="str">
        <f>"60983"</f>
        <v>60983</v>
      </c>
      <c r="K298" t="s">
        <v>1998</v>
      </c>
      <c r="L298" t="s">
        <v>1999</v>
      </c>
      <c r="M298" t="s">
        <v>2063</v>
      </c>
      <c r="N298" t="s">
        <v>1992</v>
      </c>
      <c r="O298" t="s">
        <v>1992</v>
      </c>
      <c r="P298" t="s">
        <v>1992</v>
      </c>
      <c r="Q298" t="s">
        <v>1992</v>
      </c>
      <c r="R298" t="s">
        <v>1992</v>
      </c>
      <c r="S298" t="s">
        <v>1992</v>
      </c>
      <c r="T298" t="s">
        <v>1992</v>
      </c>
      <c r="U298" t="s">
        <v>1992</v>
      </c>
      <c r="V298" t="s">
        <v>1991</v>
      </c>
      <c r="W298" t="s">
        <v>1991</v>
      </c>
      <c r="X298" t="s">
        <v>1991</v>
      </c>
      <c r="Y298" t="s">
        <v>1992</v>
      </c>
      <c r="Z298" t="s">
        <v>1992</v>
      </c>
      <c r="AF298" t="s">
        <v>2001</v>
      </c>
      <c r="AG298" t="s">
        <v>1991</v>
      </c>
      <c r="AH298">
        <v>30</v>
      </c>
      <c r="AI298">
        <v>30</v>
      </c>
      <c r="AJ298" t="s">
        <v>4958</v>
      </c>
      <c r="AK298">
        <v>654</v>
      </c>
      <c r="AL298">
        <v>1913</v>
      </c>
      <c r="AN298" t="s">
        <v>2066</v>
      </c>
      <c r="AO298" t="s">
        <v>2063</v>
      </c>
      <c r="BF298" t="s">
        <v>1053</v>
      </c>
      <c r="BG298" t="s">
        <v>2548</v>
      </c>
      <c r="BH298" t="s">
        <v>3669</v>
      </c>
      <c r="BI298" t="s">
        <v>1053</v>
      </c>
      <c r="BJ298" t="s">
        <v>1053</v>
      </c>
      <c r="BK298" t="s">
        <v>1053</v>
      </c>
      <c r="BL298" t="s">
        <v>1053</v>
      </c>
      <c r="BM298" t="s">
        <v>2373</v>
      </c>
      <c r="BN298" t="s">
        <v>2374</v>
      </c>
      <c r="BO298" t="s">
        <v>1053</v>
      </c>
      <c r="BP298" t="s">
        <v>2023</v>
      </c>
      <c r="BQ298" t="s">
        <v>1032</v>
      </c>
      <c r="BR298" t="s">
        <v>1053</v>
      </c>
      <c r="BS298" t="s">
        <v>2069</v>
      </c>
      <c r="BT298" t="s">
        <v>1053</v>
      </c>
      <c r="BU298" t="s">
        <v>2069</v>
      </c>
      <c r="BX298" t="str">
        <f>""</f>
        <v/>
      </c>
      <c r="BY298" t="str">
        <f>""</f>
        <v/>
      </c>
      <c r="BZ298" t="str">
        <f>""</f>
        <v/>
      </c>
      <c r="CA298" t="str">
        <f>""</f>
        <v/>
      </c>
      <c r="CB298" t="str">
        <f>""</f>
        <v/>
      </c>
      <c r="CC298" t="str">
        <f>""</f>
        <v/>
      </c>
      <c r="CD298" t="str">
        <f>""</f>
        <v/>
      </c>
      <c r="CE298" t="str">
        <f>""</f>
        <v/>
      </c>
      <c r="CF298" t="str">
        <f>""</f>
        <v/>
      </c>
      <c r="CG298" t="str">
        <f>""</f>
        <v/>
      </c>
      <c r="CH298" t="str">
        <f>""</f>
        <v/>
      </c>
    </row>
    <row r="299" spans="1:86" x14ac:dyDescent="0.25">
      <c r="A299" t="s">
        <v>4959</v>
      </c>
      <c r="B299" t="s">
        <v>4960</v>
      </c>
      <c r="C299" t="s">
        <v>1991</v>
      </c>
      <c r="D299" t="s">
        <v>2010</v>
      </c>
      <c r="E299" t="s">
        <v>4961</v>
      </c>
      <c r="H299" t="s">
        <v>4962</v>
      </c>
      <c r="I299" t="s">
        <v>2367</v>
      </c>
      <c r="J299" t="str">
        <f>"60025"</f>
        <v>60025</v>
      </c>
      <c r="K299" t="s">
        <v>1998</v>
      </c>
      <c r="L299" t="s">
        <v>1999</v>
      </c>
      <c r="M299" t="s">
        <v>4963</v>
      </c>
      <c r="N299" t="s">
        <v>1991</v>
      </c>
      <c r="O299" t="s">
        <v>1992</v>
      </c>
      <c r="P299" t="s">
        <v>1992</v>
      </c>
      <c r="Q299" t="s">
        <v>1992</v>
      </c>
      <c r="R299" t="s">
        <v>1992</v>
      </c>
      <c r="S299" t="s">
        <v>1992</v>
      </c>
      <c r="T299" t="s">
        <v>1992</v>
      </c>
      <c r="U299" t="s">
        <v>1991</v>
      </c>
      <c r="V299" t="s">
        <v>1991</v>
      </c>
      <c r="W299" t="s">
        <v>1991</v>
      </c>
      <c r="X299" t="s">
        <v>1991</v>
      </c>
      <c r="Y299" t="s">
        <v>1992</v>
      </c>
      <c r="Z299" t="s">
        <v>1992</v>
      </c>
      <c r="AA299" t="s">
        <v>1991</v>
      </c>
      <c r="AE299" t="s">
        <v>2047</v>
      </c>
      <c r="AF299" t="s">
        <v>2001</v>
      </c>
      <c r="AG299" t="s">
        <v>1991</v>
      </c>
      <c r="AH299">
        <v>60</v>
      </c>
      <c r="AI299">
        <v>30</v>
      </c>
      <c r="AJ299" t="s">
        <v>4964</v>
      </c>
      <c r="AK299">
        <v>631</v>
      </c>
      <c r="AL299">
        <v>46321</v>
      </c>
      <c r="AN299" t="s">
        <v>1053</v>
      </c>
      <c r="AO299" t="s">
        <v>1053</v>
      </c>
      <c r="AP299" t="s">
        <v>2069</v>
      </c>
      <c r="AQ299" t="s">
        <v>1053</v>
      </c>
      <c r="AR299" t="s">
        <v>2069</v>
      </c>
      <c r="AS299" t="s">
        <v>4959</v>
      </c>
      <c r="AT299" t="s">
        <v>4965</v>
      </c>
      <c r="AU299" t="s">
        <v>1053</v>
      </c>
      <c r="AV299" t="s">
        <v>1053</v>
      </c>
      <c r="AW299" t="s">
        <v>2069</v>
      </c>
      <c r="AX299" t="s">
        <v>1053</v>
      </c>
      <c r="AY299" t="s">
        <v>2069</v>
      </c>
      <c r="AZ299" t="s">
        <v>4959</v>
      </c>
      <c r="BA299" t="s">
        <v>4965</v>
      </c>
      <c r="BB299" t="s">
        <v>1053</v>
      </c>
      <c r="BC299" t="s">
        <v>2069</v>
      </c>
      <c r="BD299" t="s">
        <v>1053</v>
      </c>
      <c r="BE299" t="s">
        <v>2069</v>
      </c>
      <c r="BF299" t="s">
        <v>1053</v>
      </c>
      <c r="BG299" t="s">
        <v>2097</v>
      </c>
      <c r="BH299" t="s">
        <v>2376</v>
      </c>
      <c r="BI299" t="s">
        <v>1053</v>
      </c>
      <c r="BJ299" t="s">
        <v>2069</v>
      </c>
      <c r="BK299" t="s">
        <v>1053</v>
      </c>
      <c r="BL299" t="s">
        <v>2069</v>
      </c>
      <c r="BM299" t="s">
        <v>287</v>
      </c>
      <c r="BN299" t="s">
        <v>288</v>
      </c>
      <c r="BO299" t="s">
        <v>1053</v>
      </c>
      <c r="BP299" t="s">
        <v>653</v>
      </c>
      <c r="BQ299" t="s">
        <v>2006</v>
      </c>
      <c r="BR299" t="s">
        <v>1053</v>
      </c>
      <c r="BS299" t="s">
        <v>1053</v>
      </c>
      <c r="BT299" t="s">
        <v>1053</v>
      </c>
      <c r="BU299" t="s">
        <v>1053</v>
      </c>
      <c r="BX299" t="str">
        <f>"SMTWTFS 0515-2030"</f>
        <v>SMTWTFS 0515-2030</v>
      </c>
      <c r="BY299" t="str">
        <f>""</f>
        <v/>
      </c>
      <c r="BZ299" t="str">
        <f>"SMTWTFS 0515-2015"</f>
        <v>SMTWTFS 0515-2015</v>
      </c>
      <c r="CA299" t="str">
        <f>"SMTWTFS 0515-2015"</f>
        <v>SMTWTFS 0515-2015</v>
      </c>
      <c r="CB299" t="str">
        <f>""</f>
        <v/>
      </c>
      <c r="CC299" t="str">
        <f>""</f>
        <v/>
      </c>
      <c r="CD299" t="str">
        <f>""</f>
        <v/>
      </c>
      <c r="CE299" t="str">
        <f>""</f>
        <v/>
      </c>
      <c r="CF299" t="str">
        <f>""</f>
        <v/>
      </c>
      <c r="CG299" t="str">
        <f>""</f>
        <v/>
      </c>
      <c r="CH299" t="str">
        <f>""</f>
        <v/>
      </c>
    </row>
    <row r="300" spans="1:86" x14ac:dyDescent="0.25">
      <c r="A300" t="s">
        <v>4966</v>
      </c>
      <c r="B300" t="s">
        <v>4967</v>
      </c>
      <c r="C300" t="s">
        <v>1992</v>
      </c>
      <c r="D300" t="s">
        <v>2010</v>
      </c>
      <c r="E300" t="s">
        <v>4968</v>
      </c>
      <c r="F300" t="s">
        <v>4969</v>
      </c>
      <c r="H300" t="s">
        <v>4970</v>
      </c>
      <c r="I300" t="s">
        <v>2044</v>
      </c>
      <c r="J300" t="str">
        <f>"87301"</f>
        <v>87301</v>
      </c>
      <c r="K300" t="s">
        <v>1998</v>
      </c>
      <c r="L300" t="s">
        <v>2045</v>
      </c>
      <c r="M300" t="s">
        <v>2063</v>
      </c>
      <c r="N300" t="s">
        <v>1992</v>
      </c>
      <c r="O300" t="s">
        <v>1992</v>
      </c>
      <c r="P300" t="s">
        <v>1992</v>
      </c>
      <c r="Q300" t="s">
        <v>1992</v>
      </c>
      <c r="R300" t="s">
        <v>1992</v>
      </c>
      <c r="S300" t="s">
        <v>1992</v>
      </c>
      <c r="T300" t="s">
        <v>1992</v>
      </c>
      <c r="U300" t="s">
        <v>1992</v>
      </c>
      <c r="V300" t="s">
        <v>1991</v>
      </c>
      <c r="W300" t="s">
        <v>1991</v>
      </c>
      <c r="X300" t="s">
        <v>1992</v>
      </c>
      <c r="Y300" t="s">
        <v>1992</v>
      </c>
      <c r="Z300" t="s">
        <v>1992</v>
      </c>
      <c r="AE300" t="s">
        <v>4971</v>
      </c>
      <c r="AF300" t="s">
        <v>2048</v>
      </c>
      <c r="AG300" t="s">
        <v>1991</v>
      </c>
      <c r="AH300">
        <v>30</v>
      </c>
      <c r="AI300">
        <v>30</v>
      </c>
      <c r="AJ300" t="s">
        <v>4972</v>
      </c>
      <c r="AK300">
        <v>6509</v>
      </c>
      <c r="AL300">
        <v>19000</v>
      </c>
      <c r="AN300" t="s">
        <v>2066</v>
      </c>
      <c r="BF300" t="s">
        <v>1053</v>
      </c>
      <c r="BG300" t="s">
        <v>2019</v>
      </c>
      <c r="BH300" t="s">
        <v>2053</v>
      </c>
      <c r="BI300" t="s">
        <v>1053</v>
      </c>
      <c r="BO300" t="s">
        <v>1053</v>
      </c>
      <c r="BP300" t="s">
        <v>2054</v>
      </c>
      <c r="BQ300" t="s">
        <v>2055</v>
      </c>
      <c r="BR300" t="s">
        <v>1053</v>
      </c>
      <c r="BS300" t="s">
        <v>1053</v>
      </c>
      <c r="BV300" t="s">
        <v>2056</v>
      </c>
      <c r="BX300" t="str">
        <f>"SMTWTFS 0830-1600 1830-1930"</f>
        <v>SMTWTFS 0830-1600 1830-1930</v>
      </c>
      <c r="BY300" t="str">
        <f>""</f>
        <v/>
      </c>
      <c r="BZ300" t="str">
        <f>""</f>
        <v/>
      </c>
      <c r="CA300" t="str">
        <f>""</f>
        <v/>
      </c>
      <c r="CB300" t="str">
        <f>""</f>
        <v/>
      </c>
      <c r="CC300" t="str">
        <f>""</f>
        <v/>
      </c>
      <c r="CD300" t="str">
        <f>""</f>
        <v/>
      </c>
      <c r="CE300" t="str">
        <f>""</f>
        <v/>
      </c>
      <c r="CF300" t="str">
        <f>""</f>
        <v/>
      </c>
      <c r="CG300" t="str">
        <f>""</f>
        <v/>
      </c>
      <c r="CH300" t="str">
        <f>""</f>
        <v/>
      </c>
    </row>
    <row r="301" spans="1:86" x14ac:dyDescent="0.25">
      <c r="A301" t="s">
        <v>4973</v>
      </c>
      <c r="B301" t="s">
        <v>4974</v>
      </c>
      <c r="C301" t="s">
        <v>1992</v>
      </c>
      <c r="D301" t="s">
        <v>1993</v>
      </c>
      <c r="E301" t="s">
        <v>4975</v>
      </c>
      <c r="F301" t="s">
        <v>4976</v>
      </c>
      <c r="H301" t="s">
        <v>4977</v>
      </c>
      <c r="I301" t="s">
        <v>2381</v>
      </c>
      <c r="J301" t="str">
        <f>"77550"</f>
        <v>77550</v>
      </c>
      <c r="K301" t="s">
        <v>1998</v>
      </c>
      <c r="L301" t="s">
        <v>2045</v>
      </c>
      <c r="M301" t="s">
        <v>2000</v>
      </c>
      <c r="N301" t="s">
        <v>1992</v>
      </c>
      <c r="O301" t="s">
        <v>1992</v>
      </c>
      <c r="P301" t="s">
        <v>1992</v>
      </c>
      <c r="Q301" t="s">
        <v>1992</v>
      </c>
      <c r="R301" t="s">
        <v>1992</v>
      </c>
      <c r="S301" t="s">
        <v>1992</v>
      </c>
      <c r="T301" t="s">
        <v>1992</v>
      </c>
      <c r="U301" t="s">
        <v>1992</v>
      </c>
      <c r="V301" t="s">
        <v>1991</v>
      </c>
      <c r="W301" t="s">
        <v>1992</v>
      </c>
      <c r="X301" t="s">
        <v>1992</v>
      </c>
      <c r="Y301" t="s">
        <v>1991</v>
      </c>
      <c r="Z301" t="s">
        <v>1992</v>
      </c>
      <c r="AB301" t="s">
        <v>4978</v>
      </c>
      <c r="AF301" t="s">
        <v>2001</v>
      </c>
      <c r="AG301" t="s">
        <v>1991</v>
      </c>
      <c r="AH301">
        <v>30</v>
      </c>
      <c r="AI301">
        <v>30</v>
      </c>
      <c r="AJ301" t="s">
        <v>4979</v>
      </c>
      <c r="AK301">
        <v>6</v>
      </c>
      <c r="AL301">
        <v>64519</v>
      </c>
      <c r="BF301" t="s">
        <v>1053</v>
      </c>
      <c r="BG301" t="s">
        <v>235</v>
      </c>
      <c r="BH301" t="s">
        <v>2098</v>
      </c>
      <c r="BI301" t="s">
        <v>1053</v>
      </c>
      <c r="BK301" t="s">
        <v>1053</v>
      </c>
      <c r="BM301" t="s">
        <v>4980</v>
      </c>
      <c r="BN301" t="s">
        <v>2100</v>
      </c>
      <c r="BO301" t="s">
        <v>1053</v>
      </c>
      <c r="BP301" t="s">
        <v>2101</v>
      </c>
      <c r="BQ301" t="s">
        <v>4981</v>
      </c>
      <c r="BR301" t="s">
        <v>1053</v>
      </c>
      <c r="BS301" t="s">
        <v>1053</v>
      </c>
      <c r="BT301" t="s">
        <v>1053</v>
      </c>
      <c r="BU301" t="s">
        <v>1053</v>
      </c>
      <c r="BV301" t="s">
        <v>2056</v>
      </c>
      <c r="BX301" t="str">
        <f>""</f>
        <v/>
      </c>
      <c r="BY301" t="str">
        <f>""</f>
        <v/>
      </c>
      <c r="BZ301" t="str">
        <f>""</f>
        <v/>
      </c>
      <c r="CA301" t="str">
        <f>""</f>
        <v/>
      </c>
      <c r="CB301" t="str">
        <f>""</f>
        <v/>
      </c>
      <c r="CC301" t="str">
        <f>""</f>
        <v/>
      </c>
      <c r="CD301" t="str">
        <f>""</f>
        <v/>
      </c>
      <c r="CE301" t="str">
        <f>""</f>
        <v/>
      </c>
      <c r="CF301" t="str">
        <f>""</f>
        <v/>
      </c>
      <c r="CG301" t="str">
        <f>""</f>
        <v/>
      </c>
      <c r="CH301" t="str">
        <f>""</f>
        <v/>
      </c>
    </row>
    <row r="302" spans="1:86" x14ac:dyDescent="0.25">
      <c r="A302" t="s">
        <v>4982</v>
      </c>
      <c r="B302" t="s">
        <v>4983</v>
      </c>
      <c r="C302" t="s">
        <v>1992</v>
      </c>
      <c r="D302" t="s">
        <v>2010</v>
      </c>
      <c r="E302" t="s">
        <v>4984</v>
      </c>
      <c r="F302" t="s">
        <v>4985</v>
      </c>
      <c r="H302" t="s">
        <v>4977</v>
      </c>
      <c r="I302" t="s">
        <v>2381</v>
      </c>
      <c r="J302" t="str">
        <f>"77550-3819"</f>
        <v>77550-3819</v>
      </c>
      <c r="K302" t="s">
        <v>1998</v>
      </c>
      <c r="L302" t="s">
        <v>2045</v>
      </c>
      <c r="M302" t="s">
        <v>4986</v>
      </c>
      <c r="N302" t="s">
        <v>1992</v>
      </c>
      <c r="O302" t="s">
        <v>1992</v>
      </c>
      <c r="P302" t="s">
        <v>1992</v>
      </c>
      <c r="Q302" t="s">
        <v>1992</v>
      </c>
      <c r="R302" t="s">
        <v>1992</v>
      </c>
      <c r="S302" t="s">
        <v>1992</v>
      </c>
      <c r="T302" t="s">
        <v>1992</v>
      </c>
      <c r="U302" t="s">
        <v>1992</v>
      </c>
      <c r="V302" t="s">
        <v>1991</v>
      </c>
      <c r="W302" t="s">
        <v>1992</v>
      </c>
      <c r="X302" t="s">
        <v>1992</v>
      </c>
      <c r="Y302" t="s">
        <v>1992</v>
      </c>
      <c r="Z302" t="s">
        <v>1991</v>
      </c>
      <c r="AB302" t="s">
        <v>4978</v>
      </c>
      <c r="AF302" t="s">
        <v>2001</v>
      </c>
      <c r="AG302" t="s">
        <v>1991</v>
      </c>
      <c r="AH302">
        <v>30</v>
      </c>
      <c r="AI302">
        <v>30</v>
      </c>
      <c r="AJ302" t="s">
        <v>4987</v>
      </c>
      <c r="AK302">
        <v>8</v>
      </c>
      <c r="BF302" t="s">
        <v>1053</v>
      </c>
      <c r="BG302" t="s">
        <v>235</v>
      </c>
      <c r="BH302" t="s">
        <v>2098</v>
      </c>
      <c r="BI302" t="s">
        <v>1053</v>
      </c>
      <c r="BK302" t="s">
        <v>1053</v>
      </c>
      <c r="BO302" t="s">
        <v>1053</v>
      </c>
      <c r="BP302" t="s">
        <v>2101</v>
      </c>
      <c r="BQ302" t="s">
        <v>1847</v>
      </c>
      <c r="BR302" t="s">
        <v>1053</v>
      </c>
      <c r="BT302" t="s">
        <v>1053</v>
      </c>
      <c r="BX302" t="str">
        <f>"-MTWTFS 0800-1800"</f>
        <v>-MTWTFS 0800-1800</v>
      </c>
      <c r="BY302" t="str">
        <f>""</f>
        <v/>
      </c>
      <c r="BZ302" t="str">
        <f>""</f>
        <v/>
      </c>
      <c r="CA302" t="str">
        <f>""</f>
        <v/>
      </c>
      <c r="CB302" t="str">
        <f>"-MTWTFS 0800-1800"</f>
        <v>-MTWTFS 0800-1800</v>
      </c>
      <c r="CC302" t="str">
        <f>""</f>
        <v/>
      </c>
      <c r="CD302" t="str">
        <f>""</f>
        <v/>
      </c>
      <c r="CE302" t="str">
        <f>""</f>
        <v/>
      </c>
      <c r="CF302" t="str">
        <f>""</f>
        <v/>
      </c>
      <c r="CG302" t="str">
        <f>""</f>
        <v/>
      </c>
      <c r="CH302" t="str">
        <f>""</f>
        <v/>
      </c>
    </row>
    <row r="303" spans="1:86" x14ac:dyDescent="0.25">
      <c r="A303" t="s">
        <v>4988</v>
      </c>
      <c r="B303" t="s">
        <v>4989</v>
      </c>
      <c r="C303" t="s">
        <v>1992</v>
      </c>
      <c r="D303" t="s">
        <v>1993</v>
      </c>
      <c r="E303" t="s">
        <v>4990</v>
      </c>
      <c r="F303" t="s">
        <v>4991</v>
      </c>
      <c r="H303" t="s">
        <v>4992</v>
      </c>
      <c r="I303" t="s">
        <v>2061</v>
      </c>
      <c r="J303" t="str">
        <f>"95020"</f>
        <v>95020</v>
      </c>
      <c r="K303" t="s">
        <v>1998</v>
      </c>
      <c r="L303" t="s">
        <v>2062</v>
      </c>
      <c r="M303" t="s">
        <v>2063</v>
      </c>
      <c r="N303" t="s">
        <v>1992</v>
      </c>
      <c r="O303" t="s">
        <v>1992</v>
      </c>
      <c r="P303" t="s">
        <v>1992</v>
      </c>
      <c r="Q303" t="s">
        <v>1992</v>
      </c>
      <c r="R303" t="s">
        <v>1992</v>
      </c>
      <c r="S303" t="s">
        <v>1992</v>
      </c>
      <c r="T303" t="s">
        <v>1992</v>
      </c>
      <c r="U303" t="s">
        <v>1992</v>
      </c>
      <c r="V303" t="s">
        <v>1991</v>
      </c>
      <c r="W303" t="s">
        <v>1992</v>
      </c>
      <c r="X303" t="s">
        <v>1991</v>
      </c>
      <c r="Y303" t="s">
        <v>1991</v>
      </c>
      <c r="Z303" t="s">
        <v>1992</v>
      </c>
      <c r="AF303" t="s">
        <v>2064</v>
      </c>
      <c r="AG303" t="s">
        <v>1991</v>
      </c>
      <c r="AH303">
        <v>30</v>
      </c>
      <c r="AI303">
        <v>30</v>
      </c>
      <c r="AJ303" t="s">
        <v>4993</v>
      </c>
      <c r="AK303">
        <v>198</v>
      </c>
      <c r="AL303">
        <v>21641</v>
      </c>
      <c r="AM303" t="s">
        <v>2298</v>
      </c>
      <c r="AN303" t="s">
        <v>1802</v>
      </c>
      <c r="AO303" t="s">
        <v>2063</v>
      </c>
      <c r="BF303" t="s">
        <v>1053</v>
      </c>
      <c r="BG303" t="s">
        <v>309</v>
      </c>
      <c r="BH303" t="s">
        <v>2301</v>
      </c>
      <c r="BI303" t="s">
        <v>1053</v>
      </c>
      <c r="BK303" t="s">
        <v>1053</v>
      </c>
      <c r="BO303" t="s">
        <v>1053</v>
      </c>
      <c r="BP303" t="s">
        <v>310</v>
      </c>
      <c r="BQ303" t="s">
        <v>311</v>
      </c>
      <c r="BR303" t="s">
        <v>1053</v>
      </c>
      <c r="BS303" t="s">
        <v>1053</v>
      </c>
      <c r="BT303" t="s">
        <v>1053</v>
      </c>
      <c r="BU303" t="s">
        <v>1053</v>
      </c>
      <c r="BX303" t="str">
        <f>""</f>
        <v/>
      </c>
      <c r="BY303" t="str">
        <f>""</f>
        <v/>
      </c>
      <c r="BZ303" t="str">
        <f>""</f>
        <v/>
      </c>
      <c r="CA303" t="str">
        <f>""</f>
        <v/>
      </c>
      <c r="CB303" t="str">
        <f>""</f>
        <v/>
      </c>
      <c r="CC303" t="str">
        <f>""</f>
        <v/>
      </c>
      <c r="CD303" t="str">
        <f>""</f>
        <v/>
      </c>
      <c r="CE303" t="str">
        <f>""</f>
        <v/>
      </c>
      <c r="CF303" t="str">
        <f>""</f>
        <v/>
      </c>
      <c r="CG303" t="str">
        <f>""</f>
        <v/>
      </c>
      <c r="CH303" t="str">
        <f>""</f>
        <v/>
      </c>
    </row>
    <row r="304" spans="1:86" x14ac:dyDescent="0.25">
      <c r="A304" t="s">
        <v>4994</v>
      </c>
      <c r="B304" t="s">
        <v>4995</v>
      </c>
      <c r="C304" t="s">
        <v>1992</v>
      </c>
      <c r="D304" t="s">
        <v>2028</v>
      </c>
      <c r="E304" t="s">
        <v>4996</v>
      </c>
      <c r="H304" t="s">
        <v>4997</v>
      </c>
      <c r="I304" t="s">
        <v>372</v>
      </c>
      <c r="J304" t="str">
        <f>"L3M 3H6"</f>
        <v>L3M 3H6</v>
      </c>
      <c r="K304" t="s">
        <v>373</v>
      </c>
      <c r="L304" t="s">
        <v>374</v>
      </c>
      <c r="M304" t="s">
        <v>375</v>
      </c>
      <c r="N304" t="s">
        <v>1992</v>
      </c>
      <c r="O304" t="s">
        <v>1992</v>
      </c>
      <c r="P304" t="s">
        <v>1992</v>
      </c>
      <c r="Q304" t="s">
        <v>1992</v>
      </c>
      <c r="R304" t="s">
        <v>1992</v>
      </c>
      <c r="S304" t="s">
        <v>1992</v>
      </c>
      <c r="T304" t="s">
        <v>1992</v>
      </c>
      <c r="U304" t="s">
        <v>1992</v>
      </c>
      <c r="V304" t="s">
        <v>1991</v>
      </c>
      <c r="W304" t="s">
        <v>1991</v>
      </c>
      <c r="X304" t="s">
        <v>1991</v>
      </c>
      <c r="Y304" t="s">
        <v>1992</v>
      </c>
      <c r="Z304" t="s">
        <v>1992</v>
      </c>
      <c r="AC304" t="s">
        <v>4998</v>
      </c>
      <c r="AD304" t="s">
        <v>4999</v>
      </c>
      <c r="AF304" t="s">
        <v>2016</v>
      </c>
      <c r="AG304" t="s">
        <v>1991</v>
      </c>
      <c r="AH304">
        <v>30</v>
      </c>
      <c r="AI304">
        <v>30</v>
      </c>
      <c r="AJ304" t="s">
        <v>5000</v>
      </c>
      <c r="AK304">
        <v>282</v>
      </c>
      <c r="AL304">
        <v>157983</v>
      </c>
      <c r="AN304" t="s">
        <v>2066</v>
      </c>
      <c r="AO304" t="s">
        <v>2063</v>
      </c>
      <c r="BF304" t="s">
        <v>1053</v>
      </c>
      <c r="BG304" t="s">
        <v>5001</v>
      </c>
      <c r="BH304" t="s">
        <v>5002</v>
      </c>
      <c r="BI304" t="s">
        <v>1053</v>
      </c>
      <c r="BJ304" t="s">
        <v>2069</v>
      </c>
      <c r="BK304" t="s">
        <v>1053</v>
      </c>
      <c r="BL304" t="s">
        <v>2069</v>
      </c>
      <c r="BM304">
        <v>0</v>
      </c>
      <c r="BN304">
        <v>0</v>
      </c>
      <c r="BO304" t="s">
        <v>1053</v>
      </c>
      <c r="BP304" t="s">
        <v>5003</v>
      </c>
      <c r="BQ304" t="s">
        <v>5004</v>
      </c>
      <c r="BR304" t="s">
        <v>1053</v>
      </c>
      <c r="BS304" t="s">
        <v>2069</v>
      </c>
      <c r="BT304" t="s">
        <v>1053</v>
      </c>
      <c r="BU304" t="s">
        <v>2069</v>
      </c>
      <c r="BV304">
        <v>0</v>
      </c>
      <c r="BW304">
        <v>0</v>
      </c>
      <c r="BX304" t="str">
        <f>""</f>
        <v/>
      </c>
      <c r="BY304" t="str">
        <f>""</f>
        <v/>
      </c>
      <c r="BZ304" t="str">
        <f>""</f>
        <v/>
      </c>
      <c r="CA304" t="str">
        <f>""</f>
        <v/>
      </c>
      <c r="CB304" t="str">
        <f>""</f>
        <v/>
      </c>
      <c r="CC304" t="str">
        <f>""</f>
        <v/>
      </c>
      <c r="CD304" t="str">
        <f>""</f>
        <v/>
      </c>
      <c r="CE304" t="str">
        <f>""</f>
        <v/>
      </c>
      <c r="CF304" t="str">
        <f>""</f>
        <v/>
      </c>
      <c r="CG304" t="str">
        <f>""</f>
        <v/>
      </c>
      <c r="CH304" t="str">
        <f>""</f>
        <v/>
      </c>
    </row>
    <row r="305" spans="1:86" x14ac:dyDescent="0.25">
      <c r="A305" t="s">
        <v>5005</v>
      </c>
      <c r="B305" t="s">
        <v>5006</v>
      </c>
      <c r="C305" t="s">
        <v>1992</v>
      </c>
      <c r="D305" t="s">
        <v>2028</v>
      </c>
      <c r="E305" t="s">
        <v>5007</v>
      </c>
      <c r="H305" t="s">
        <v>5008</v>
      </c>
      <c r="I305" t="s">
        <v>2388</v>
      </c>
      <c r="J305" t="str">
        <f>"15601"</f>
        <v>15601</v>
      </c>
      <c r="K305" t="s">
        <v>1998</v>
      </c>
      <c r="L305" t="s">
        <v>2015</v>
      </c>
      <c r="M305" t="s">
        <v>2063</v>
      </c>
      <c r="N305" t="s">
        <v>1992</v>
      </c>
      <c r="O305" t="s">
        <v>1992</v>
      </c>
      <c r="P305" t="s">
        <v>1992</v>
      </c>
      <c r="Q305" t="s">
        <v>1992</v>
      </c>
      <c r="R305" t="s">
        <v>1992</v>
      </c>
      <c r="S305" t="s">
        <v>1992</v>
      </c>
      <c r="T305" t="s">
        <v>1992</v>
      </c>
      <c r="U305" t="s">
        <v>1992</v>
      </c>
      <c r="V305" t="s">
        <v>1991</v>
      </c>
      <c r="W305" t="s">
        <v>1991</v>
      </c>
      <c r="X305" t="s">
        <v>1992</v>
      </c>
      <c r="Y305" t="s">
        <v>1992</v>
      </c>
      <c r="Z305" t="s">
        <v>1992</v>
      </c>
      <c r="AF305" t="s">
        <v>2016</v>
      </c>
      <c r="AG305" t="s">
        <v>1991</v>
      </c>
      <c r="AH305">
        <v>30</v>
      </c>
      <c r="AI305">
        <v>30</v>
      </c>
      <c r="AJ305" t="s">
        <v>5009</v>
      </c>
      <c r="AK305">
        <v>1097</v>
      </c>
      <c r="AL305">
        <v>15870</v>
      </c>
      <c r="AN305" t="s">
        <v>2066</v>
      </c>
      <c r="AO305" t="s">
        <v>2063</v>
      </c>
      <c r="BF305" t="s">
        <v>1053</v>
      </c>
      <c r="BG305" t="s">
        <v>2393</v>
      </c>
      <c r="BH305" t="s">
        <v>2394</v>
      </c>
      <c r="BI305" t="s">
        <v>1053</v>
      </c>
      <c r="BJ305" t="s">
        <v>1053</v>
      </c>
      <c r="BK305" t="s">
        <v>1053</v>
      </c>
      <c r="BL305" t="s">
        <v>1053</v>
      </c>
      <c r="BM305" t="s">
        <v>2395</v>
      </c>
      <c r="BN305" t="s">
        <v>2396</v>
      </c>
      <c r="BO305" t="s">
        <v>1053</v>
      </c>
      <c r="BP305" t="s">
        <v>2397</v>
      </c>
      <c r="BQ305" t="s">
        <v>2398</v>
      </c>
      <c r="BR305" t="s">
        <v>1053</v>
      </c>
      <c r="BS305" t="s">
        <v>1053</v>
      </c>
      <c r="BT305" t="s">
        <v>1053</v>
      </c>
      <c r="BU305" t="s">
        <v>1053</v>
      </c>
      <c r="BV305" t="s">
        <v>2399</v>
      </c>
      <c r="BW305" t="s">
        <v>2400</v>
      </c>
      <c r="BX305" t="str">
        <f>"S------ 1330-1430 1820-1920; -MTWTFS 0730-0830 1820-1920"</f>
        <v>S------ 1330-1430 1820-1920; -MTWTFS 0730-0830 1820-1920</v>
      </c>
      <c r="BY305" t="str">
        <f>""</f>
        <v/>
      </c>
      <c r="BZ305" t="str">
        <f>""</f>
        <v/>
      </c>
      <c r="CA305" t="str">
        <f>""</f>
        <v/>
      </c>
      <c r="CB305" t="str">
        <f>""</f>
        <v/>
      </c>
      <c r="CC305" t="str">
        <f>""</f>
        <v/>
      </c>
      <c r="CD305" t="str">
        <f>""</f>
        <v/>
      </c>
      <c r="CE305" t="str">
        <f>""</f>
        <v/>
      </c>
      <c r="CF305" t="str">
        <f>""</f>
        <v/>
      </c>
      <c r="CG305" t="str">
        <f>""</f>
        <v/>
      </c>
      <c r="CH305" t="str">
        <f>"SMTWTFS 0001-2359"</f>
        <v>SMTWTFS 0001-2359</v>
      </c>
    </row>
    <row r="306" spans="1:86" x14ac:dyDescent="0.25">
      <c r="A306" t="s">
        <v>5010</v>
      </c>
      <c r="B306" t="s">
        <v>5011</v>
      </c>
      <c r="C306" t="s">
        <v>1992</v>
      </c>
      <c r="D306" t="s">
        <v>1993</v>
      </c>
      <c r="E306" t="s">
        <v>5012</v>
      </c>
      <c r="H306" t="s">
        <v>4949</v>
      </c>
      <c r="I306" t="s">
        <v>558</v>
      </c>
      <c r="J306" t="str">
        <f>"32601"</f>
        <v>32601</v>
      </c>
      <c r="K306" t="s">
        <v>1998</v>
      </c>
      <c r="L306" t="s">
        <v>408</v>
      </c>
      <c r="M306" t="s">
        <v>2063</v>
      </c>
      <c r="N306" t="s">
        <v>1992</v>
      </c>
      <c r="O306" t="s">
        <v>1992</v>
      </c>
      <c r="P306" t="s">
        <v>1992</v>
      </c>
      <c r="Q306" t="s">
        <v>1992</v>
      </c>
      <c r="R306" t="s">
        <v>1992</v>
      </c>
      <c r="S306" t="s">
        <v>1992</v>
      </c>
      <c r="T306" t="s">
        <v>1992</v>
      </c>
      <c r="U306" t="s">
        <v>1992</v>
      </c>
      <c r="V306" t="s">
        <v>1991</v>
      </c>
      <c r="W306" t="s">
        <v>1992</v>
      </c>
      <c r="X306" t="s">
        <v>1992</v>
      </c>
      <c r="Y306" t="s">
        <v>1991</v>
      </c>
      <c r="Z306" t="s">
        <v>1992</v>
      </c>
      <c r="AF306" t="s">
        <v>2016</v>
      </c>
      <c r="AG306" t="s">
        <v>1991</v>
      </c>
      <c r="AH306">
        <v>30</v>
      </c>
      <c r="AI306">
        <v>30</v>
      </c>
      <c r="AJ306" t="s">
        <v>5013</v>
      </c>
      <c r="AK306">
        <v>175</v>
      </c>
      <c r="AL306">
        <v>95447</v>
      </c>
      <c r="BF306" t="s">
        <v>1053</v>
      </c>
      <c r="BG306" t="s">
        <v>2019</v>
      </c>
      <c r="BH306" t="s">
        <v>5014</v>
      </c>
      <c r="BI306" t="s">
        <v>1053</v>
      </c>
      <c r="BJ306" t="s">
        <v>1053</v>
      </c>
      <c r="BK306" t="s">
        <v>1053</v>
      </c>
      <c r="BL306" t="s">
        <v>1053</v>
      </c>
      <c r="BM306" t="s">
        <v>1049</v>
      </c>
      <c r="BO306" t="s">
        <v>1053</v>
      </c>
      <c r="BP306" t="s">
        <v>2165</v>
      </c>
      <c r="BQ306" t="s">
        <v>564</v>
      </c>
      <c r="BR306" t="s">
        <v>1053</v>
      </c>
      <c r="BS306" t="s">
        <v>1053</v>
      </c>
      <c r="BT306" t="s">
        <v>1053</v>
      </c>
      <c r="BU306" t="s">
        <v>1053</v>
      </c>
      <c r="BX306" t="str">
        <f>""</f>
        <v/>
      </c>
      <c r="BY306" t="str">
        <f>""</f>
        <v/>
      </c>
      <c r="BZ306" t="str">
        <f>""</f>
        <v/>
      </c>
      <c r="CA306" t="str">
        <f>""</f>
        <v/>
      </c>
      <c r="CB306" t="str">
        <f>""</f>
        <v/>
      </c>
      <c r="CC306" t="str">
        <f>""</f>
        <v/>
      </c>
      <c r="CD306" t="str">
        <f>""</f>
        <v/>
      </c>
      <c r="CE306" t="str">
        <f>""</f>
        <v/>
      </c>
      <c r="CF306" t="str">
        <f>""</f>
        <v/>
      </c>
      <c r="CG306" t="str">
        <f>""</f>
        <v/>
      </c>
      <c r="CH306" t="str">
        <f>""</f>
        <v/>
      </c>
    </row>
    <row r="307" spans="1:86" x14ac:dyDescent="0.25">
      <c r="A307" t="s">
        <v>5015</v>
      </c>
      <c r="B307" t="s">
        <v>5016</v>
      </c>
      <c r="C307" t="s">
        <v>1992</v>
      </c>
      <c r="D307" t="s">
        <v>2010</v>
      </c>
      <c r="E307" t="s">
        <v>5017</v>
      </c>
      <c r="H307" t="s">
        <v>4949</v>
      </c>
      <c r="I307" t="s">
        <v>407</v>
      </c>
      <c r="J307" t="str">
        <f>"30501"</f>
        <v>30501</v>
      </c>
      <c r="K307" t="s">
        <v>1998</v>
      </c>
      <c r="L307" t="s">
        <v>408</v>
      </c>
      <c r="M307" t="s">
        <v>2063</v>
      </c>
      <c r="N307" t="s">
        <v>1992</v>
      </c>
      <c r="O307" t="s">
        <v>1992</v>
      </c>
      <c r="P307" t="s">
        <v>1992</v>
      </c>
      <c r="Q307" t="s">
        <v>1992</v>
      </c>
      <c r="R307" t="s">
        <v>1992</v>
      </c>
      <c r="S307" t="s">
        <v>1992</v>
      </c>
      <c r="T307" t="s">
        <v>1992</v>
      </c>
      <c r="U307" t="s">
        <v>1992</v>
      </c>
      <c r="V307" t="s">
        <v>1991</v>
      </c>
      <c r="W307" t="s">
        <v>1991</v>
      </c>
      <c r="X307" t="s">
        <v>1992</v>
      </c>
      <c r="Y307" t="s">
        <v>1992</v>
      </c>
      <c r="Z307" t="s">
        <v>1992</v>
      </c>
      <c r="AA307" t="s">
        <v>1992</v>
      </c>
      <c r="AF307" t="s">
        <v>2016</v>
      </c>
      <c r="AG307" t="s">
        <v>1991</v>
      </c>
      <c r="AH307">
        <v>30</v>
      </c>
      <c r="AI307">
        <v>30</v>
      </c>
      <c r="AJ307" t="s">
        <v>5018</v>
      </c>
      <c r="AK307">
        <v>1206</v>
      </c>
      <c r="AL307">
        <v>33340</v>
      </c>
      <c r="AN307" t="s">
        <v>3560</v>
      </c>
      <c r="AU307" t="s">
        <v>2066</v>
      </c>
      <c r="BF307" t="s">
        <v>1053</v>
      </c>
      <c r="BG307" t="s">
        <v>2067</v>
      </c>
      <c r="BH307" t="s">
        <v>426</v>
      </c>
      <c r="BI307" t="s">
        <v>1053</v>
      </c>
      <c r="BJ307" t="s">
        <v>1053</v>
      </c>
      <c r="BK307" t="s">
        <v>1053</v>
      </c>
      <c r="BL307" t="s">
        <v>1053</v>
      </c>
      <c r="BM307" t="s">
        <v>414</v>
      </c>
      <c r="BN307" t="s">
        <v>412</v>
      </c>
      <c r="BO307" t="s">
        <v>1053</v>
      </c>
      <c r="BP307" t="s">
        <v>2375</v>
      </c>
      <c r="BQ307" t="s">
        <v>5019</v>
      </c>
      <c r="BR307" t="s">
        <v>1053</v>
      </c>
      <c r="BS307" t="s">
        <v>1053</v>
      </c>
      <c r="BT307" t="s">
        <v>1053</v>
      </c>
      <c r="BU307" t="s">
        <v>1053</v>
      </c>
      <c r="BV307" t="s">
        <v>416</v>
      </c>
      <c r="BW307" t="s">
        <v>417</v>
      </c>
      <c r="BX307" t="str">
        <f>"SMTWTFS 0700-0830 2000-2130"</f>
        <v>SMTWTFS 0700-0830 2000-2130</v>
      </c>
      <c r="BY307" t="str">
        <f>""</f>
        <v/>
      </c>
      <c r="BZ307" t="str">
        <f>""</f>
        <v/>
      </c>
      <c r="CA307" t="str">
        <f>""</f>
        <v/>
      </c>
      <c r="CB307" t="str">
        <f>""</f>
        <v/>
      </c>
      <c r="CC307" t="str">
        <f>""</f>
        <v/>
      </c>
      <c r="CD307" t="str">
        <f>""</f>
        <v/>
      </c>
      <c r="CE307" t="str">
        <f>""</f>
        <v/>
      </c>
      <c r="CF307" t="str">
        <f>""</f>
        <v/>
      </c>
      <c r="CG307" t="str">
        <f>""</f>
        <v/>
      </c>
      <c r="CH307" t="str">
        <f>""</f>
        <v/>
      </c>
    </row>
    <row r="308" spans="1:86" x14ac:dyDescent="0.25">
      <c r="A308" t="s">
        <v>5020</v>
      </c>
      <c r="B308" t="s">
        <v>5021</v>
      </c>
      <c r="D308" t="s">
        <v>2089</v>
      </c>
      <c r="V308" t="s">
        <v>1991</v>
      </c>
      <c r="AJ308" t="s">
        <v>2090</v>
      </c>
      <c r="BX308" t="str">
        <f>""</f>
        <v/>
      </c>
      <c r="BY308" t="str">
        <f>""</f>
        <v/>
      </c>
      <c r="BZ308" t="str">
        <f>""</f>
        <v/>
      </c>
      <c r="CA308" t="str">
        <f>""</f>
        <v/>
      </c>
      <c r="CB308" t="str">
        <f>""</f>
        <v/>
      </c>
      <c r="CC308" t="str">
        <f>""</f>
        <v/>
      </c>
      <c r="CD308" t="str">
        <f>""</f>
        <v/>
      </c>
      <c r="CE308" t="str">
        <f>""</f>
        <v/>
      </c>
      <c r="CF308" t="str">
        <f>""</f>
        <v/>
      </c>
      <c r="CG308" t="str">
        <f>""</f>
        <v/>
      </c>
      <c r="CH308" t="str">
        <f>""</f>
        <v/>
      </c>
    </row>
    <row r="309" spans="1:86" x14ac:dyDescent="0.25">
      <c r="A309" t="s">
        <v>5022</v>
      </c>
      <c r="B309" t="s">
        <v>5023</v>
      </c>
      <c r="D309" t="s">
        <v>2089</v>
      </c>
      <c r="V309" t="s">
        <v>1991</v>
      </c>
      <c r="AJ309" t="s">
        <v>2090</v>
      </c>
      <c r="BX309" t="str">
        <f>""</f>
        <v/>
      </c>
      <c r="BY309" t="str">
        <f>""</f>
        <v/>
      </c>
      <c r="BZ309" t="str">
        <f>""</f>
        <v/>
      </c>
      <c r="CA309" t="str">
        <f>""</f>
        <v/>
      </c>
      <c r="CB309" t="str">
        <f>""</f>
        <v/>
      </c>
      <c r="CC309" t="str">
        <f>""</f>
        <v/>
      </c>
      <c r="CD309" t="str">
        <f>""</f>
        <v/>
      </c>
      <c r="CE309" t="str">
        <f>""</f>
        <v/>
      </c>
      <c r="CF309" t="str">
        <f>""</f>
        <v/>
      </c>
      <c r="CG309" t="str">
        <f>""</f>
        <v/>
      </c>
      <c r="CH309" t="str">
        <f>""</f>
        <v/>
      </c>
    </row>
    <row r="310" spans="1:86" x14ac:dyDescent="0.25">
      <c r="A310" t="s">
        <v>5024</v>
      </c>
      <c r="B310" t="s">
        <v>5025</v>
      </c>
      <c r="D310" t="s">
        <v>2089</v>
      </c>
      <c r="V310" t="s">
        <v>1991</v>
      </c>
      <c r="AJ310" t="s">
        <v>2090</v>
      </c>
      <c r="BX310" t="str">
        <f>""</f>
        <v/>
      </c>
      <c r="BY310" t="str">
        <f>""</f>
        <v/>
      </c>
      <c r="BZ310" t="str">
        <f>""</f>
        <v/>
      </c>
      <c r="CA310" t="str">
        <f>""</f>
        <v/>
      </c>
      <c r="CB310" t="str">
        <f>""</f>
        <v/>
      </c>
      <c r="CC310" t="str">
        <f>""</f>
        <v/>
      </c>
      <c r="CD310" t="str">
        <f>""</f>
        <v/>
      </c>
      <c r="CE310" t="str">
        <f>""</f>
        <v/>
      </c>
      <c r="CF310" t="str">
        <f>""</f>
        <v/>
      </c>
      <c r="CG310" t="str">
        <f>""</f>
        <v/>
      </c>
      <c r="CH310" t="str">
        <f>""</f>
        <v/>
      </c>
    </row>
    <row r="311" spans="1:86" x14ac:dyDescent="0.25">
      <c r="A311" t="s">
        <v>5026</v>
      </c>
      <c r="B311" t="s">
        <v>5027</v>
      </c>
      <c r="D311" t="s">
        <v>2089</v>
      </c>
      <c r="V311" t="s">
        <v>1991</v>
      </c>
      <c r="AJ311" t="s">
        <v>2090</v>
      </c>
      <c r="BX311" t="str">
        <f>""</f>
        <v/>
      </c>
      <c r="BY311" t="str">
        <f>""</f>
        <v/>
      </c>
      <c r="BZ311" t="str">
        <f>""</f>
        <v/>
      </c>
      <c r="CA311" t="str">
        <f>""</f>
        <v/>
      </c>
      <c r="CB311" t="str">
        <f>""</f>
        <v/>
      </c>
      <c r="CC311" t="str">
        <f>""</f>
        <v/>
      </c>
      <c r="CD311" t="str">
        <f>""</f>
        <v/>
      </c>
      <c r="CE311" t="str">
        <f>""</f>
        <v/>
      </c>
      <c r="CF311" t="str">
        <f>""</f>
        <v/>
      </c>
      <c r="CG311" t="str">
        <f>""</f>
        <v/>
      </c>
      <c r="CH311" t="str">
        <f>""</f>
        <v/>
      </c>
    </row>
    <row r="312" spans="1:86" x14ac:dyDescent="0.25">
      <c r="A312" t="s">
        <v>5028</v>
      </c>
      <c r="B312" t="s">
        <v>5029</v>
      </c>
      <c r="C312" t="s">
        <v>1991</v>
      </c>
      <c r="D312" t="s">
        <v>2010</v>
      </c>
      <c r="E312" t="s">
        <v>5030</v>
      </c>
      <c r="H312" t="s">
        <v>5031</v>
      </c>
      <c r="I312" t="s">
        <v>803</v>
      </c>
      <c r="J312" t="str">
        <f>"59434"</f>
        <v>59434</v>
      </c>
      <c r="K312" t="s">
        <v>1998</v>
      </c>
      <c r="L312" t="s">
        <v>231</v>
      </c>
      <c r="M312" t="s">
        <v>5032</v>
      </c>
      <c r="N312" t="s">
        <v>1991</v>
      </c>
      <c r="O312" t="s">
        <v>1992</v>
      </c>
      <c r="P312" t="s">
        <v>1992</v>
      </c>
      <c r="Q312" t="s">
        <v>1991</v>
      </c>
      <c r="R312" t="s">
        <v>1991</v>
      </c>
      <c r="S312" t="s">
        <v>1992</v>
      </c>
      <c r="T312" t="s">
        <v>1992</v>
      </c>
      <c r="U312" t="s">
        <v>1991</v>
      </c>
      <c r="V312" t="s">
        <v>1991</v>
      </c>
      <c r="W312" t="s">
        <v>1991</v>
      </c>
      <c r="X312" t="s">
        <v>1992</v>
      </c>
      <c r="Y312" t="s">
        <v>1992</v>
      </c>
      <c r="Z312" t="s">
        <v>1992</v>
      </c>
      <c r="AE312" t="s">
        <v>296</v>
      </c>
      <c r="AF312" t="s">
        <v>2048</v>
      </c>
      <c r="AG312" t="s">
        <v>1991</v>
      </c>
      <c r="AH312">
        <v>60</v>
      </c>
      <c r="AI312">
        <v>30</v>
      </c>
      <c r="AJ312" t="s">
        <v>5033</v>
      </c>
      <c r="AK312">
        <v>4806</v>
      </c>
      <c r="AL312">
        <v>396</v>
      </c>
      <c r="AM312" t="s">
        <v>5034</v>
      </c>
      <c r="AN312" t="s">
        <v>1053</v>
      </c>
      <c r="AO312" t="s">
        <v>1053</v>
      </c>
      <c r="AQ312" t="s">
        <v>1053</v>
      </c>
      <c r="AS312" t="s">
        <v>5028</v>
      </c>
      <c r="AT312" t="s">
        <v>5035</v>
      </c>
      <c r="AU312" t="s">
        <v>1053</v>
      </c>
      <c r="AV312" t="s">
        <v>1053</v>
      </c>
      <c r="AX312" t="s">
        <v>1053</v>
      </c>
      <c r="AZ312" t="s">
        <v>5028</v>
      </c>
      <c r="BA312" t="s">
        <v>5035</v>
      </c>
      <c r="BB312" t="s">
        <v>1053</v>
      </c>
      <c r="BD312" t="s">
        <v>1053</v>
      </c>
      <c r="BF312" t="s">
        <v>1053</v>
      </c>
      <c r="BG312" t="s">
        <v>5036</v>
      </c>
      <c r="BH312" t="s">
        <v>240</v>
      </c>
      <c r="BI312" t="s">
        <v>1053</v>
      </c>
      <c r="BJ312" t="s">
        <v>1053</v>
      </c>
      <c r="BK312" t="s">
        <v>1053</v>
      </c>
      <c r="BM312" t="s">
        <v>241</v>
      </c>
      <c r="BN312" t="s">
        <v>242</v>
      </c>
      <c r="BO312" t="s">
        <v>1053</v>
      </c>
      <c r="BP312" t="s">
        <v>5037</v>
      </c>
      <c r="BQ312" t="s">
        <v>240</v>
      </c>
      <c r="BR312" t="s">
        <v>1053</v>
      </c>
      <c r="BS312" t="s">
        <v>1053</v>
      </c>
      <c r="BT312" t="s">
        <v>1053</v>
      </c>
      <c r="BU312" t="s">
        <v>1053</v>
      </c>
      <c r="BV312" t="s">
        <v>5038</v>
      </c>
      <c r="BW312" t="s">
        <v>5039</v>
      </c>
      <c r="BX312" t="str">
        <f>"SMTWTFS 0845-1115 1700-1915"</f>
        <v>SMTWTFS 0845-1115 1700-1915</v>
      </c>
      <c r="BY312" t="str">
        <f>"SMTWTFS 0845-1115 1700-1915"</f>
        <v>SMTWTFS 0845-1115 1700-1915</v>
      </c>
      <c r="BZ312" t="str">
        <f>"SMTWTFS 0845-1115 1700-1915"</f>
        <v>SMTWTFS 0845-1115 1700-1915</v>
      </c>
      <c r="CA312" t="str">
        <f>"SMTWTFS 0845-1115 1700-1915"</f>
        <v>SMTWTFS 0845-1115 1700-1915</v>
      </c>
      <c r="CB312" t="str">
        <f>""</f>
        <v/>
      </c>
      <c r="CC312" t="str">
        <f>""</f>
        <v/>
      </c>
      <c r="CD312" t="str">
        <f>""</f>
        <v/>
      </c>
      <c r="CE312" t="str">
        <f>""</f>
        <v/>
      </c>
      <c r="CF312" t="str">
        <f>"SMTWTFS 0845-1115 1700-1915"</f>
        <v>SMTWTFS 0845-1115 1700-1915</v>
      </c>
      <c r="CG312" t="str">
        <f>""</f>
        <v/>
      </c>
      <c r="CH312" t="str">
        <f>""</f>
        <v/>
      </c>
    </row>
    <row r="313" spans="1:86" x14ac:dyDescent="0.25">
      <c r="A313" t="s">
        <v>5040</v>
      </c>
      <c r="B313" t="s">
        <v>5041</v>
      </c>
      <c r="D313" t="s">
        <v>2089</v>
      </c>
      <c r="V313" t="s">
        <v>1991</v>
      </c>
      <c r="AJ313" t="s">
        <v>2090</v>
      </c>
      <c r="BX313" t="str">
        <f>""</f>
        <v/>
      </c>
      <c r="BY313" t="str">
        <f>""</f>
        <v/>
      </c>
      <c r="BZ313" t="str">
        <f>""</f>
        <v/>
      </c>
      <c r="CA313" t="str">
        <f>""</f>
        <v/>
      </c>
      <c r="CB313" t="str">
        <f>""</f>
        <v/>
      </c>
      <c r="CC313" t="str">
        <f>""</f>
        <v/>
      </c>
      <c r="CD313" t="str">
        <f>""</f>
        <v/>
      </c>
      <c r="CE313" t="str">
        <f>""</f>
        <v/>
      </c>
      <c r="CF313" t="str">
        <f>""</f>
        <v/>
      </c>
      <c r="CG313" t="str">
        <f>""</f>
        <v/>
      </c>
      <c r="CH313" t="str">
        <f>""</f>
        <v/>
      </c>
    </row>
    <row r="314" spans="1:86" x14ac:dyDescent="0.25">
      <c r="A314" t="s">
        <v>5042</v>
      </c>
      <c r="B314" t="s">
        <v>5043</v>
      </c>
      <c r="D314" t="s">
        <v>2089</v>
      </c>
      <c r="E314" t="s">
        <v>5044</v>
      </c>
      <c r="F314" t="s">
        <v>497</v>
      </c>
      <c r="H314" t="s">
        <v>5045</v>
      </c>
      <c r="I314" t="s">
        <v>2014</v>
      </c>
      <c r="J314" t="str">
        <f>"20852"</f>
        <v>20852</v>
      </c>
      <c r="K314" t="s">
        <v>1998</v>
      </c>
      <c r="L314" t="s">
        <v>499</v>
      </c>
      <c r="M314" t="s">
        <v>500</v>
      </c>
      <c r="O314" t="s">
        <v>1992</v>
      </c>
      <c r="AF314" t="s">
        <v>2016</v>
      </c>
      <c r="AG314" t="s">
        <v>1991</v>
      </c>
      <c r="AJ314" t="s">
        <v>2090</v>
      </c>
      <c r="AM314" t="s">
        <v>501</v>
      </c>
      <c r="BX314" t="str">
        <f>""</f>
        <v/>
      </c>
      <c r="BY314" t="str">
        <f>""</f>
        <v/>
      </c>
      <c r="BZ314" t="str">
        <f>""</f>
        <v/>
      </c>
      <c r="CA314" t="str">
        <f>""</f>
        <v/>
      </c>
      <c r="CB314" t="str">
        <f>""</f>
        <v/>
      </c>
      <c r="CC314" t="str">
        <f>""</f>
        <v/>
      </c>
      <c r="CD314" t="str">
        <f>""</f>
        <v/>
      </c>
      <c r="CE314" t="str">
        <f>""</f>
        <v/>
      </c>
      <c r="CF314" t="str">
        <f>""</f>
        <v/>
      </c>
      <c r="CG314" t="str">
        <f>""</f>
        <v/>
      </c>
      <c r="CH314" t="str">
        <f>""</f>
        <v/>
      </c>
    </row>
    <row r="315" spans="1:86" x14ac:dyDescent="0.25">
      <c r="A315" t="s">
        <v>5046</v>
      </c>
      <c r="B315" t="s">
        <v>5047</v>
      </c>
      <c r="D315" t="s">
        <v>2089</v>
      </c>
      <c r="V315" t="s">
        <v>1991</v>
      </c>
      <c r="AJ315" t="s">
        <v>2090</v>
      </c>
      <c r="BX315" t="str">
        <f>""</f>
        <v/>
      </c>
      <c r="BY315" t="str">
        <f>""</f>
        <v/>
      </c>
      <c r="BZ315" t="str">
        <f>""</f>
        <v/>
      </c>
      <c r="CA315" t="str">
        <f>""</f>
        <v/>
      </c>
      <c r="CB315" t="str">
        <f>""</f>
        <v/>
      </c>
      <c r="CC315" t="str">
        <f>""</f>
        <v/>
      </c>
      <c r="CD315" t="str">
        <f>""</f>
        <v/>
      </c>
      <c r="CE315" t="str">
        <f>""</f>
        <v/>
      </c>
      <c r="CF315" t="str">
        <f>""</f>
        <v/>
      </c>
      <c r="CG315" t="str">
        <f>""</f>
        <v/>
      </c>
      <c r="CH315" t="str">
        <f>""</f>
        <v/>
      </c>
    </row>
    <row r="316" spans="1:86" x14ac:dyDescent="0.25">
      <c r="A316" t="s">
        <v>5048</v>
      </c>
      <c r="B316" t="s">
        <v>5049</v>
      </c>
      <c r="C316" t="s">
        <v>1992</v>
      </c>
      <c r="D316" t="s">
        <v>2331</v>
      </c>
      <c r="E316" t="s">
        <v>5050</v>
      </c>
      <c r="H316" t="s">
        <v>5051</v>
      </c>
      <c r="I316" t="s">
        <v>3629</v>
      </c>
      <c r="J316" t="str">
        <f>"80446"</f>
        <v>80446</v>
      </c>
      <c r="K316" t="s">
        <v>1998</v>
      </c>
      <c r="L316" t="s">
        <v>1999</v>
      </c>
      <c r="M316" t="s">
        <v>2063</v>
      </c>
      <c r="N316" t="s">
        <v>1992</v>
      </c>
      <c r="O316" t="s">
        <v>1992</v>
      </c>
      <c r="P316" t="s">
        <v>1992</v>
      </c>
      <c r="Q316" t="s">
        <v>1992</v>
      </c>
      <c r="R316" t="s">
        <v>1992</v>
      </c>
      <c r="S316" t="s">
        <v>1992</v>
      </c>
      <c r="T316" t="s">
        <v>1992</v>
      </c>
      <c r="U316" t="s">
        <v>1992</v>
      </c>
      <c r="V316" t="s">
        <v>1991</v>
      </c>
      <c r="W316" t="s">
        <v>1991</v>
      </c>
      <c r="X316" t="s">
        <v>1992</v>
      </c>
      <c r="Y316" t="s">
        <v>1992</v>
      </c>
      <c r="Z316" t="s">
        <v>1992</v>
      </c>
      <c r="AF316" t="s">
        <v>2048</v>
      </c>
      <c r="AG316" t="s">
        <v>1991</v>
      </c>
      <c r="AH316">
        <v>30</v>
      </c>
      <c r="AI316">
        <v>30</v>
      </c>
      <c r="AJ316" t="s">
        <v>5052</v>
      </c>
      <c r="AK316">
        <v>7963</v>
      </c>
      <c r="AL316">
        <v>963</v>
      </c>
      <c r="AN316" t="s">
        <v>2066</v>
      </c>
      <c r="BF316" t="s">
        <v>1053</v>
      </c>
      <c r="BG316" t="s">
        <v>2097</v>
      </c>
      <c r="BH316" t="s">
        <v>798</v>
      </c>
      <c r="BI316" t="s">
        <v>1053</v>
      </c>
      <c r="BK316" t="s">
        <v>1053</v>
      </c>
      <c r="BL316" t="s">
        <v>1053</v>
      </c>
      <c r="BO316" t="s">
        <v>1053</v>
      </c>
      <c r="BP316" t="s">
        <v>653</v>
      </c>
      <c r="BQ316" t="s">
        <v>5053</v>
      </c>
      <c r="BR316" t="s">
        <v>1053</v>
      </c>
      <c r="BT316" t="s">
        <v>1053</v>
      </c>
      <c r="BX316" t="str">
        <f>""</f>
        <v/>
      </c>
      <c r="BY316" t="str">
        <f>""</f>
        <v/>
      </c>
      <c r="BZ316" t="str">
        <f>""</f>
        <v/>
      </c>
      <c r="CA316" t="str">
        <f>""</f>
        <v/>
      </c>
      <c r="CB316" t="str">
        <f>""</f>
        <v/>
      </c>
      <c r="CC316" t="str">
        <f>""</f>
        <v/>
      </c>
      <c r="CD316" t="str">
        <f>""</f>
        <v/>
      </c>
      <c r="CE316" t="str">
        <f>""</f>
        <v/>
      </c>
      <c r="CF316" t="str">
        <f>""</f>
        <v/>
      </c>
      <c r="CG316" t="str">
        <f>""</f>
        <v/>
      </c>
      <c r="CH316" t="str">
        <f>""</f>
        <v/>
      </c>
    </row>
    <row r="317" spans="1:86" x14ac:dyDescent="0.25">
      <c r="A317" t="s">
        <v>5054</v>
      </c>
      <c r="B317" t="s">
        <v>5055</v>
      </c>
      <c r="C317" t="s">
        <v>1992</v>
      </c>
      <c r="D317" t="s">
        <v>2331</v>
      </c>
      <c r="E317" t="s">
        <v>5056</v>
      </c>
      <c r="F317" t="s">
        <v>5057</v>
      </c>
      <c r="H317" t="s">
        <v>5058</v>
      </c>
      <c r="I317" t="s">
        <v>5059</v>
      </c>
      <c r="J317" t="str">
        <f>"84525"</f>
        <v>84525</v>
      </c>
      <c r="K317" t="s">
        <v>1998</v>
      </c>
      <c r="L317" t="s">
        <v>2062</v>
      </c>
      <c r="M317" t="s">
        <v>2063</v>
      </c>
      <c r="N317" t="s">
        <v>1992</v>
      </c>
      <c r="O317" t="s">
        <v>1992</v>
      </c>
      <c r="P317" t="s">
        <v>1992</v>
      </c>
      <c r="Q317" t="s">
        <v>1992</v>
      </c>
      <c r="R317" t="s">
        <v>1992</v>
      </c>
      <c r="S317" t="s">
        <v>1992</v>
      </c>
      <c r="T317" t="s">
        <v>1992</v>
      </c>
      <c r="U317" t="s">
        <v>1992</v>
      </c>
      <c r="V317" t="s">
        <v>1991</v>
      </c>
      <c r="W317" t="s">
        <v>1991</v>
      </c>
      <c r="X317" t="s">
        <v>1992</v>
      </c>
      <c r="Y317" t="s">
        <v>1992</v>
      </c>
      <c r="Z317" t="s">
        <v>1992</v>
      </c>
      <c r="AA317" t="s">
        <v>1992</v>
      </c>
      <c r="AF317" t="s">
        <v>2048</v>
      </c>
      <c r="AG317" t="s">
        <v>1991</v>
      </c>
      <c r="AH317">
        <v>30</v>
      </c>
      <c r="AI317">
        <v>30</v>
      </c>
      <c r="AJ317" t="s">
        <v>5060</v>
      </c>
      <c r="AK317">
        <v>4089</v>
      </c>
      <c r="AL317">
        <v>1500</v>
      </c>
      <c r="AN317" t="s">
        <v>2066</v>
      </c>
      <c r="AO317" t="s">
        <v>2063</v>
      </c>
      <c r="BF317" t="s">
        <v>1053</v>
      </c>
      <c r="BG317" t="s">
        <v>2067</v>
      </c>
      <c r="BH317" t="s">
        <v>348</v>
      </c>
      <c r="BI317" t="s">
        <v>1053</v>
      </c>
      <c r="BK317" t="s">
        <v>1053</v>
      </c>
      <c r="BO317" t="s">
        <v>1053</v>
      </c>
      <c r="BP317" t="s">
        <v>3655</v>
      </c>
      <c r="BQ317" t="s">
        <v>2073</v>
      </c>
      <c r="BR317" t="s">
        <v>1053</v>
      </c>
      <c r="BX317" t="str">
        <f>"SMTWTFS 0000-0001"</f>
        <v>SMTWTFS 0000-0001</v>
      </c>
      <c r="BY317" t="str">
        <f>""</f>
        <v/>
      </c>
      <c r="BZ317" t="str">
        <f>""</f>
        <v/>
      </c>
      <c r="CA317" t="str">
        <f>""</f>
        <v/>
      </c>
      <c r="CB317" t="str">
        <f>""</f>
        <v/>
      </c>
      <c r="CC317" t="str">
        <f>""</f>
        <v/>
      </c>
      <c r="CD317" t="str">
        <f>""</f>
        <v/>
      </c>
      <c r="CE317" t="str">
        <f>""</f>
        <v/>
      </c>
      <c r="CF317" t="str">
        <f>""</f>
        <v/>
      </c>
      <c r="CG317" t="str">
        <f>""</f>
        <v/>
      </c>
      <c r="CH317" t="str">
        <f>""</f>
        <v/>
      </c>
    </row>
    <row r="318" spans="1:86" x14ac:dyDescent="0.25">
      <c r="A318" t="s">
        <v>5061</v>
      </c>
      <c r="B318" t="s">
        <v>5062</v>
      </c>
      <c r="C318" t="s">
        <v>1991</v>
      </c>
      <c r="D318" t="s">
        <v>2010</v>
      </c>
      <c r="E318" t="s">
        <v>5063</v>
      </c>
      <c r="F318" t="s">
        <v>5064</v>
      </c>
      <c r="H318" t="s">
        <v>2216</v>
      </c>
      <c r="I318" t="s">
        <v>700</v>
      </c>
      <c r="J318" t="str">
        <f>"27401-2704"</f>
        <v>27401-2704</v>
      </c>
      <c r="K318" t="s">
        <v>1998</v>
      </c>
      <c r="L318" t="s">
        <v>408</v>
      </c>
      <c r="M318" t="s">
        <v>2217</v>
      </c>
      <c r="N318" t="s">
        <v>1991</v>
      </c>
      <c r="O318" t="s">
        <v>1991</v>
      </c>
      <c r="P318" t="s">
        <v>1992</v>
      </c>
      <c r="Q318" t="s">
        <v>1991</v>
      </c>
      <c r="R318" t="s">
        <v>1991</v>
      </c>
      <c r="S318" t="s">
        <v>1992</v>
      </c>
      <c r="T318" t="s">
        <v>1992</v>
      </c>
      <c r="U318" t="s">
        <v>1991</v>
      </c>
      <c r="V318" t="s">
        <v>1991</v>
      </c>
      <c r="W318" t="s">
        <v>1991</v>
      </c>
      <c r="X318" t="s">
        <v>1992</v>
      </c>
      <c r="Y318" t="s">
        <v>1992</v>
      </c>
      <c r="Z318" t="s">
        <v>1992</v>
      </c>
      <c r="AA318" t="s">
        <v>1991</v>
      </c>
      <c r="AE318" t="s">
        <v>2047</v>
      </c>
      <c r="AF318" t="s">
        <v>2016</v>
      </c>
      <c r="AG318" t="s">
        <v>1991</v>
      </c>
      <c r="AH318">
        <v>60</v>
      </c>
      <c r="AI318">
        <v>45</v>
      </c>
      <c r="AJ318" t="s">
        <v>2218</v>
      </c>
      <c r="AK318">
        <v>317</v>
      </c>
      <c r="AL318">
        <v>236865</v>
      </c>
      <c r="AM318" t="s">
        <v>2219</v>
      </c>
      <c r="AN318" t="s">
        <v>1053</v>
      </c>
      <c r="AO318" t="s">
        <v>1053</v>
      </c>
      <c r="AP318" t="s">
        <v>2069</v>
      </c>
      <c r="AQ318" t="s">
        <v>1053</v>
      </c>
      <c r="AR318" t="s">
        <v>2069</v>
      </c>
      <c r="AS318" t="s">
        <v>5061</v>
      </c>
      <c r="AT318" t="s">
        <v>2220</v>
      </c>
      <c r="AU318" t="s">
        <v>1053</v>
      </c>
      <c r="AV318" t="s">
        <v>1053</v>
      </c>
      <c r="AW318" t="s">
        <v>2069</v>
      </c>
      <c r="AX318" t="s">
        <v>1053</v>
      </c>
      <c r="AY318" t="s">
        <v>2069</v>
      </c>
      <c r="AZ318" t="s">
        <v>5061</v>
      </c>
      <c r="BA318" t="s">
        <v>2220</v>
      </c>
      <c r="BB318" t="s">
        <v>1053</v>
      </c>
      <c r="BC318" t="s">
        <v>2069</v>
      </c>
      <c r="BD318" t="s">
        <v>1053</v>
      </c>
      <c r="BE318" t="s">
        <v>2069</v>
      </c>
      <c r="BF318" t="s">
        <v>1053</v>
      </c>
      <c r="BG318" t="s">
        <v>703</v>
      </c>
      <c r="BH318" t="s">
        <v>3569</v>
      </c>
      <c r="BI318" t="s">
        <v>1053</v>
      </c>
      <c r="BJ318" t="s">
        <v>1053</v>
      </c>
      <c r="BK318" t="s">
        <v>1053</v>
      </c>
      <c r="BL318" t="s">
        <v>1053</v>
      </c>
      <c r="BM318" t="s">
        <v>705</v>
      </c>
      <c r="BO318" t="s">
        <v>1053</v>
      </c>
      <c r="BP318" t="s">
        <v>2375</v>
      </c>
      <c r="BQ318" t="s">
        <v>427</v>
      </c>
      <c r="BR318" t="s">
        <v>1053</v>
      </c>
      <c r="BS318" t="s">
        <v>1053</v>
      </c>
      <c r="BT318" t="s">
        <v>1053</v>
      </c>
      <c r="BU318" t="s">
        <v>1053</v>
      </c>
      <c r="BV318" t="s">
        <v>416</v>
      </c>
      <c r="BW318" t="s">
        <v>417</v>
      </c>
      <c r="BX318" t="str">
        <f>"SMTWTFS 0000-2359"</f>
        <v>SMTWTFS 0000-2359</v>
      </c>
      <c r="BY318" t="str">
        <f>"SMTWTFS 0000-2359"</f>
        <v>SMTWTFS 0000-2359</v>
      </c>
      <c r="BZ318" t="str">
        <f>"SMTWTFS 0000-2359"</f>
        <v>SMTWTFS 0000-2359</v>
      </c>
      <c r="CA318" t="str">
        <f>"SMTWTFS 0001-2359"</f>
        <v>SMTWTFS 0001-2359</v>
      </c>
      <c r="CB318" t="str">
        <f>"SMTWTFS 0000-2359"</f>
        <v>SMTWTFS 0000-2359</v>
      </c>
      <c r="CC318" t="str">
        <f>"SMTWTFS 0000-2359"</f>
        <v>SMTWTFS 0000-2359</v>
      </c>
      <c r="CD318" t="str">
        <f>""</f>
        <v/>
      </c>
      <c r="CE318" t="str">
        <f>""</f>
        <v/>
      </c>
      <c r="CF318" t="str">
        <f>"SMTWTFS 0000-2359"</f>
        <v>SMTWTFS 0000-2359</v>
      </c>
      <c r="CG318" t="str">
        <f>""</f>
        <v/>
      </c>
      <c r="CH318" t="str">
        <f>"SMTWTFS 0000-2359"</f>
        <v>SMTWTFS 0000-2359</v>
      </c>
    </row>
    <row r="319" spans="1:86" x14ac:dyDescent="0.25">
      <c r="A319" t="s">
        <v>2221</v>
      </c>
      <c r="B319" t="s">
        <v>2222</v>
      </c>
      <c r="C319" t="s">
        <v>1992</v>
      </c>
      <c r="D319" t="s">
        <v>2010</v>
      </c>
      <c r="E319" t="s">
        <v>2223</v>
      </c>
      <c r="F319" t="s">
        <v>2224</v>
      </c>
      <c r="H319" t="s">
        <v>2225</v>
      </c>
      <c r="I319" t="s">
        <v>2352</v>
      </c>
      <c r="J319" t="str">
        <f>"49503-4061"</f>
        <v>49503-4061</v>
      </c>
      <c r="K319" t="s">
        <v>1998</v>
      </c>
      <c r="L319" t="s">
        <v>1999</v>
      </c>
      <c r="M319" t="s">
        <v>2063</v>
      </c>
      <c r="N319" t="s">
        <v>1992</v>
      </c>
      <c r="O319" t="s">
        <v>1991</v>
      </c>
      <c r="P319" t="s">
        <v>1992</v>
      </c>
      <c r="Q319" t="s">
        <v>1992</v>
      </c>
      <c r="R319" t="s">
        <v>1992</v>
      </c>
      <c r="S319" t="s">
        <v>1992</v>
      </c>
      <c r="T319" t="s">
        <v>1992</v>
      </c>
      <c r="U319" t="s">
        <v>1992</v>
      </c>
      <c r="V319" t="s">
        <v>1991</v>
      </c>
      <c r="W319" t="s">
        <v>1991</v>
      </c>
      <c r="X319" t="s">
        <v>1992</v>
      </c>
      <c r="Y319" t="s">
        <v>1992</v>
      </c>
      <c r="Z319" t="s">
        <v>1992</v>
      </c>
      <c r="AF319" t="s">
        <v>2016</v>
      </c>
      <c r="AG319" t="s">
        <v>1991</v>
      </c>
      <c r="AH319">
        <v>30</v>
      </c>
      <c r="AI319">
        <v>30</v>
      </c>
      <c r="AJ319" t="s">
        <v>2226</v>
      </c>
      <c r="AK319">
        <v>611</v>
      </c>
      <c r="AL319">
        <v>193083</v>
      </c>
      <c r="AM319" t="s">
        <v>2227</v>
      </c>
      <c r="AN319" t="s">
        <v>2066</v>
      </c>
      <c r="AO319" t="s">
        <v>2311</v>
      </c>
      <c r="BF319" t="s">
        <v>1053</v>
      </c>
      <c r="BG319" t="s">
        <v>467</v>
      </c>
      <c r="BH319" t="s">
        <v>2312</v>
      </c>
      <c r="BI319" t="s">
        <v>1053</v>
      </c>
      <c r="BJ319" t="s">
        <v>2069</v>
      </c>
      <c r="BK319" t="s">
        <v>1053</v>
      </c>
      <c r="BL319" t="s">
        <v>2069</v>
      </c>
      <c r="BM319" t="s">
        <v>2313</v>
      </c>
      <c r="BN319" t="s">
        <v>2314</v>
      </c>
      <c r="BO319" t="s">
        <v>1053</v>
      </c>
      <c r="BP319" t="s">
        <v>301</v>
      </c>
      <c r="BQ319" t="s">
        <v>2316</v>
      </c>
      <c r="BR319" t="s">
        <v>1053</v>
      </c>
      <c r="BT319" t="s">
        <v>1053</v>
      </c>
      <c r="BX319" t="str">
        <f>"SMTWTFS 0630-0800 2130-2230"</f>
        <v>SMTWTFS 0630-0800 2130-2230</v>
      </c>
      <c r="BY319" t="str">
        <f>""</f>
        <v/>
      </c>
      <c r="BZ319" t="str">
        <f>""</f>
        <v/>
      </c>
      <c r="CA319" t="str">
        <f>""</f>
        <v/>
      </c>
      <c r="CB319" t="str">
        <f>""</f>
        <v/>
      </c>
      <c r="CC319" t="str">
        <f>"SMTWTFS 0630-2230"</f>
        <v>SMTWTFS 0630-2230</v>
      </c>
      <c r="CD319" t="str">
        <f>""</f>
        <v/>
      </c>
      <c r="CE319" t="str">
        <f>""</f>
        <v/>
      </c>
      <c r="CF319" t="str">
        <f>""</f>
        <v/>
      </c>
      <c r="CG319" t="str">
        <f>""</f>
        <v/>
      </c>
      <c r="CH319" t="str">
        <f>""</f>
        <v/>
      </c>
    </row>
    <row r="320" spans="1:86" x14ac:dyDescent="0.25">
      <c r="A320" t="s">
        <v>2228</v>
      </c>
      <c r="B320" t="s">
        <v>2229</v>
      </c>
      <c r="D320" t="s">
        <v>2089</v>
      </c>
      <c r="V320" t="s">
        <v>1991</v>
      </c>
      <c r="AJ320" t="s">
        <v>2090</v>
      </c>
      <c r="BX320" t="str">
        <f>""</f>
        <v/>
      </c>
      <c r="BY320" t="str">
        <f>""</f>
        <v/>
      </c>
      <c r="BZ320" t="str">
        <f>""</f>
        <v/>
      </c>
      <c r="CA320" t="str">
        <f>"SMTWTFS 0000-2359"</f>
        <v>SMTWTFS 0000-2359</v>
      </c>
      <c r="CB320" t="str">
        <f>""</f>
        <v/>
      </c>
      <c r="CC320" t="str">
        <f>""</f>
        <v/>
      </c>
      <c r="CD320" t="str">
        <f>""</f>
        <v/>
      </c>
      <c r="CE320" t="str">
        <f>""</f>
        <v/>
      </c>
      <c r="CF320" t="str">
        <f>""</f>
        <v/>
      </c>
      <c r="CG320" t="str">
        <f>""</f>
        <v/>
      </c>
      <c r="CH320" t="str">
        <f>""</f>
        <v/>
      </c>
    </row>
    <row r="321" spans="1:86" x14ac:dyDescent="0.25">
      <c r="A321" t="s">
        <v>2230</v>
      </c>
      <c r="B321" t="s">
        <v>2231</v>
      </c>
      <c r="C321" t="s">
        <v>1991</v>
      </c>
      <c r="D321" t="s">
        <v>2010</v>
      </c>
      <c r="E321" t="s">
        <v>2232</v>
      </c>
      <c r="H321" t="s">
        <v>2233</v>
      </c>
      <c r="I321" t="s">
        <v>914</v>
      </c>
      <c r="J321" t="str">
        <f>"29601"</f>
        <v>29601</v>
      </c>
      <c r="K321" t="s">
        <v>1998</v>
      </c>
      <c r="L321" t="s">
        <v>408</v>
      </c>
      <c r="M321" t="s">
        <v>2234</v>
      </c>
      <c r="N321" t="s">
        <v>1991</v>
      </c>
      <c r="O321" t="s">
        <v>1992</v>
      </c>
      <c r="P321" t="s">
        <v>1992</v>
      </c>
      <c r="Q321" t="s">
        <v>1991</v>
      </c>
      <c r="R321" t="s">
        <v>1991</v>
      </c>
      <c r="S321" t="s">
        <v>1992</v>
      </c>
      <c r="T321" t="s">
        <v>1992</v>
      </c>
      <c r="U321" t="s">
        <v>1991</v>
      </c>
      <c r="V321" t="s">
        <v>1991</v>
      </c>
      <c r="W321" t="s">
        <v>1991</v>
      </c>
      <c r="X321" t="s">
        <v>1992</v>
      </c>
      <c r="Y321" t="s">
        <v>1992</v>
      </c>
      <c r="Z321" t="s">
        <v>1992</v>
      </c>
      <c r="AA321" t="s">
        <v>1992</v>
      </c>
      <c r="AE321" t="s">
        <v>2047</v>
      </c>
      <c r="AF321" t="s">
        <v>2016</v>
      </c>
      <c r="AG321" t="s">
        <v>1991</v>
      </c>
      <c r="AH321">
        <v>60</v>
      </c>
      <c r="AI321">
        <v>30</v>
      </c>
      <c r="AJ321" t="s">
        <v>2235</v>
      </c>
      <c r="AK321">
        <v>962</v>
      </c>
      <c r="AL321">
        <v>57428</v>
      </c>
      <c r="AN321" t="s">
        <v>1053</v>
      </c>
      <c r="AO321" t="s">
        <v>1053</v>
      </c>
      <c r="AP321" t="s">
        <v>1053</v>
      </c>
      <c r="AQ321" t="s">
        <v>1053</v>
      </c>
      <c r="AR321" t="s">
        <v>2069</v>
      </c>
      <c r="AS321" t="s">
        <v>2230</v>
      </c>
      <c r="AT321" t="s">
        <v>2236</v>
      </c>
      <c r="AU321" t="s">
        <v>1053</v>
      </c>
      <c r="AV321" t="s">
        <v>1053</v>
      </c>
      <c r="AW321" t="s">
        <v>1053</v>
      </c>
      <c r="AX321" t="s">
        <v>1053</v>
      </c>
      <c r="AY321" t="s">
        <v>2069</v>
      </c>
      <c r="AZ321" t="s">
        <v>2230</v>
      </c>
      <c r="BA321" t="s">
        <v>2236</v>
      </c>
      <c r="BB321" t="s">
        <v>1053</v>
      </c>
      <c r="BC321" t="s">
        <v>1053</v>
      </c>
      <c r="BD321" t="s">
        <v>1053</v>
      </c>
      <c r="BE321" t="s">
        <v>2069</v>
      </c>
      <c r="BF321" t="s">
        <v>1053</v>
      </c>
      <c r="BG321" t="s">
        <v>349</v>
      </c>
      <c r="BH321" t="s">
        <v>413</v>
      </c>
      <c r="BI321" t="s">
        <v>1053</v>
      </c>
      <c r="BJ321" t="s">
        <v>1053</v>
      </c>
      <c r="BK321" t="s">
        <v>1053</v>
      </c>
      <c r="BL321" t="s">
        <v>1053</v>
      </c>
      <c r="BM321" t="s">
        <v>414</v>
      </c>
      <c r="BN321" t="s">
        <v>412</v>
      </c>
      <c r="BO321" t="s">
        <v>1053</v>
      </c>
      <c r="BP321" t="s">
        <v>2375</v>
      </c>
      <c r="BQ321" t="s">
        <v>2237</v>
      </c>
      <c r="BR321" t="s">
        <v>1053</v>
      </c>
      <c r="BS321" t="s">
        <v>1053</v>
      </c>
      <c r="BT321" t="s">
        <v>1053</v>
      </c>
      <c r="BU321" t="s">
        <v>1053</v>
      </c>
      <c r="BV321" t="s">
        <v>416</v>
      </c>
      <c r="BW321" t="s">
        <v>417</v>
      </c>
      <c r="BX321" t="str">
        <f>"SMTW-FS 0000-0730 2130-2359; ----T-- 0000-1730 2130-2359"</f>
        <v>SMTW-FS 0000-0730 2130-2359; ----T-- 0000-1730 2130-2359</v>
      </c>
      <c r="BY321" t="str">
        <f>"SMTW-FS 0000-0730 2130-2359; ----T-- 0000-1730 2130-2359"</f>
        <v>SMTW-FS 0000-0730 2130-2359; ----T-- 0000-1730 2130-2359</v>
      </c>
      <c r="BZ321" t="str">
        <f>"SMTW-FS 0000-0730 2130-2359; ----T-- 0000-1730 2130-2359"</f>
        <v>SMTW-FS 0000-0730 2130-2359; ----T-- 0000-1730 2130-2359</v>
      </c>
      <c r="CA321" t="str">
        <f>"SMTW-FS 0000-0730 2130-2359; ----T-- 0000-1730 2130-2359"</f>
        <v>SMTW-FS 0000-0730 2130-2359; ----T-- 0000-1730 2130-2359</v>
      </c>
      <c r="CB321" t="str">
        <f>""</f>
        <v/>
      </c>
      <c r="CC321" t="str">
        <f>""</f>
        <v/>
      </c>
      <c r="CD321" t="str">
        <f>""</f>
        <v/>
      </c>
      <c r="CE321" t="str">
        <f>""</f>
        <v/>
      </c>
      <c r="CF321" t="str">
        <f>"SMTW-FS 0000-0730 2130-2359; ----T-- 0000-1730 2130-2359"</f>
        <v>SMTW-FS 0000-0730 2130-2359; ----T-- 0000-1730 2130-2359</v>
      </c>
      <c r="CG321" t="str">
        <f>""</f>
        <v/>
      </c>
      <c r="CH321" t="str">
        <f>"SMTWTFS 0000-2359"</f>
        <v>SMTWTFS 0000-2359</v>
      </c>
    </row>
    <row r="322" spans="1:86" x14ac:dyDescent="0.25">
      <c r="A322" t="s">
        <v>2238</v>
      </c>
      <c r="B322" t="s">
        <v>2239</v>
      </c>
      <c r="C322" t="s">
        <v>1991</v>
      </c>
      <c r="D322" t="s">
        <v>2010</v>
      </c>
      <c r="E322" t="s">
        <v>2240</v>
      </c>
      <c r="H322" t="s">
        <v>2241</v>
      </c>
      <c r="I322" t="s">
        <v>3629</v>
      </c>
      <c r="J322" t="str">
        <f>"81601"</f>
        <v>81601</v>
      </c>
      <c r="K322" t="s">
        <v>1998</v>
      </c>
      <c r="L322" t="s">
        <v>1999</v>
      </c>
      <c r="M322" t="s">
        <v>2242</v>
      </c>
      <c r="N322" t="s">
        <v>1991</v>
      </c>
      <c r="O322" t="s">
        <v>1992</v>
      </c>
      <c r="P322" t="s">
        <v>1992</v>
      </c>
      <c r="Q322" t="s">
        <v>1991</v>
      </c>
      <c r="R322" t="s">
        <v>1991</v>
      </c>
      <c r="S322" t="s">
        <v>1992</v>
      </c>
      <c r="T322" t="s">
        <v>1992</v>
      </c>
      <c r="U322" t="s">
        <v>1991</v>
      </c>
      <c r="V322" t="s">
        <v>1991</v>
      </c>
      <c r="W322" t="s">
        <v>1991</v>
      </c>
      <c r="X322" t="s">
        <v>1992</v>
      </c>
      <c r="Y322" t="s">
        <v>1992</v>
      </c>
      <c r="Z322" t="s">
        <v>1992</v>
      </c>
      <c r="AA322" t="s">
        <v>1991</v>
      </c>
      <c r="AE322" t="s">
        <v>2047</v>
      </c>
      <c r="AF322" t="s">
        <v>2048</v>
      </c>
      <c r="AG322" t="s">
        <v>1991</v>
      </c>
      <c r="AH322">
        <v>60</v>
      </c>
      <c r="AI322">
        <v>30</v>
      </c>
      <c r="AJ322" t="s">
        <v>2243</v>
      </c>
      <c r="AK322">
        <v>5755</v>
      </c>
      <c r="AL322">
        <v>7700</v>
      </c>
      <c r="AN322" t="s">
        <v>1053</v>
      </c>
      <c r="AO322" t="s">
        <v>1053</v>
      </c>
      <c r="AP322" t="s">
        <v>2069</v>
      </c>
      <c r="AQ322" t="s">
        <v>1053</v>
      </c>
      <c r="AR322" t="s">
        <v>2069</v>
      </c>
      <c r="AS322" t="s">
        <v>2238</v>
      </c>
      <c r="AT322" t="s">
        <v>2244</v>
      </c>
      <c r="AU322" t="s">
        <v>1053</v>
      </c>
      <c r="AV322" t="s">
        <v>1053</v>
      </c>
      <c r="AW322" t="s">
        <v>2069</v>
      </c>
      <c r="AX322" t="s">
        <v>1053</v>
      </c>
      <c r="AY322" t="s">
        <v>2069</v>
      </c>
      <c r="AZ322" t="s">
        <v>2238</v>
      </c>
      <c r="BA322" t="s">
        <v>2244</v>
      </c>
      <c r="BB322" t="s">
        <v>1053</v>
      </c>
      <c r="BC322" t="s">
        <v>2069</v>
      </c>
      <c r="BD322" t="s">
        <v>1053</v>
      </c>
      <c r="BE322" t="s">
        <v>2069</v>
      </c>
      <c r="BF322" t="s">
        <v>1053</v>
      </c>
      <c r="BG322" t="s">
        <v>2097</v>
      </c>
      <c r="BH322" t="s">
        <v>798</v>
      </c>
      <c r="BI322" t="s">
        <v>1053</v>
      </c>
      <c r="BK322" t="s">
        <v>1053</v>
      </c>
      <c r="BL322" t="s">
        <v>1053</v>
      </c>
      <c r="BO322" t="s">
        <v>1053</v>
      </c>
      <c r="BP322" t="s">
        <v>1173</v>
      </c>
      <c r="BQ322" t="s">
        <v>2245</v>
      </c>
      <c r="BR322" t="s">
        <v>1053</v>
      </c>
      <c r="BT322" t="s">
        <v>1053</v>
      </c>
      <c r="BX322" t="str">
        <f>"SMTWTFS 0900-1700"</f>
        <v>SMTWTFS 0900-1700</v>
      </c>
      <c r="BY322" t="str">
        <f>"SMTWTFS 0930-1700"</f>
        <v>SMTWTFS 0930-1700</v>
      </c>
      <c r="BZ322" t="str">
        <f>"SMTWTFS 0930-1700"</f>
        <v>SMTWTFS 0930-1700</v>
      </c>
      <c r="CA322" t="str">
        <f>"SMTWTFS 0930-1700"</f>
        <v>SMTWTFS 0930-1700</v>
      </c>
      <c r="CB322" t="str">
        <f>""</f>
        <v/>
      </c>
      <c r="CC322" t="str">
        <f>""</f>
        <v/>
      </c>
      <c r="CD322" t="str">
        <f>""</f>
        <v/>
      </c>
      <c r="CE322" t="str">
        <f>""</f>
        <v/>
      </c>
      <c r="CF322" t="str">
        <f>"SMTWTFS 1000-1600"</f>
        <v>SMTWTFS 1000-1600</v>
      </c>
      <c r="CG322" t="str">
        <f>""</f>
        <v/>
      </c>
      <c r="CH322" t="str">
        <f>""</f>
        <v/>
      </c>
    </row>
    <row r="323" spans="1:86" x14ac:dyDescent="0.25">
      <c r="A323" t="s">
        <v>2246</v>
      </c>
      <c r="B323" t="s">
        <v>2247</v>
      </c>
      <c r="C323" t="s">
        <v>1992</v>
      </c>
      <c r="D323" t="s">
        <v>1993</v>
      </c>
      <c r="E323" t="s">
        <v>2248</v>
      </c>
      <c r="F323" t="s">
        <v>2249</v>
      </c>
      <c r="H323" t="s">
        <v>2250</v>
      </c>
      <c r="I323" t="s">
        <v>2061</v>
      </c>
      <c r="J323" t="str">
        <f>"93227"</f>
        <v>93227</v>
      </c>
      <c r="K323" t="s">
        <v>1998</v>
      </c>
      <c r="L323" t="s">
        <v>2062</v>
      </c>
      <c r="M323" t="s">
        <v>2000</v>
      </c>
      <c r="N323" t="s">
        <v>1992</v>
      </c>
      <c r="O323" t="s">
        <v>1992</v>
      </c>
      <c r="P323" t="s">
        <v>1992</v>
      </c>
      <c r="Q323" t="s">
        <v>1992</v>
      </c>
      <c r="R323" t="s">
        <v>1992</v>
      </c>
      <c r="S323" t="s">
        <v>1992</v>
      </c>
      <c r="T323" t="s">
        <v>1992</v>
      </c>
      <c r="U323" t="s">
        <v>1992</v>
      </c>
      <c r="V323" t="s">
        <v>1991</v>
      </c>
      <c r="W323" t="s">
        <v>1992</v>
      </c>
      <c r="X323" t="s">
        <v>1992</v>
      </c>
      <c r="Y323" t="s">
        <v>1991</v>
      </c>
      <c r="Z323" t="s">
        <v>1991</v>
      </c>
      <c r="AA323" t="s">
        <v>1991</v>
      </c>
      <c r="AF323" t="s">
        <v>2064</v>
      </c>
      <c r="AG323" t="s">
        <v>1991</v>
      </c>
      <c r="AH323">
        <v>30</v>
      </c>
      <c r="AI323">
        <v>30</v>
      </c>
      <c r="AJ323" t="s">
        <v>2251</v>
      </c>
      <c r="AK323">
        <v>284</v>
      </c>
      <c r="AL323">
        <v>24400</v>
      </c>
      <c r="AM323" t="s">
        <v>2298</v>
      </c>
      <c r="AN323" t="s">
        <v>2252</v>
      </c>
      <c r="AO323" t="s">
        <v>1053</v>
      </c>
      <c r="BF323" t="s">
        <v>1053</v>
      </c>
      <c r="BG323" t="s">
        <v>309</v>
      </c>
      <c r="BH323" t="s">
        <v>2301</v>
      </c>
      <c r="BI323" t="s">
        <v>1053</v>
      </c>
      <c r="BK323" t="s">
        <v>1053</v>
      </c>
      <c r="BO323" t="s">
        <v>1053</v>
      </c>
      <c r="BP323" t="s">
        <v>518</v>
      </c>
      <c r="BQ323" t="s">
        <v>3820</v>
      </c>
      <c r="BR323" t="s">
        <v>1053</v>
      </c>
      <c r="BT323" t="s">
        <v>1053</v>
      </c>
      <c r="BV323" t="s">
        <v>2070</v>
      </c>
      <c r="BX323" t="str">
        <f>""</f>
        <v/>
      </c>
      <c r="BY323" t="str">
        <f>""</f>
        <v/>
      </c>
      <c r="BZ323" t="str">
        <f>""</f>
        <v/>
      </c>
      <c r="CA323" t="str">
        <f>""</f>
        <v/>
      </c>
      <c r="CB323" t="str">
        <f>""</f>
        <v/>
      </c>
      <c r="CC323" t="str">
        <f>""</f>
        <v/>
      </c>
      <c r="CD323" t="str">
        <f>""</f>
        <v/>
      </c>
      <c r="CE323" t="str">
        <f>""</f>
        <v/>
      </c>
      <c r="CF323" t="str">
        <f>""</f>
        <v/>
      </c>
      <c r="CG323" t="str">
        <f>""</f>
        <v/>
      </c>
      <c r="CH323" t="str">
        <f>""</f>
        <v/>
      </c>
    </row>
    <row r="324" spans="1:86" x14ac:dyDescent="0.25">
      <c r="A324" t="s">
        <v>2253</v>
      </c>
      <c r="B324" t="s">
        <v>2254</v>
      </c>
      <c r="C324" t="s">
        <v>1992</v>
      </c>
      <c r="D324" t="s">
        <v>2028</v>
      </c>
      <c r="E324" t="s">
        <v>2255</v>
      </c>
      <c r="H324" t="s">
        <v>2256</v>
      </c>
      <c r="I324" t="s">
        <v>2061</v>
      </c>
      <c r="J324" t="str">
        <f>"93117"</f>
        <v>93117</v>
      </c>
      <c r="K324" t="s">
        <v>1998</v>
      </c>
      <c r="L324" t="s">
        <v>2045</v>
      </c>
      <c r="M324" t="s">
        <v>2063</v>
      </c>
      <c r="N324" t="s">
        <v>1992</v>
      </c>
      <c r="O324" t="s">
        <v>1992</v>
      </c>
      <c r="P324" t="s">
        <v>1991</v>
      </c>
      <c r="Q324" t="s">
        <v>1992</v>
      </c>
      <c r="R324" t="s">
        <v>1992</v>
      </c>
      <c r="S324" t="s">
        <v>1992</v>
      </c>
      <c r="T324" t="s">
        <v>1992</v>
      </c>
      <c r="U324" t="s">
        <v>1992</v>
      </c>
      <c r="V324" t="s">
        <v>1991</v>
      </c>
      <c r="W324" t="s">
        <v>1991</v>
      </c>
      <c r="X324" t="s">
        <v>1992</v>
      </c>
      <c r="Y324" t="s">
        <v>1992</v>
      </c>
      <c r="Z324" t="s">
        <v>1992</v>
      </c>
      <c r="AA324" t="s">
        <v>1992</v>
      </c>
      <c r="AF324" t="s">
        <v>2064</v>
      </c>
      <c r="AG324" t="s">
        <v>1991</v>
      </c>
      <c r="AH324">
        <v>30</v>
      </c>
      <c r="AI324">
        <v>30</v>
      </c>
      <c r="AJ324" t="s">
        <v>2257</v>
      </c>
      <c r="AK324">
        <v>42</v>
      </c>
      <c r="AL324">
        <v>66000</v>
      </c>
      <c r="AM324" t="s">
        <v>2298</v>
      </c>
      <c r="AN324" t="s">
        <v>2066</v>
      </c>
      <c r="AO324" t="s">
        <v>2063</v>
      </c>
      <c r="BF324" t="s">
        <v>1053</v>
      </c>
      <c r="BG324" t="s">
        <v>2067</v>
      </c>
      <c r="BH324" t="s">
        <v>275</v>
      </c>
      <c r="BI324" t="s">
        <v>1053</v>
      </c>
      <c r="BJ324" t="s">
        <v>2069</v>
      </c>
      <c r="BK324" t="s">
        <v>1053</v>
      </c>
      <c r="BL324" t="s">
        <v>2069</v>
      </c>
      <c r="BM324" t="s">
        <v>276</v>
      </c>
      <c r="BN324" t="s">
        <v>277</v>
      </c>
      <c r="BO324" t="s">
        <v>1053</v>
      </c>
      <c r="BP324" t="s">
        <v>2067</v>
      </c>
      <c r="BQ324" t="s">
        <v>275</v>
      </c>
      <c r="BR324" t="s">
        <v>1053</v>
      </c>
      <c r="BX324" t="str">
        <f>""</f>
        <v/>
      </c>
      <c r="BY324" t="str">
        <f>""</f>
        <v/>
      </c>
      <c r="BZ324" t="str">
        <f>""</f>
        <v/>
      </c>
      <c r="CA324" t="str">
        <f>""</f>
        <v/>
      </c>
      <c r="CB324" t="str">
        <f>""</f>
        <v/>
      </c>
      <c r="CC324" t="str">
        <f>""</f>
        <v/>
      </c>
      <c r="CD324" t="str">
        <f>"SMTWTFS 0000-2359"</f>
        <v>SMTWTFS 0000-2359</v>
      </c>
      <c r="CE324" t="str">
        <f>""</f>
        <v/>
      </c>
      <c r="CF324" t="str">
        <f>""</f>
        <v/>
      </c>
      <c r="CG324" t="str">
        <f>""</f>
        <v/>
      </c>
      <c r="CH324" t="str">
        <f>""</f>
        <v/>
      </c>
    </row>
    <row r="325" spans="1:86" x14ac:dyDescent="0.25">
      <c r="A325" t="s">
        <v>2258</v>
      </c>
      <c r="B325" t="s">
        <v>2259</v>
      </c>
      <c r="C325" t="s">
        <v>1992</v>
      </c>
      <c r="D325" t="s">
        <v>2010</v>
      </c>
      <c r="E325" t="s">
        <v>2260</v>
      </c>
      <c r="F325" t="s">
        <v>2261</v>
      </c>
      <c r="H325" t="s">
        <v>2262</v>
      </c>
      <c r="I325" t="s">
        <v>2295</v>
      </c>
      <c r="J325" t="str">
        <f>"97526"</f>
        <v>97526</v>
      </c>
      <c r="K325" t="s">
        <v>1998</v>
      </c>
      <c r="L325" t="s">
        <v>2062</v>
      </c>
      <c r="M325" t="s">
        <v>2000</v>
      </c>
      <c r="N325" t="s">
        <v>1992</v>
      </c>
      <c r="O325" t="s">
        <v>1992</v>
      </c>
      <c r="P325" t="s">
        <v>1992</v>
      </c>
      <c r="Q325" t="s">
        <v>1992</v>
      </c>
      <c r="R325" t="s">
        <v>1992</v>
      </c>
      <c r="S325" t="s">
        <v>1992</v>
      </c>
      <c r="T325" t="s">
        <v>1992</v>
      </c>
      <c r="U325" t="s">
        <v>1992</v>
      </c>
      <c r="V325" t="s">
        <v>1991</v>
      </c>
      <c r="W325" t="s">
        <v>1992</v>
      </c>
      <c r="X325" t="s">
        <v>1992</v>
      </c>
      <c r="Y325" t="s">
        <v>1992</v>
      </c>
      <c r="Z325" t="s">
        <v>1991</v>
      </c>
      <c r="AA325" t="s">
        <v>1991</v>
      </c>
      <c r="AF325" t="s">
        <v>2064</v>
      </c>
      <c r="AG325" t="s">
        <v>1991</v>
      </c>
      <c r="AH325">
        <v>15</v>
      </c>
      <c r="AI325">
        <v>15</v>
      </c>
      <c r="AJ325" t="s">
        <v>2263</v>
      </c>
      <c r="AK325">
        <v>975</v>
      </c>
      <c r="AL325">
        <v>20000</v>
      </c>
      <c r="AN325" t="s">
        <v>3819</v>
      </c>
      <c r="AO325" t="s">
        <v>2063</v>
      </c>
      <c r="BF325" t="s">
        <v>1053</v>
      </c>
      <c r="BG325" t="s">
        <v>394</v>
      </c>
      <c r="BH325" t="s">
        <v>311</v>
      </c>
      <c r="BI325" t="s">
        <v>1053</v>
      </c>
      <c r="BJ325" t="s">
        <v>1053</v>
      </c>
      <c r="BK325" t="s">
        <v>1053</v>
      </c>
      <c r="BL325" t="s">
        <v>1053</v>
      </c>
      <c r="BX325" t="str">
        <f>"-MTWTF- 0630-1815; ------S 0700-1530"</f>
        <v>-MTWTF- 0630-1815; ------S 0700-1530</v>
      </c>
      <c r="BY325" t="str">
        <f>""</f>
        <v/>
      </c>
      <c r="BZ325" t="str">
        <f>""</f>
        <v/>
      </c>
      <c r="CA325" t="str">
        <f>""</f>
        <v/>
      </c>
      <c r="CB325" t="str">
        <f>""</f>
        <v/>
      </c>
      <c r="CC325" t="str">
        <f>""</f>
        <v/>
      </c>
      <c r="CD325" t="str">
        <f>""</f>
        <v/>
      </c>
      <c r="CE325" t="str">
        <f>""</f>
        <v/>
      </c>
      <c r="CF325" t="str">
        <f>""</f>
        <v/>
      </c>
      <c r="CG325" t="str">
        <f>""</f>
        <v/>
      </c>
      <c r="CH325" t="str">
        <f>""</f>
        <v/>
      </c>
    </row>
    <row r="326" spans="1:86" x14ac:dyDescent="0.25">
      <c r="A326" t="s">
        <v>2264</v>
      </c>
      <c r="B326" t="s">
        <v>2265</v>
      </c>
      <c r="C326" t="s">
        <v>1992</v>
      </c>
      <c r="D326" t="s">
        <v>1993</v>
      </c>
      <c r="E326" t="s">
        <v>2266</v>
      </c>
      <c r="F326" t="s">
        <v>2267</v>
      </c>
      <c r="H326" t="s">
        <v>2268</v>
      </c>
      <c r="I326" t="s">
        <v>2014</v>
      </c>
      <c r="J326" t="str">
        <f>"21536"</f>
        <v>21536</v>
      </c>
      <c r="K326" t="s">
        <v>1998</v>
      </c>
      <c r="L326" t="s">
        <v>2015</v>
      </c>
      <c r="M326" t="s">
        <v>2000</v>
      </c>
      <c r="N326" t="s">
        <v>1992</v>
      </c>
      <c r="O326" t="s">
        <v>1992</v>
      </c>
      <c r="P326" t="s">
        <v>1992</v>
      </c>
      <c r="Q326" t="s">
        <v>1992</v>
      </c>
      <c r="R326" t="s">
        <v>1992</v>
      </c>
      <c r="S326" t="s">
        <v>1992</v>
      </c>
      <c r="T326" t="s">
        <v>1992</v>
      </c>
      <c r="U326" t="s">
        <v>1992</v>
      </c>
      <c r="V326" t="s">
        <v>1991</v>
      </c>
      <c r="Z326" t="s">
        <v>1991</v>
      </c>
      <c r="AF326" t="s">
        <v>2016</v>
      </c>
      <c r="AG326" t="s">
        <v>1991</v>
      </c>
      <c r="AH326">
        <v>15</v>
      </c>
      <c r="AI326">
        <v>15</v>
      </c>
      <c r="AJ326" t="s">
        <v>2269</v>
      </c>
      <c r="AK326">
        <v>2693</v>
      </c>
      <c r="BX326" t="str">
        <f>""</f>
        <v/>
      </c>
      <c r="BY326" t="str">
        <f>""</f>
        <v/>
      </c>
      <c r="BZ326" t="str">
        <f>""</f>
        <v/>
      </c>
      <c r="CA326" t="str">
        <f>""</f>
        <v/>
      </c>
      <c r="CB326" t="str">
        <f>""</f>
        <v/>
      </c>
      <c r="CC326" t="str">
        <f>""</f>
        <v/>
      </c>
      <c r="CD326" t="str">
        <f>""</f>
        <v/>
      </c>
      <c r="CE326" t="str">
        <f>""</f>
        <v/>
      </c>
      <c r="CF326" t="str">
        <f>""</f>
        <v/>
      </c>
      <c r="CG326" t="str">
        <f>""</f>
        <v/>
      </c>
      <c r="CH326" t="str">
        <f>""</f>
        <v/>
      </c>
    </row>
    <row r="327" spans="1:86" x14ac:dyDescent="0.25">
      <c r="A327" t="s">
        <v>2270</v>
      </c>
      <c r="B327" t="s">
        <v>2271</v>
      </c>
      <c r="C327" t="s">
        <v>1992</v>
      </c>
      <c r="D327" t="s">
        <v>2010</v>
      </c>
      <c r="E327" t="s">
        <v>2272</v>
      </c>
      <c r="F327" t="s">
        <v>2273</v>
      </c>
      <c r="H327" t="s">
        <v>2274</v>
      </c>
      <c r="I327" t="s">
        <v>2061</v>
      </c>
      <c r="J327" t="str">
        <f>"93434"</f>
        <v>93434</v>
      </c>
      <c r="K327" t="s">
        <v>1998</v>
      </c>
      <c r="L327" t="s">
        <v>2045</v>
      </c>
      <c r="M327" t="s">
        <v>2063</v>
      </c>
      <c r="N327" t="s">
        <v>1992</v>
      </c>
      <c r="O327" t="s">
        <v>1992</v>
      </c>
      <c r="P327" t="s">
        <v>1991</v>
      </c>
      <c r="Q327" t="s">
        <v>1992</v>
      </c>
      <c r="R327" t="s">
        <v>1992</v>
      </c>
      <c r="S327" t="s">
        <v>1992</v>
      </c>
      <c r="T327" t="s">
        <v>1992</v>
      </c>
      <c r="U327" t="s">
        <v>1992</v>
      </c>
      <c r="V327" t="s">
        <v>1991</v>
      </c>
      <c r="W327" t="s">
        <v>1991</v>
      </c>
      <c r="X327" t="s">
        <v>1992</v>
      </c>
      <c r="Y327" t="s">
        <v>1991</v>
      </c>
      <c r="Z327" t="s">
        <v>1992</v>
      </c>
      <c r="AA327" t="s">
        <v>1992</v>
      </c>
      <c r="AB327" t="s">
        <v>2275</v>
      </c>
      <c r="AF327" t="s">
        <v>2064</v>
      </c>
      <c r="AG327" t="s">
        <v>1991</v>
      </c>
      <c r="AH327">
        <v>30</v>
      </c>
      <c r="AI327">
        <v>30</v>
      </c>
      <c r="AJ327" t="s">
        <v>2276</v>
      </c>
      <c r="AK327">
        <v>85</v>
      </c>
      <c r="AL327">
        <v>5575</v>
      </c>
      <c r="AM327" t="s">
        <v>2298</v>
      </c>
      <c r="AN327" t="s">
        <v>2066</v>
      </c>
      <c r="AO327" t="s">
        <v>2063</v>
      </c>
      <c r="BF327" t="s">
        <v>1053</v>
      </c>
      <c r="BG327" t="s">
        <v>2067</v>
      </c>
      <c r="BH327" t="s">
        <v>2277</v>
      </c>
      <c r="BI327" t="s">
        <v>1053</v>
      </c>
      <c r="BJ327" t="s">
        <v>2069</v>
      </c>
      <c r="BK327" t="s">
        <v>1053</v>
      </c>
      <c r="BL327" t="s">
        <v>2069</v>
      </c>
      <c r="BM327" t="s">
        <v>276</v>
      </c>
      <c r="BN327" t="s">
        <v>277</v>
      </c>
      <c r="BO327" t="s">
        <v>1053</v>
      </c>
      <c r="BP327" t="s">
        <v>2067</v>
      </c>
      <c r="BQ327" t="s">
        <v>275</v>
      </c>
      <c r="BR327" t="s">
        <v>1053</v>
      </c>
      <c r="BX327" t="str">
        <f>"SMTWTFS 0000-2359"</f>
        <v>SMTWTFS 0000-2359</v>
      </c>
      <c r="BY327" t="str">
        <f>""</f>
        <v/>
      </c>
      <c r="BZ327" t="str">
        <f>""</f>
        <v/>
      </c>
      <c r="CA327" t="str">
        <f>""</f>
        <v/>
      </c>
      <c r="CB327" t="str">
        <f>""</f>
        <v/>
      </c>
      <c r="CC327" t="str">
        <f>""</f>
        <v/>
      </c>
      <c r="CD327" t="str">
        <f>"SMTWTFS 0000-2359"</f>
        <v>SMTWTFS 0000-2359</v>
      </c>
      <c r="CE327" t="str">
        <f>""</f>
        <v/>
      </c>
      <c r="CF327" t="str">
        <f>""</f>
        <v/>
      </c>
      <c r="CG327" t="str">
        <f>""</f>
        <v/>
      </c>
      <c r="CH327" t="str">
        <f>""</f>
        <v/>
      </c>
    </row>
    <row r="328" spans="1:86" x14ac:dyDescent="0.25">
      <c r="A328" t="s">
        <v>2278</v>
      </c>
      <c r="B328" t="s">
        <v>2279</v>
      </c>
      <c r="D328" t="s">
        <v>2089</v>
      </c>
      <c r="E328" t="s">
        <v>2280</v>
      </c>
      <c r="H328" t="s">
        <v>2281</v>
      </c>
      <c r="I328" t="s">
        <v>592</v>
      </c>
      <c r="J328" t="str">
        <f>"06437"</f>
        <v>06437</v>
      </c>
      <c r="K328" t="s">
        <v>1998</v>
      </c>
      <c r="L328" t="s">
        <v>717</v>
      </c>
      <c r="M328" t="s">
        <v>718</v>
      </c>
      <c r="O328" t="s">
        <v>1992</v>
      </c>
      <c r="AF328" t="s">
        <v>2016</v>
      </c>
      <c r="AG328" t="s">
        <v>1991</v>
      </c>
      <c r="AJ328" t="s">
        <v>2090</v>
      </c>
      <c r="AM328" t="s">
        <v>719</v>
      </c>
      <c r="BX328" t="str">
        <f>""</f>
        <v/>
      </c>
      <c r="BY328" t="str">
        <f>""</f>
        <v/>
      </c>
      <c r="BZ328" t="str">
        <f>""</f>
        <v/>
      </c>
      <c r="CA328" t="str">
        <f>""</f>
        <v/>
      </c>
      <c r="CB328" t="str">
        <f>""</f>
        <v/>
      </c>
      <c r="CC328" t="str">
        <f>""</f>
        <v/>
      </c>
      <c r="CD328" t="str">
        <f>""</f>
        <v/>
      </c>
      <c r="CE328" t="str">
        <f>""</f>
        <v/>
      </c>
      <c r="CF328" t="str">
        <f>""</f>
        <v/>
      </c>
      <c r="CG328" t="str">
        <f>""</f>
        <v/>
      </c>
      <c r="CH328" t="str">
        <f>""</f>
        <v/>
      </c>
    </row>
    <row r="329" spans="1:86" x14ac:dyDescent="0.25">
      <c r="A329" t="s">
        <v>2282</v>
      </c>
      <c r="B329" t="s">
        <v>2283</v>
      </c>
      <c r="C329" t="s">
        <v>1992</v>
      </c>
      <c r="D329" t="s">
        <v>2331</v>
      </c>
      <c r="E329" t="s">
        <v>5205</v>
      </c>
      <c r="F329" t="s">
        <v>5206</v>
      </c>
      <c r="H329" t="s">
        <v>5207</v>
      </c>
      <c r="I329" t="s">
        <v>2095</v>
      </c>
      <c r="J329" t="str">
        <f>"73044-3150"</f>
        <v>73044-3150</v>
      </c>
      <c r="K329" t="s">
        <v>1998</v>
      </c>
      <c r="L329" t="s">
        <v>1999</v>
      </c>
      <c r="M329" t="s">
        <v>2063</v>
      </c>
      <c r="N329" t="s">
        <v>1992</v>
      </c>
      <c r="O329" t="s">
        <v>1992</v>
      </c>
      <c r="Q329" t="s">
        <v>1992</v>
      </c>
      <c r="R329" t="s">
        <v>1992</v>
      </c>
      <c r="S329" t="s">
        <v>1992</v>
      </c>
      <c r="T329" t="s">
        <v>1992</v>
      </c>
      <c r="U329" t="s">
        <v>1992</v>
      </c>
      <c r="V329" t="s">
        <v>1991</v>
      </c>
      <c r="W329" t="s">
        <v>1991</v>
      </c>
      <c r="AF329" t="s">
        <v>2001</v>
      </c>
      <c r="AG329" t="s">
        <v>1991</v>
      </c>
      <c r="AH329">
        <v>15</v>
      </c>
      <c r="AI329">
        <v>15</v>
      </c>
      <c r="AJ329" t="s">
        <v>5208</v>
      </c>
      <c r="AK329">
        <v>946</v>
      </c>
      <c r="AM329" t="s">
        <v>5209</v>
      </c>
      <c r="BX329" t="str">
        <f>""</f>
        <v/>
      </c>
      <c r="BY329" t="str">
        <f>""</f>
        <v/>
      </c>
      <c r="BZ329" t="str">
        <f>""</f>
        <v/>
      </c>
      <c r="CA329" t="str">
        <f>""</f>
        <v/>
      </c>
      <c r="CB329" t="str">
        <f>""</f>
        <v/>
      </c>
      <c r="CC329" t="str">
        <f>""</f>
        <v/>
      </c>
      <c r="CD329" t="str">
        <f>""</f>
        <v/>
      </c>
      <c r="CE329" t="str">
        <f>""</f>
        <v/>
      </c>
      <c r="CF329" t="str">
        <f>""</f>
        <v/>
      </c>
      <c r="CG329" t="str">
        <f>""</f>
        <v/>
      </c>
      <c r="CH329" t="str">
        <f>""</f>
        <v/>
      </c>
    </row>
    <row r="330" spans="1:86" x14ac:dyDescent="0.25">
      <c r="A330" t="s">
        <v>5210</v>
      </c>
      <c r="B330" t="s">
        <v>5211</v>
      </c>
      <c r="C330" t="s">
        <v>1992</v>
      </c>
      <c r="D330" t="s">
        <v>2028</v>
      </c>
      <c r="E330" t="s">
        <v>5212</v>
      </c>
      <c r="H330" t="s">
        <v>5213</v>
      </c>
      <c r="I330" t="s">
        <v>2061</v>
      </c>
      <c r="J330" t="str">
        <f>"93433-1968"</f>
        <v>93433-1968</v>
      </c>
      <c r="K330" t="s">
        <v>1998</v>
      </c>
      <c r="L330" t="s">
        <v>2045</v>
      </c>
      <c r="M330" t="s">
        <v>2000</v>
      </c>
      <c r="N330" t="s">
        <v>1992</v>
      </c>
      <c r="O330" t="s">
        <v>1992</v>
      </c>
      <c r="P330" t="s">
        <v>1991</v>
      </c>
      <c r="Q330" t="s">
        <v>1992</v>
      </c>
      <c r="R330" t="s">
        <v>1992</v>
      </c>
      <c r="S330" t="s">
        <v>1992</v>
      </c>
      <c r="T330" t="s">
        <v>1992</v>
      </c>
      <c r="U330" t="s">
        <v>1992</v>
      </c>
      <c r="V330" t="s">
        <v>1991</v>
      </c>
      <c r="W330" t="s">
        <v>1991</v>
      </c>
      <c r="X330" t="s">
        <v>1992</v>
      </c>
      <c r="Y330" t="s">
        <v>1991</v>
      </c>
      <c r="Z330" t="s">
        <v>1992</v>
      </c>
      <c r="AA330" t="s">
        <v>1992</v>
      </c>
      <c r="AF330" t="s">
        <v>2064</v>
      </c>
      <c r="AG330" t="s">
        <v>1991</v>
      </c>
      <c r="AH330">
        <v>30</v>
      </c>
      <c r="AI330">
        <v>30</v>
      </c>
      <c r="AJ330" t="s">
        <v>5214</v>
      </c>
      <c r="AK330">
        <v>16</v>
      </c>
      <c r="AL330">
        <v>12500</v>
      </c>
      <c r="AM330" t="s">
        <v>5215</v>
      </c>
      <c r="AN330" t="s">
        <v>2066</v>
      </c>
      <c r="AO330" t="s">
        <v>2063</v>
      </c>
      <c r="BF330" t="s">
        <v>1053</v>
      </c>
      <c r="BG330" t="s">
        <v>2067</v>
      </c>
      <c r="BH330" t="s">
        <v>275</v>
      </c>
      <c r="BI330" t="s">
        <v>1053</v>
      </c>
      <c r="BJ330" t="s">
        <v>2069</v>
      </c>
      <c r="BK330" t="s">
        <v>1053</v>
      </c>
      <c r="BL330" t="s">
        <v>2069</v>
      </c>
      <c r="BM330" t="s">
        <v>852</v>
      </c>
      <c r="BN330" t="s">
        <v>277</v>
      </c>
      <c r="BO330" t="s">
        <v>1053</v>
      </c>
      <c r="BP330" t="s">
        <v>2067</v>
      </c>
      <c r="BQ330" t="s">
        <v>275</v>
      </c>
      <c r="BR330" t="s">
        <v>1053</v>
      </c>
      <c r="BX330" t="str">
        <f>""</f>
        <v/>
      </c>
      <c r="BY330" t="str">
        <f>""</f>
        <v/>
      </c>
      <c r="BZ330" t="str">
        <f>""</f>
        <v/>
      </c>
      <c r="CA330" t="str">
        <f>""</f>
        <v/>
      </c>
      <c r="CB330" t="str">
        <f>""</f>
        <v/>
      </c>
      <c r="CC330" t="str">
        <f>""</f>
        <v/>
      </c>
      <c r="CD330" t="str">
        <f>"SMTWTFS 0000-2359"</f>
        <v>SMTWTFS 0000-2359</v>
      </c>
      <c r="CE330" t="str">
        <f>""</f>
        <v/>
      </c>
      <c r="CF330" t="str">
        <f>""</f>
        <v/>
      </c>
      <c r="CG330" t="str">
        <f>""</f>
        <v/>
      </c>
      <c r="CH330" t="str">
        <f>""</f>
        <v/>
      </c>
    </row>
    <row r="331" spans="1:86" x14ac:dyDescent="0.25">
      <c r="A331" t="s">
        <v>5216</v>
      </c>
      <c r="B331" t="s">
        <v>5217</v>
      </c>
      <c r="C331" t="s">
        <v>1992</v>
      </c>
      <c r="D331" t="s">
        <v>1993</v>
      </c>
      <c r="E331" t="s">
        <v>5218</v>
      </c>
      <c r="F331" t="s">
        <v>5219</v>
      </c>
      <c r="H331" t="s">
        <v>5220</v>
      </c>
      <c r="I331" t="s">
        <v>401</v>
      </c>
      <c r="J331" t="str">
        <f>"83530"</f>
        <v>83530</v>
      </c>
      <c r="K331" t="s">
        <v>1998</v>
      </c>
      <c r="L331" t="s">
        <v>231</v>
      </c>
      <c r="M331" t="s">
        <v>2063</v>
      </c>
      <c r="N331" t="s">
        <v>1992</v>
      </c>
      <c r="O331" t="s">
        <v>1992</v>
      </c>
      <c r="P331" t="s">
        <v>1992</v>
      </c>
      <c r="Q331" t="s">
        <v>1992</v>
      </c>
      <c r="R331" t="s">
        <v>1992</v>
      </c>
      <c r="S331" t="s">
        <v>1992</v>
      </c>
      <c r="T331" t="s">
        <v>1992</v>
      </c>
      <c r="U331" t="s">
        <v>1992</v>
      </c>
      <c r="V331" t="s">
        <v>1991</v>
      </c>
      <c r="W331" t="s">
        <v>1992</v>
      </c>
      <c r="X331" t="s">
        <v>1992</v>
      </c>
      <c r="Y331" t="s">
        <v>1992</v>
      </c>
      <c r="Z331" t="s">
        <v>1991</v>
      </c>
      <c r="AE331" t="s">
        <v>5221</v>
      </c>
      <c r="AF331" t="s">
        <v>2064</v>
      </c>
      <c r="AG331" t="s">
        <v>1991</v>
      </c>
      <c r="AH331">
        <v>30</v>
      </c>
      <c r="AI331">
        <v>30</v>
      </c>
      <c r="AJ331" t="s">
        <v>5222</v>
      </c>
      <c r="AK331">
        <v>3381</v>
      </c>
      <c r="AL331">
        <v>3200</v>
      </c>
      <c r="AM331" t="s">
        <v>2298</v>
      </c>
      <c r="AN331" t="s">
        <v>5223</v>
      </c>
      <c r="AO331" t="s">
        <v>1053</v>
      </c>
      <c r="BF331" t="s">
        <v>1053</v>
      </c>
      <c r="BG331" t="s">
        <v>5224</v>
      </c>
      <c r="BH331" t="s">
        <v>2055</v>
      </c>
      <c r="BI331" t="s">
        <v>1053</v>
      </c>
      <c r="BX331" t="str">
        <f>""</f>
        <v/>
      </c>
      <c r="BY331" t="str">
        <f>""</f>
        <v/>
      </c>
      <c r="BZ331" t="str">
        <f>""</f>
        <v/>
      </c>
      <c r="CA331" t="str">
        <f>""</f>
        <v/>
      </c>
      <c r="CB331" t="str">
        <f>""</f>
        <v/>
      </c>
      <c r="CC331" t="str">
        <f>""</f>
        <v/>
      </c>
      <c r="CD331" t="str">
        <f>""</f>
        <v/>
      </c>
      <c r="CE331" t="str">
        <f>""</f>
        <v/>
      </c>
      <c r="CF331" t="str">
        <f>""</f>
        <v/>
      </c>
      <c r="CG331" t="str">
        <f>""</f>
        <v/>
      </c>
      <c r="CH331" t="str">
        <f>""</f>
        <v/>
      </c>
    </row>
    <row r="332" spans="1:86" x14ac:dyDescent="0.25">
      <c r="A332" t="s">
        <v>5225</v>
      </c>
      <c r="B332" t="s">
        <v>5226</v>
      </c>
      <c r="C332" t="s">
        <v>1992</v>
      </c>
      <c r="D332" t="s">
        <v>2010</v>
      </c>
      <c r="E332" t="s">
        <v>5227</v>
      </c>
      <c r="H332" t="s">
        <v>5228</v>
      </c>
      <c r="I332" t="s">
        <v>779</v>
      </c>
      <c r="J332" t="str">
        <f>"38930"</f>
        <v>38930</v>
      </c>
      <c r="K332" t="s">
        <v>1998</v>
      </c>
      <c r="L332" t="s">
        <v>1999</v>
      </c>
      <c r="M332" t="s">
        <v>2000</v>
      </c>
      <c r="N332" t="s">
        <v>1992</v>
      </c>
      <c r="O332" t="s">
        <v>1992</v>
      </c>
      <c r="P332" t="s">
        <v>1992</v>
      </c>
      <c r="Q332" t="s">
        <v>1992</v>
      </c>
      <c r="R332" t="s">
        <v>1992</v>
      </c>
      <c r="S332" t="s">
        <v>1992</v>
      </c>
      <c r="T332" t="s">
        <v>1992</v>
      </c>
      <c r="U332" t="s">
        <v>1992</v>
      </c>
      <c r="V332" t="s">
        <v>1991</v>
      </c>
      <c r="W332" t="s">
        <v>1991</v>
      </c>
      <c r="X332" t="s">
        <v>1992</v>
      </c>
      <c r="Y332" t="s">
        <v>1992</v>
      </c>
      <c r="Z332" t="s">
        <v>1992</v>
      </c>
      <c r="AF332" t="s">
        <v>2001</v>
      </c>
      <c r="AG332" t="s">
        <v>1991</v>
      </c>
      <c r="AH332">
        <v>30</v>
      </c>
      <c r="AI332">
        <v>30</v>
      </c>
      <c r="AJ332" t="s">
        <v>5229</v>
      </c>
      <c r="AK332">
        <v>133</v>
      </c>
      <c r="AL332">
        <v>17590</v>
      </c>
      <c r="AM332" t="s">
        <v>5230</v>
      </c>
      <c r="AN332" t="s">
        <v>2066</v>
      </c>
      <c r="AO332" t="s">
        <v>2063</v>
      </c>
      <c r="BF332" t="s">
        <v>1053</v>
      </c>
      <c r="BG332" t="s">
        <v>2548</v>
      </c>
      <c r="BH332" t="s">
        <v>5231</v>
      </c>
      <c r="BI332" t="s">
        <v>1053</v>
      </c>
      <c r="BJ332" t="s">
        <v>1053</v>
      </c>
      <c r="BK332" t="s">
        <v>1053</v>
      </c>
      <c r="BL332" t="s">
        <v>1053</v>
      </c>
      <c r="BM332" t="s">
        <v>5232</v>
      </c>
      <c r="BN332" t="s">
        <v>2374</v>
      </c>
      <c r="BO332" t="s">
        <v>1053</v>
      </c>
      <c r="BP332" t="s">
        <v>2375</v>
      </c>
      <c r="BQ332" t="s">
        <v>2523</v>
      </c>
      <c r="BR332" t="s">
        <v>1053</v>
      </c>
      <c r="BS332" t="s">
        <v>1053</v>
      </c>
      <c r="BT332" t="s">
        <v>1053</v>
      </c>
      <c r="BU332" t="s">
        <v>1053</v>
      </c>
      <c r="BV332" t="s">
        <v>987</v>
      </c>
      <c r="BX332" t="str">
        <f>"SMTWTFS 0830-0930 1900-2000"</f>
        <v>SMTWTFS 0830-0930 1900-2000</v>
      </c>
      <c r="BY332" t="str">
        <f>""</f>
        <v/>
      </c>
      <c r="BZ332" t="str">
        <f>""</f>
        <v/>
      </c>
      <c r="CA332" t="str">
        <f>""</f>
        <v/>
      </c>
      <c r="CB332" t="str">
        <f>""</f>
        <v/>
      </c>
      <c r="CC332" t="str">
        <f>""</f>
        <v/>
      </c>
      <c r="CD332" t="str">
        <f>""</f>
        <v/>
      </c>
      <c r="CE332" t="str">
        <f>""</f>
        <v/>
      </c>
      <c r="CF332" t="str">
        <f>""</f>
        <v/>
      </c>
      <c r="CG332" t="str">
        <f>""</f>
        <v/>
      </c>
      <c r="CH332" t="str">
        <f>""</f>
        <v/>
      </c>
    </row>
    <row r="333" spans="1:86" x14ac:dyDescent="0.25">
      <c r="A333" t="s">
        <v>5233</v>
      </c>
      <c r="B333" t="s">
        <v>5234</v>
      </c>
      <c r="D333" t="s">
        <v>2089</v>
      </c>
      <c r="E333" t="s">
        <v>5235</v>
      </c>
      <c r="F333" t="s">
        <v>497</v>
      </c>
      <c r="H333" t="s">
        <v>454</v>
      </c>
      <c r="I333" t="s">
        <v>2014</v>
      </c>
      <c r="J333" t="str">
        <f>"21227"</f>
        <v>21227</v>
      </c>
      <c r="K333" t="s">
        <v>1998</v>
      </c>
      <c r="L333" t="s">
        <v>499</v>
      </c>
      <c r="M333" t="s">
        <v>500</v>
      </c>
      <c r="O333" t="s">
        <v>1991</v>
      </c>
      <c r="AF333" t="s">
        <v>2016</v>
      </c>
      <c r="AG333" t="s">
        <v>1991</v>
      </c>
      <c r="AJ333" t="s">
        <v>2090</v>
      </c>
      <c r="AM333" t="s">
        <v>501</v>
      </c>
      <c r="BX333" t="str">
        <f>""</f>
        <v/>
      </c>
      <c r="BY333" t="str">
        <f>""</f>
        <v/>
      </c>
      <c r="BZ333" t="str">
        <f>""</f>
        <v/>
      </c>
      <c r="CA333" t="str">
        <f>""</f>
        <v/>
      </c>
      <c r="CB333" t="str">
        <f>""</f>
        <v/>
      </c>
      <c r="CC333" t="str">
        <f>""</f>
        <v/>
      </c>
      <c r="CD333" t="str">
        <f>""</f>
        <v/>
      </c>
      <c r="CE333" t="str">
        <f>""</f>
        <v/>
      </c>
      <c r="CF333" t="str">
        <f>""</f>
        <v/>
      </c>
      <c r="CG333" t="str">
        <f>""</f>
        <v/>
      </c>
      <c r="CH333" t="str">
        <f>""</f>
        <v/>
      </c>
    </row>
    <row r="334" spans="1:86" x14ac:dyDescent="0.25">
      <c r="A334" t="s">
        <v>5236</v>
      </c>
      <c r="B334" t="s">
        <v>5237</v>
      </c>
      <c r="C334" t="s">
        <v>1992</v>
      </c>
      <c r="D334" t="s">
        <v>1993</v>
      </c>
      <c r="E334" t="s">
        <v>5238</v>
      </c>
      <c r="F334" t="s">
        <v>5239</v>
      </c>
      <c r="H334" t="s">
        <v>5240</v>
      </c>
      <c r="I334" t="s">
        <v>2014</v>
      </c>
      <c r="J334" t="str">
        <f>"21740-1414"</f>
        <v>21740-1414</v>
      </c>
      <c r="K334" t="s">
        <v>1998</v>
      </c>
      <c r="L334" t="s">
        <v>2015</v>
      </c>
      <c r="M334" t="s">
        <v>2000</v>
      </c>
      <c r="N334" t="s">
        <v>1992</v>
      </c>
      <c r="O334" t="s">
        <v>1992</v>
      </c>
      <c r="P334" t="s">
        <v>1992</v>
      </c>
      <c r="Q334" t="s">
        <v>1992</v>
      </c>
      <c r="R334" t="s">
        <v>1992</v>
      </c>
      <c r="S334" t="s">
        <v>1992</v>
      </c>
      <c r="T334" t="s">
        <v>1992</v>
      </c>
      <c r="U334" t="s">
        <v>1992</v>
      </c>
      <c r="V334" t="s">
        <v>1991</v>
      </c>
      <c r="W334" t="s">
        <v>1992</v>
      </c>
      <c r="X334" t="s">
        <v>1992</v>
      </c>
      <c r="Y334" t="s">
        <v>1992</v>
      </c>
      <c r="Z334" t="s">
        <v>1991</v>
      </c>
      <c r="AF334" t="s">
        <v>2016</v>
      </c>
      <c r="AG334" t="s">
        <v>1991</v>
      </c>
      <c r="AH334">
        <v>15</v>
      </c>
      <c r="AI334">
        <v>15</v>
      </c>
      <c r="AJ334" t="s">
        <v>5241</v>
      </c>
      <c r="AK334">
        <v>510</v>
      </c>
      <c r="BX334" t="str">
        <f>""</f>
        <v/>
      </c>
      <c r="BY334" t="str">
        <f>""</f>
        <v/>
      </c>
      <c r="BZ334" t="str">
        <f>""</f>
        <v/>
      </c>
      <c r="CA334" t="str">
        <f>""</f>
        <v/>
      </c>
      <c r="CB334" t="str">
        <f>""</f>
        <v/>
      </c>
      <c r="CC334" t="str">
        <f>""</f>
        <v/>
      </c>
      <c r="CD334" t="str">
        <f>""</f>
        <v/>
      </c>
      <c r="CE334" t="str">
        <f>""</f>
        <v/>
      </c>
      <c r="CF334" t="str">
        <f>""</f>
        <v/>
      </c>
      <c r="CG334" t="str">
        <f>""</f>
        <v/>
      </c>
      <c r="CH334" t="str">
        <f>""</f>
        <v/>
      </c>
    </row>
    <row r="335" spans="1:86" x14ac:dyDescent="0.25">
      <c r="A335" t="s">
        <v>5242</v>
      </c>
      <c r="B335" t="s">
        <v>5243</v>
      </c>
      <c r="C335" t="s">
        <v>1992</v>
      </c>
      <c r="D335" t="s">
        <v>2010</v>
      </c>
      <c r="E335" t="s">
        <v>5244</v>
      </c>
      <c r="F335" t="s">
        <v>5245</v>
      </c>
      <c r="H335" t="s">
        <v>5246</v>
      </c>
      <c r="I335" t="s">
        <v>700</v>
      </c>
      <c r="J335" t="str">
        <f>"28345"</f>
        <v>28345</v>
      </c>
      <c r="K335" t="s">
        <v>1998</v>
      </c>
      <c r="L335" t="s">
        <v>408</v>
      </c>
      <c r="M335" t="s">
        <v>2000</v>
      </c>
      <c r="N335" t="s">
        <v>1992</v>
      </c>
      <c r="O335" t="s">
        <v>1991</v>
      </c>
      <c r="P335" t="s">
        <v>1992</v>
      </c>
      <c r="Q335" t="s">
        <v>1992</v>
      </c>
      <c r="R335" t="s">
        <v>1992</v>
      </c>
      <c r="S335" t="s">
        <v>1992</v>
      </c>
      <c r="T335" t="s">
        <v>1992</v>
      </c>
      <c r="U335" t="s">
        <v>1992</v>
      </c>
      <c r="V335" t="s">
        <v>1991</v>
      </c>
      <c r="W335" t="s">
        <v>1991</v>
      </c>
      <c r="X335" t="s">
        <v>1992</v>
      </c>
      <c r="Y335" t="s">
        <v>1992</v>
      </c>
      <c r="Z335" t="s">
        <v>1992</v>
      </c>
      <c r="AF335" t="s">
        <v>2016</v>
      </c>
      <c r="AG335" t="s">
        <v>1991</v>
      </c>
      <c r="AH335">
        <v>30</v>
      </c>
      <c r="AI335">
        <v>30</v>
      </c>
      <c r="AJ335" t="s">
        <v>5247</v>
      </c>
      <c r="AK335">
        <v>310</v>
      </c>
      <c r="AL335">
        <v>6900</v>
      </c>
      <c r="AN335" t="s">
        <v>5248</v>
      </c>
      <c r="AU335" t="s">
        <v>916</v>
      </c>
      <c r="BF335" t="s">
        <v>1053</v>
      </c>
      <c r="BG335" t="s">
        <v>703</v>
      </c>
      <c r="BH335" t="s">
        <v>704</v>
      </c>
      <c r="BI335" t="s">
        <v>1053</v>
      </c>
      <c r="BJ335" t="s">
        <v>1053</v>
      </c>
      <c r="BK335" t="s">
        <v>1053</v>
      </c>
      <c r="BL335" t="s">
        <v>1053</v>
      </c>
      <c r="BM335" t="s">
        <v>705</v>
      </c>
      <c r="BO335" t="s">
        <v>1053</v>
      </c>
      <c r="BP335" t="s">
        <v>2375</v>
      </c>
      <c r="BQ335" t="s">
        <v>427</v>
      </c>
      <c r="BR335" t="s">
        <v>1053</v>
      </c>
      <c r="BS335" t="s">
        <v>1053</v>
      </c>
      <c r="BT335" t="s">
        <v>1053</v>
      </c>
      <c r="BU335" t="s">
        <v>1053</v>
      </c>
      <c r="BV335" t="s">
        <v>416</v>
      </c>
      <c r="BW335" t="s">
        <v>417</v>
      </c>
      <c r="BX335" t="str">
        <f>"SMTWTFS 0000-0030 0530-0700 2230-2359"</f>
        <v>SMTWTFS 0000-0030 0530-0700 2230-2359</v>
      </c>
      <c r="BY335" t="str">
        <f>""</f>
        <v/>
      </c>
      <c r="BZ335" t="str">
        <f>""</f>
        <v/>
      </c>
      <c r="CA335" t="str">
        <f>""</f>
        <v/>
      </c>
      <c r="CB335" t="str">
        <f>""</f>
        <v/>
      </c>
      <c r="CC335" t="str">
        <f>"SMTWTFS 0000-0030 0530-0700 2230-2359"</f>
        <v>SMTWTFS 0000-0030 0530-0700 2230-2359</v>
      </c>
      <c r="CD335" t="str">
        <f>""</f>
        <v/>
      </c>
      <c r="CE335" t="str">
        <f>""</f>
        <v/>
      </c>
      <c r="CF335" t="str">
        <f>""</f>
        <v/>
      </c>
      <c r="CG335" t="str">
        <f>""</f>
        <v/>
      </c>
      <c r="CH335" t="str">
        <f>""</f>
        <v/>
      </c>
    </row>
    <row r="336" spans="1:86" x14ac:dyDescent="0.25">
      <c r="A336" t="s">
        <v>5249</v>
      </c>
      <c r="B336" t="s">
        <v>3641</v>
      </c>
      <c r="C336" t="s">
        <v>1991</v>
      </c>
      <c r="D336" t="s">
        <v>2010</v>
      </c>
      <c r="E336" t="s">
        <v>5250</v>
      </c>
      <c r="H336" t="s">
        <v>5251</v>
      </c>
      <c r="I336" t="s">
        <v>2388</v>
      </c>
      <c r="J336" t="str">
        <f>"17101"</f>
        <v>17101</v>
      </c>
      <c r="K336" t="s">
        <v>1998</v>
      </c>
      <c r="L336" t="s">
        <v>2015</v>
      </c>
      <c r="M336" t="s">
        <v>5252</v>
      </c>
      <c r="N336" t="s">
        <v>1991</v>
      </c>
      <c r="O336" t="s">
        <v>1991</v>
      </c>
      <c r="P336" t="s">
        <v>1992</v>
      </c>
      <c r="Q336" t="s">
        <v>1992</v>
      </c>
      <c r="R336" t="s">
        <v>1992</v>
      </c>
      <c r="S336" t="s">
        <v>1992</v>
      </c>
      <c r="T336" t="s">
        <v>1992</v>
      </c>
      <c r="U336" t="s">
        <v>1991</v>
      </c>
      <c r="V336" t="s">
        <v>1991</v>
      </c>
      <c r="W336" t="s">
        <v>1991</v>
      </c>
      <c r="X336" t="s">
        <v>1991</v>
      </c>
      <c r="Y336" t="s">
        <v>1992</v>
      </c>
      <c r="Z336" t="s">
        <v>1992</v>
      </c>
      <c r="AE336" t="s">
        <v>2047</v>
      </c>
      <c r="AF336" t="s">
        <v>2016</v>
      </c>
      <c r="AG336" t="s">
        <v>1991</v>
      </c>
      <c r="AH336">
        <v>60</v>
      </c>
      <c r="AI336">
        <v>30</v>
      </c>
      <c r="AJ336" t="s">
        <v>5253</v>
      </c>
      <c r="AK336">
        <v>320</v>
      </c>
      <c r="AL336">
        <v>47164</v>
      </c>
      <c r="AN336" t="s">
        <v>1053</v>
      </c>
      <c r="AO336" t="s">
        <v>1053</v>
      </c>
      <c r="AP336" t="s">
        <v>1053</v>
      </c>
      <c r="AQ336" t="s">
        <v>1053</v>
      </c>
      <c r="AR336" t="s">
        <v>1053</v>
      </c>
      <c r="AS336" t="s">
        <v>5249</v>
      </c>
      <c r="AT336" t="s">
        <v>3643</v>
      </c>
      <c r="AU336" t="s">
        <v>1053</v>
      </c>
      <c r="AV336" t="s">
        <v>1053</v>
      </c>
      <c r="AW336" t="s">
        <v>1053</v>
      </c>
      <c r="AX336" t="s">
        <v>1053</v>
      </c>
      <c r="AY336" t="s">
        <v>1053</v>
      </c>
      <c r="AZ336" t="s">
        <v>5249</v>
      </c>
      <c r="BA336" t="s">
        <v>3643</v>
      </c>
      <c r="BB336" t="s">
        <v>1053</v>
      </c>
      <c r="BC336" t="s">
        <v>1053</v>
      </c>
      <c r="BD336" t="s">
        <v>1053</v>
      </c>
      <c r="BE336" t="s">
        <v>1053</v>
      </c>
      <c r="BF336" t="s">
        <v>1053</v>
      </c>
      <c r="BG336" t="s">
        <v>2393</v>
      </c>
      <c r="BH336" t="s">
        <v>1395</v>
      </c>
      <c r="BI336" t="s">
        <v>1053</v>
      </c>
      <c r="BJ336" t="s">
        <v>1053</v>
      </c>
      <c r="BK336" t="s">
        <v>1053</v>
      </c>
      <c r="BL336" t="s">
        <v>1053</v>
      </c>
      <c r="BM336" t="s">
        <v>3642</v>
      </c>
      <c r="BN336" t="s">
        <v>3643</v>
      </c>
      <c r="BO336" t="s">
        <v>1053</v>
      </c>
      <c r="BP336" t="s">
        <v>653</v>
      </c>
      <c r="BQ336" t="s">
        <v>318</v>
      </c>
      <c r="BR336" t="s">
        <v>1053</v>
      </c>
      <c r="BS336" t="s">
        <v>1053</v>
      </c>
      <c r="BT336" t="s">
        <v>1053</v>
      </c>
      <c r="BU336" t="s">
        <v>1053</v>
      </c>
      <c r="BV336" t="s">
        <v>319</v>
      </c>
      <c r="BW336" t="s">
        <v>226</v>
      </c>
      <c r="BX336" t="str">
        <f>"S-----S 0630-2345; -MTWTF- 0000-0100 0430-2359"</f>
        <v>S-----S 0630-2345; -MTWTF- 0000-0100 0430-2359</v>
      </c>
      <c r="BY336" t="str">
        <f>""</f>
        <v/>
      </c>
      <c r="BZ336" t="str">
        <f>"S------ 0630-2030; -MTWTF- 0430-2359; ------S 0630-1915"</f>
        <v>S------ 0630-2030; -MTWTF- 0430-2359; ------S 0630-1915</v>
      </c>
      <c r="CA336" t="str">
        <f>"S------ 0630-2030; -MTWTF- 0600-2030; ------S 0630-1915"</f>
        <v>S------ 0630-2030; -MTWTF- 0600-2030; ------S 0630-1915</v>
      </c>
      <c r="CB336" t="str">
        <f>""</f>
        <v/>
      </c>
      <c r="CC336" t="str">
        <f>"S-----S 0615-2300; -MTWTF- 0430-2359"</f>
        <v>S-----S 0615-2300; -MTWTF- 0430-2359</v>
      </c>
      <c r="CD336" t="str">
        <f>""</f>
        <v/>
      </c>
      <c r="CE336" t="str">
        <f>""</f>
        <v/>
      </c>
      <c r="CF336" t="str">
        <f>""</f>
        <v/>
      </c>
      <c r="CG336" t="str">
        <f>""</f>
        <v/>
      </c>
      <c r="CH336" t="str">
        <f>""</f>
        <v/>
      </c>
    </row>
    <row r="337" spans="1:86" x14ac:dyDescent="0.25">
      <c r="A337" t="s">
        <v>5254</v>
      </c>
      <c r="B337" t="s">
        <v>5255</v>
      </c>
      <c r="C337" t="s">
        <v>1991</v>
      </c>
      <c r="D337" t="s">
        <v>2010</v>
      </c>
      <c r="E337" t="s">
        <v>5256</v>
      </c>
      <c r="H337" t="s">
        <v>5257</v>
      </c>
      <c r="I337" t="s">
        <v>5258</v>
      </c>
      <c r="J337" t="str">
        <f>"68901"</f>
        <v>68901</v>
      </c>
      <c r="K337" t="s">
        <v>1998</v>
      </c>
      <c r="L337" t="s">
        <v>1999</v>
      </c>
      <c r="M337" t="s">
        <v>5259</v>
      </c>
      <c r="N337" t="s">
        <v>1991</v>
      </c>
      <c r="O337" t="s">
        <v>1992</v>
      </c>
      <c r="P337" t="s">
        <v>1992</v>
      </c>
      <c r="Q337" t="s">
        <v>1991</v>
      </c>
      <c r="R337" t="s">
        <v>1991</v>
      </c>
      <c r="S337" t="s">
        <v>1992</v>
      </c>
      <c r="T337" t="s">
        <v>1992</v>
      </c>
      <c r="U337" t="s">
        <v>1992</v>
      </c>
      <c r="V337" t="s">
        <v>1991</v>
      </c>
      <c r="W337" t="s">
        <v>1991</v>
      </c>
      <c r="X337" t="s">
        <v>1992</v>
      </c>
      <c r="Y337" t="s">
        <v>1992</v>
      </c>
      <c r="Z337" t="s">
        <v>1992</v>
      </c>
      <c r="AA337" t="s">
        <v>1992</v>
      </c>
      <c r="AE337" t="s">
        <v>2047</v>
      </c>
      <c r="AF337" t="s">
        <v>2001</v>
      </c>
      <c r="AG337" t="s">
        <v>1991</v>
      </c>
      <c r="AH337">
        <v>60</v>
      </c>
      <c r="AI337">
        <v>30</v>
      </c>
      <c r="AJ337" t="s">
        <v>5260</v>
      </c>
      <c r="AK337">
        <v>1927</v>
      </c>
      <c r="AL337">
        <v>24000</v>
      </c>
      <c r="AN337" t="s">
        <v>1053</v>
      </c>
      <c r="AO337" t="s">
        <v>1053</v>
      </c>
      <c r="AP337" t="s">
        <v>2069</v>
      </c>
      <c r="AQ337" t="s">
        <v>1053</v>
      </c>
      <c r="AR337" t="s">
        <v>2069</v>
      </c>
      <c r="AS337" t="s">
        <v>5254</v>
      </c>
      <c r="AT337" t="s">
        <v>5261</v>
      </c>
      <c r="AU337" t="s">
        <v>1053</v>
      </c>
      <c r="AV337" t="s">
        <v>1053</v>
      </c>
      <c r="AW337" t="s">
        <v>2069</v>
      </c>
      <c r="AX337" t="s">
        <v>1053</v>
      </c>
      <c r="AY337" t="s">
        <v>2069</v>
      </c>
      <c r="AZ337" t="s">
        <v>5254</v>
      </c>
      <c r="BA337" t="s">
        <v>5261</v>
      </c>
      <c r="BB337" t="s">
        <v>1053</v>
      </c>
      <c r="BC337" t="s">
        <v>2069</v>
      </c>
      <c r="BD337" t="s">
        <v>1053</v>
      </c>
      <c r="BE337" t="s">
        <v>2069</v>
      </c>
      <c r="BF337" t="s">
        <v>1053</v>
      </c>
      <c r="BG337" t="s">
        <v>2097</v>
      </c>
      <c r="BH337" t="s">
        <v>798</v>
      </c>
      <c r="BI337" t="s">
        <v>1053</v>
      </c>
      <c r="BK337" t="s">
        <v>1053</v>
      </c>
      <c r="BL337" t="s">
        <v>1053</v>
      </c>
      <c r="BO337" t="s">
        <v>1053</v>
      </c>
      <c r="BP337" t="s">
        <v>653</v>
      </c>
      <c r="BQ337" t="s">
        <v>2376</v>
      </c>
      <c r="BR337" t="s">
        <v>1053</v>
      </c>
      <c r="BX337" t="str">
        <f>"SMTWTFS 0000-0700 2330-2359"</f>
        <v>SMTWTFS 0000-0700 2330-2359</v>
      </c>
      <c r="BY337" t="str">
        <f>"SMTWTFS 0000-0700 2330-2359"</f>
        <v>SMTWTFS 0000-0700 2330-2359</v>
      </c>
      <c r="BZ337" t="str">
        <f>"SMTWTFS 0000-0700 2330-2359"</f>
        <v>SMTWTFS 0000-0700 2330-2359</v>
      </c>
      <c r="CA337" t="str">
        <f>"SMTWTFS 0000-0700 2330-2359"</f>
        <v>SMTWTFS 0000-0700 2330-2359</v>
      </c>
      <c r="CB337" t="str">
        <f>""</f>
        <v/>
      </c>
      <c r="CC337" t="str">
        <f>""</f>
        <v/>
      </c>
      <c r="CD337" t="str">
        <f>""</f>
        <v/>
      </c>
      <c r="CE337" t="str">
        <f>""</f>
        <v/>
      </c>
      <c r="CF337" t="str">
        <f>"SMTWTFS 0000-0700 2330-2359"</f>
        <v>SMTWTFS 0000-0700 2330-2359</v>
      </c>
      <c r="CG337" t="str">
        <f>""</f>
        <v/>
      </c>
      <c r="CH337" t="str">
        <f>""</f>
        <v/>
      </c>
    </row>
    <row r="338" spans="1:86" x14ac:dyDescent="0.25">
      <c r="A338" t="s">
        <v>5262</v>
      </c>
      <c r="B338" t="s">
        <v>5263</v>
      </c>
      <c r="C338" t="s">
        <v>1991</v>
      </c>
      <c r="D338" t="s">
        <v>2010</v>
      </c>
      <c r="E338" t="s">
        <v>5264</v>
      </c>
      <c r="H338" t="s">
        <v>5265</v>
      </c>
      <c r="I338" t="s">
        <v>803</v>
      </c>
      <c r="J338" t="str">
        <f>"59501-3599"</f>
        <v>59501-3599</v>
      </c>
      <c r="K338" t="s">
        <v>1998</v>
      </c>
      <c r="L338" t="s">
        <v>231</v>
      </c>
      <c r="M338" t="s">
        <v>5266</v>
      </c>
      <c r="N338" t="s">
        <v>1991</v>
      </c>
      <c r="O338" t="s">
        <v>1992</v>
      </c>
      <c r="P338" t="s">
        <v>1992</v>
      </c>
      <c r="Q338" t="s">
        <v>1991</v>
      </c>
      <c r="R338" t="s">
        <v>1991</v>
      </c>
      <c r="S338" t="s">
        <v>1992</v>
      </c>
      <c r="T338" t="s">
        <v>1992</v>
      </c>
      <c r="U338" t="s">
        <v>1991</v>
      </c>
      <c r="V338" t="s">
        <v>1991</v>
      </c>
      <c r="W338" t="s">
        <v>1991</v>
      </c>
      <c r="X338" t="s">
        <v>1992</v>
      </c>
      <c r="Y338" t="s">
        <v>1992</v>
      </c>
      <c r="Z338" t="s">
        <v>1992</v>
      </c>
      <c r="AA338" t="s">
        <v>1992</v>
      </c>
      <c r="AE338" t="s">
        <v>2047</v>
      </c>
      <c r="AF338" t="s">
        <v>2048</v>
      </c>
      <c r="AG338" t="s">
        <v>1991</v>
      </c>
      <c r="AH338">
        <v>60</v>
      </c>
      <c r="AI338">
        <v>30</v>
      </c>
      <c r="AJ338" t="s">
        <v>5267</v>
      </c>
      <c r="AK338">
        <v>2487</v>
      </c>
      <c r="AL338">
        <v>9621</v>
      </c>
      <c r="AN338" t="s">
        <v>1053</v>
      </c>
      <c r="AO338" t="s">
        <v>1053</v>
      </c>
      <c r="AP338" t="s">
        <v>2069</v>
      </c>
      <c r="AQ338" t="s">
        <v>1053</v>
      </c>
      <c r="AR338" t="s">
        <v>2069</v>
      </c>
      <c r="AS338" t="s">
        <v>5262</v>
      </c>
      <c r="AT338" t="s">
        <v>5268</v>
      </c>
      <c r="AU338" t="s">
        <v>1053</v>
      </c>
      <c r="AV338" t="s">
        <v>1053</v>
      </c>
      <c r="AW338" t="s">
        <v>2069</v>
      </c>
      <c r="AX338" t="s">
        <v>1053</v>
      </c>
      <c r="AY338" t="s">
        <v>2069</v>
      </c>
      <c r="AZ338" t="s">
        <v>5262</v>
      </c>
      <c r="BA338" t="s">
        <v>5268</v>
      </c>
      <c r="BB338" t="s">
        <v>1053</v>
      </c>
      <c r="BC338" t="s">
        <v>2069</v>
      </c>
      <c r="BD338" t="s">
        <v>1053</v>
      </c>
      <c r="BE338" t="s">
        <v>2069</v>
      </c>
      <c r="BF338" t="s">
        <v>1053</v>
      </c>
      <c r="BG338" t="s">
        <v>2019</v>
      </c>
      <c r="BH338" t="s">
        <v>240</v>
      </c>
      <c r="BI338" t="s">
        <v>1053</v>
      </c>
      <c r="BJ338" t="s">
        <v>1053</v>
      </c>
      <c r="BK338" t="s">
        <v>1053</v>
      </c>
      <c r="BM338" t="s">
        <v>241</v>
      </c>
      <c r="BN338" t="s">
        <v>242</v>
      </c>
      <c r="BO338" t="s">
        <v>1053</v>
      </c>
      <c r="BP338" t="s">
        <v>239</v>
      </c>
      <c r="BQ338" t="s">
        <v>240</v>
      </c>
      <c r="BR338" t="s">
        <v>1053</v>
      </c>
      <c r="BS338" t="s">
        <v>1053</v>
      </c>
      <c r="BT338" t="s">
        <v>1053</v>
      </c>
      <c r="BU338" t="s">
        <v>1053</v>
      </c>
      <c r="BV338" t="s">
        <v>241</v>
      </c>
      <c r="BW338" t="s">
        <v>242</v>
      </c>
      <c r="BX338" t="str">
        <f>"SMTWTFS 0900-1630"</f>
        <v>SMTWTFS 0900-1630</v>
      </c>
      <c r="BY338" t="str">
        <f>"SMTWTFS 0900-1630"</f>
        <v>SMTWTFS 0900-1630</v>
      </c>
      <c r="BZ338" t="str">
        <f>"SMTWTFS 0900-1630"</f>
        <v>SMTWTFS 0900-1630</v>
      </c>
      <c r="CA338" t="str">
        <f>"SMTWTFS 0900-1630"</f>
        <v>SMTWTFS 0900-1630</v>
      </c>
      <c r="CB338" t="str">
        <f>""</f>
        <v/>
      </c>
      <c r="CC338" t="str">
        <f>""</f>
        <v/>
      </c>
      <c r="CD338" t="str">
        <f>""</f>
        <v/>
      </c>
      <c r="CE338" t="str">
        <f>""</f>
        <v/>
      </c>
      <c r="CF338" t="str">
        <f>"SMTWTFS 0900-1630"</f>
        <v>SMTWTFS 0900-1630</v>
      </c>
      <c r="CG338" t="str">
        <f>""</f>
        <v/>
      </c>
      <c r="CH338" t="str">
        <f>""</f>
        <v/>
      </c>
    </row>
    <row r="339" spans="1:86" x14ac:dyDescent="0.25">
      <c r="A339" t="s">
        <v>5269</v>
      </c>
      <c r="B339" t="s">
        <v>5270</v>
      </c>
      <c r="C339" t="s">
        <v>1992</v>
      </c>
      <c r="D339" t="s">
        <v>2028</v>
      </c>
      <c r="E339" t="s">
        <v>5271</v>
      </c>
      <c r="H339" t="s">
        <v>5272</v>
      </c>
      <c r="I339" t="s">
        <v>2061</v>
      </c>
      <c r="J339" t="str">
        <f>"94541"</f>
        <v>94541</v>
      </c>
      <c r="K339" t="s">
        <v>1998</v>
      </c>
      <c r="L339" t="s">
        <v>2062</v>
      </c>
      <c r="M339" t="s">
        <v>2063</v>
      </c>
      <c r="N339" t="s">
        <v>1992</v>
      </c>
      <c r="O339" t="s">
        <v>1992</v>
      </c>
      <c r="P339" t="s">
        <v>1992</v>
      </c>
      <c r="Q339" t="s">
        <v>1992</v>
      </c>
      <c r="R339" t="s">
        <v>1992</v>
      </c>
      <c r="S339" t="s">
        <v>1992</v>
      </c>
      <c r="T339" t="s">
        <v>1992</v>
      </c>
      <c r="U339" t="s">
        <v>1992</v>
      </c>
      <c r="V339" t="s">
        <v>1991</v>
      </c>
      <c r="W339" t="s">
        <v>1991</v>
      </c>
      <c r="X339" t="s">
        <v>1992</v>
      </c>
      <c r="Y339" t="s">
        <v>1991</v>
      </c>
      <c r="Z339" t="s">
        <v>1992</v>
      </c>
      <c r="AA339" t="s">
        <v>1991</v>
      </c>
      <c r="AF339" t="s">
        <v>2064</v>
      </c>
      <c r="AG339" t="s">
        <v>1991</v>
      </c>
      <c r="AH339">
        <v>30</v>
      </c>
      <c r="AI339">
        <v>30</v>
      </c>
      <c r="AJ339" t="s">
        <v>5273</v>
      </c>
      <c r="AK339">
        <v>74</v>
      </c>
      <c r="AL339">
        <v>140606</v>
      </c>
      <c r="AN339" t="s">
        <v>2066</v>
      </c>
      <c r="AO339" t="s">
        <v>2063</v>
      </c>
      <c r="BF339" t="s">
        <v>1053</v>
      </c>
      <c r="BG339" t="s">
        <v>2067</v>
      </c>
      <c r="BH339" t="s">
        <v>348</v>
      </c>
      <c r="BI339" t="s">
        <v>1053</v>
      </c>
      <c r="BK339" t="s">
        <v>1053</v>
      </c>
      <c r="BO339" t="s">
        <v>1053</v>
      </c>
      <c r="BP339" t="s">
        <v>675</v>
      </c>
      <c r="BQ339" t="s">
        <v>2073</v>
      </c>
      <c r="BR339" t="s">
        <v>1053</v>
      </c>
      <c r="BS339" t="s">
        <v>1053</v>
      </c>
      <c r="BX339" t="str">
        <f>""</f>
        <v/>
      </c>
      <c r="BY339" t="str">
        <f>""</f>
        <v/>
      </c>
      <c r="BZ339" t="str">
        <f>""</f>
        <v/>
      </c>
      <c r="CA339" t="str">
        <f>""</f>
        <v/>
      </c>
      <c r="CB339" t="str">
        <f>""</f>
        <v/>
      </c>
      <c r="CC339" t="str">
        <f>""</f>
        <v/>
      </c>
      <c r="CD339" t="str">
        <f>""</f>
        <v/>
      </c>
      <c r="CE339" t="str">
        <f>""</f>
        <v/>
      </c>
      <c r="CF339" t="str">
        <f>""</f>
        <v/>
      </c>
      <c r="CG339" t="str">
        <f>""</f>
        <v/>
      </c>
      <c r="CH339" t="str">
        <f>"SMTWTFS 0001-2359"</f>
        <v>SMTWTFS 0001-2359</v>
      </c>
    </row>
    <row r="340" spans="1:86" x14ac:dyDescent="0.25">
      <c r="A340" t="s">
        <v>5274</v>
      </c>
      <c r="B340" t="s">
        <v>5275</v>
      </c>
      <c r="C340" t="s">
        <v>1992</v>
      </c>
      <c r="D340" t="s">
        <v>2028</v>
      </c>
      <c r="E340" t="s">
        <v>5276</v>
      </c>
      <c r="H340" t="s">
        <v>5277</v>
      </c>
      <c r="I340" t="s">
        <v>779</v>
      </c>
      <c r="J340" t="str">
        <f>"39083"</f>
        <v>39083</v>
      </c>
      <c r="K340" t="s">
        <v>1998</v>
      </c>
      <c r="L340" t="s">
        <v>408</v>
      </c>
      <c r="M340" t="s">
        <v>2063</v>
      </c>
      <c r="N340" t="s">
        <v>1992</v>
      </c>
      <c r="O340" t="s">
        <v>1992</v>
      </c>
      <c r="P340" t="s">
        <v>1992</v>
      </c>
      <c r="Q340" t="s">
        <v>1992</v>
      </c>
      <c r="R340" t="s">
        <v>1992</v>
      </c>
      <c r="S340" t="s">
        <v>1992</v>
      </c>
      <c r="T340" t="s">
        <v>1992</v>
      </c>
      <c r="U340" t="s">
        <v>1992</v>
      </c>
      <c r="V340" t="s">
        <v>1991</v>
      </c>
      <c r="W340" t="s">
        <v>1991</v>
      </c>
      <c r="X340" t="s">
        <v>1992</v>
      </c>
      <c r="Y340" t="s">
        <v>1992</v>
      </c>
      <c r="Z340" t="s">
        <v>1992</v>
      </c>
      <c r="AF340" t="s">
        <v>2001</v>
      </c>
      <c r="AG340" t="s">
        <v>1991</v>
      </c>
      <c r="AH340">
        <v>30</v>
      </c>
      <c r="AI340">
        <v>30</v>
      </c>
      <c r="AJ340" t="s">
        <v>5278</v>
      </c>
      <c r="AK340">
        <v>466</v>
      </c>
      <c r="AL340">
        <v>4374</v>
      </c>
      <c r="AN340" t="s">
        <v>2066</v>
      </c>
      <c r="AO340" t="s">
        <v>2063</v>
      </c>
      <c r="BF340" t="s">
        <v>1053</v>
      </c>
      <c r="BG340" t="s">
        <v>2097</v>
      </c>
      <c r="BH340" t="s">
        <v>781</v>
      </c>
      <c r="BI340" t="s">
        <v>1053</v>
      </c>
      <c r="BJ340" t="s">
        <v>1053</v>
      </c>
      <c r="BK340" t="s">
        <v>1053</v>
      </c>
      <c r="BL340" t="s">
        <v>1053</v>
      </c>
      <c r="BM340" t="s">
        <v>416</v>
      </c>
      <c r="BN340" t="s">
        <v>782</v>
      </c>
      <c r="BO340" t="s">
        <v>1053</v>
      </c>
      <c r="BP340" t="s">
        <v>653</v>
      </c>
      <c r="BQ340" t="s">
        <v>783</v>
      </c>
      <c r="BR340" t="s">
        <v>1053</v>
      </c>
      <c r="BS340" t="s">
        <v>1053</v>
      </c>
      <c r="BT340" t="s">
        <v>1053</v>
      </c>
      <c r="BU340" t="s">
        <v>1053</v>
      </c>
      <c r="BV340" t="s">
        <v>416</v>
      </c>
      <c r="BW340" t="s">
        <v>782</v>
      </c>
      <c r="BX340" t="str">
        <f>""</f>
        <v/>
      </c>
      <c r="BY340" t="str">
        <f>""</f>
        <v/>
      </c>
      <c r="BZ340" t="str">
        <f>""</f>
        <v/>
      </c>
      <c r="CA340" t="str">
        <f>""</f>
        <v/>
      </c>
      <c r="CB340" t="str">
        <f>""</f>
        <v/>
      </c>
      <c r="CC340" t="str">
        <f>""</f>
        <v/>
      </c>
      <c r="CD340" t="str">
        <f>""</f>
        <v/>
      </c>
      <c r="CE340" t="str">
        <f>""</f>
        <v/>
      </c>
      <c r="CF340" t="str">
        <f>""</f>
        <v/>
      </c>
      <c r="CG340" t="str">
        <f>""</f>
        <v/>
      </c>
      <c r="CH340" t="str">
        <f>""</f>
        <v/>
      </c>
    </row>
    <row r="341" spans="1:86" x14ac:dyDescent="0.25">
      <c r="A341" t="s">
        <v>5279</v>
      </c>
      <c r="B341" t="s">
        <v>5280</v>
      </c>
      <c r="C341" t="s">
        <v>1992</v>
      </c>
      <c r="D341" t="s">
        <v>2010</v>
      </c>
      <c r="E341" t="s">
        <v>5281</v>
      </c>
      <c r="H341" t="s">
        <v>5282</v>
      </c>
      <c r="I341" t="s">
        <v>779</v>
      </c>
      <c r="J341" t="str">
        <f>"39401"</f>
        <v>39401</v>
      </c>
      <c r="K341" t="s">
        <v>1998</v>
      </c>
      <c r="L341" t="s">
        <v>408</v>
      </c>
      <c r="M341" t="s">
        <v>2063</v>
      </c>
      <c r="N341" t="s">
        <v>1992</v>
      </c>
      <c r="O341" t="s">
        <v>1991</v>
      </c>
      <c r="P341" t="s">
        <v>1992</v>
      </c>
      <c r="Q341" t="s">
        <v>1992</v>
      </c>
      <c r="R341" t="s">
        <v>1992</v>
      </c>
      <c r="S341" t="s">
        <v>1992</v>
      </c>
      <c r="T341" t="s">
        <v>1992</v>
      </c>
      <c r="U341" t="s">
        <v>1992</v>
      </c>
      <c r="V341" t="s">
        <v>1991</v>
      </c>
      <c r="W341" t="s">
        <v>1991</v>
      </c>
      <c r="X341" t="s">
        <v>1992</v>
      </c>
      <c r="Y341" t="s">
        <v>1992</v>
      </c>
      <c r="Z341" t="s">
        <v>1992</v>
      </c>
      <c r="AA341" t="s">
        <v>1991</v>
      </c>
      <c r="AF341" t="s">
        <v>2001</v>
      </c>
      <c r="AG341" t="s">
        <v>1991</v>
      </c>
      <c r="AH341">
        <v>30</v>
      </c>
      <c r="AI341">
        <v>30</v>
      </c>
      <c r="AJ341" t="s">
        <v>5283</v>
      </c>
      <c r="AK341">
        <v>161</v>
      </c>
      <c r="AL341">
        <v>48012</v>
      </c>
      <c r="AM341" t="s">
        <v>5284</v>
      </c>
      <c r="AN341" t="s">
        <v>2066</v>
      </c>
      <c r="AU341" t="s">
        <v>2066</v>
      </c>
      <c r="BF341" t="s">
        <v>1053</v>
      </c>
      <c r="BG341" t="s">
        <v>5285</v>
      </c>
      <c r="BH341" t="s">
        <v>5286</v>
      </c>
      <c r="BI341" t="s">
        <v>1053</v>
      </c>
      <c r="BJ341" t="s">
        <v>1053</v>
      </c>
      <c r="BK341" t="s">
        <v>1053</v>
      </c>
      <c r="BL341" t="s">
        <v>1053</v>
      </c>
      <c r="BM341" t="s">
        <v>416</v>
      </c>
      <c r="BN341" t="s">
        <v>417</v>
      </c>
      <c r="BO341" t="s">
        <v>1053</v>
      </c>
      <c r="BP341" t="s">
        <v>653</v>
      </c>
      <c r="BQ341" t="s">
        <v>427</v>
      </c>
      <c r="BR341" t="s">
        <v>1053</v>
      </c>
      <c r="BS341" t="s">
        <v>1053</v>
      </c>
      <c r="BT341" t="s">
        <v>1053</v>
      </c>
      <c r="BU341" t="s">
        <v>1053</v>
      </c>
      <c r="BV341" t="s">
        <v>416</v>
      </c>
      <c r="BW341" t="s">
        <v>417</v>
      </c>
      <c r="BX341" t="str">
        <f>"SMTWTFS 0915-1015 1545-1645"</f>
        <v>SMTWTFS 0915-1015 1545-1645</v>
      </c>
      <c r="BY341" t="str">
        <f>""</f>
        <v/>
      </c>
      <c r="BZ341" t="str">
        <f>""</f>
        <v/>
      </c>
      <c r="CA341" t="str">
        <f>""</f>
        <v/>
      </c>
      <c r="CB341" t="str">
        <f>""</f>
        <v/>
      </c>
      <c r="CC341" t="str">
        <f>"SMTWTFS 0915-1015 1545-1645"</f>
        <v>SMTWTFS 0915-1015 1545-1645</v>
      </c>
      <c r="CD341" t="str">
        <f>""</f>
        <v/>
      </c>
      <c r="CE341" t="str">
        <f>""</f>
        <v/>
      </c>
      <c r="CF341" t="str">
        <f>""</f>
        <v/>
      </c>
      <c r="CG341" t="str">
        <f>""</f>
        <v/>
      </c>
      <c r="CH341" t="str">
        <f>""</f>
        <v/>
      </c>
    </row>
    <row r="342" spans="1:86" x14ac:dyDescent="0.25">
      <c r="A342" t="s">
        <v>5287</v>
      </c>
      <c r="B342" t="s">
        <v>5508</v>
      </c>
      <c r="C342" t="s">
        <v>1992</v>
      </c>
      <c r="D342" t="s">
        <v>1993</v>
      </c>
      <c r="E342" t="s">
        <v>5509</v>
      </c>
      <c r="F342" t="s">
        <v>5510</v>
      </c>
      <c r="H342" t="s">
        <v>5511</v>
      </c>
      <c r="I342" t="s">
        <v>1997</v>
      </c>
      <c r="J342" t="str">
        <f>"54016"</f>
        <v>54016</v>
      </c>
      <c r="K342" t="s">
        <v>1998</v>
      </c>
      <c r="L342" t="s">
        <v>1999</v>
      </c>
      <c r="M342" t="s">
        <v>2000</v>
      </c>
      <c r="N342" t="s">
        <v>1992</v>
      </c>
      <c r="O342" t="s">
        <v>1992</v>
      </c>
      <c r="P342" t="s">
        <v>1992</v>
      </c>
      <c r="Q342" t="s">
        <v>1992</v>
      </c>
      <c r="R342" t="s">
        <v>1992</v>
      </c>
      <c r="S342" t="s">
        <v>1992</v>
      </c>
      <c r="T342" t="s">
        <v>1992</v>
      </c>
      <c r="U342" t="s">
        <v>1992</v>
      </c>
      <c r="V342" t="s">
        <v>1991</v>
      </c>
      <c r="Z342" t="s">
        <v>1991</v>
      </c>
      <c r="AF342" t="s">
        <v>2001</v>
      </c>
      <c r="AG342" t="s">
        <v>1991</v>
      </c>
      <c r="AH342">
        <v>15</v>
      </c>
      <c r="AI342">
        <v>15</v>
      </c>
      <c r="AJ342" t="s">
        <v>5512</v>
      </c>
      <c r="AK342">
        <v>860</v>
      </c>
      <c r="BX342" t="str">
        <f>""</f>
        <v/>
      </c>
      <c r="BY342" t="str">
        <f>""</f>
        <v/>
      </c>
      <c r="BZ342" t="str">
        <f>""</f>
        <v/>
      </c>
      <c r="CA342" t="str">
        <f>""</f>
        <v/>
      </c>
      <c r="CB342" t="str">
        <f>""</f>
        <v/>
      </c>
      <c r="CC342" t="str">
        <f>""</f>
        <v/>
      </c>
      <c r="CD342" t="str">
        <f>""</f>
        <v/>
      </c>
      <c r="CE342" t="str">
        <f>""</f>
        <v/>
      </c>
      <c r="CF342" t="str">
        <f>""</f>
        <v/>
      </c>
      <c r="CG342" t="str">
        <f>""</f>
        <v/>
      </c>
      <c r="CH342" t="str">
        <f>""</f>
        <v/>
      </c>
    </row>
    <row r="343" spans="1:86" x14ac:dyDescent="0.25">
      <c r="A343" t="s">
        <v>5513</v>
      </c>
      <c r="B343" t="s">
        <v>5514</v>
      </c>
      <c r="C343" t="s">
        <v>1992</v>
      </c>
      <c r="D343" t="s">
        <v>1993</v>
      </c>
      <c r="E343" t="s">
        <v>5515</v>
      </c>
      <c r="F343" t="s">
        <v>5516</v>
      </c>
      <c r="H343" t="s">
        <v>5517</v>
      </c>
      <c r="I343" t="s">
        <v>2061</v>
      </c>
      <c r="J343" t="str">
        <f>"95448-4000"</f>
        <v>95448-4000</v>
      </c>
      <c r="K343" t="s">
        <v>1998</v>
      </c>
      <c r="L343" t="s">
        <v>2062</v>
      </c>
      <c r="M343" t="s">
        <v>2063</v>
      </c>
      <c r="N343" t="s">
        <v>1992</v>
      </c>
      <c r="O343" t="s">
        <v>1992</v>
      </c>
      <c r="P343" t="s">
        <v>1992</v>
      </c>
      <c r="Q343" t="s">
        <v>1992</v>
      </c>
      <c r="R343" t="s">
        <v>1992</v>
      </c>
      <c r="S343" t="s">
        <v>1992</v>
      </c>
      <c r="T343" t="s">
        <v>1992</v>
      </c>
      <c r="U343" t="s">
        <v>1992</v>
      </c>
      <c r="V343" t="s">
        <v>1991</v>
      </c>
      <c r="W343" t="s">
        <v>1992</v>
      </c>
      <c r="X343" t="s">
        <v>1992</v>
      </c>
      <c r="Y343" t="s">
        <v>1991</v>
      </c>
      <c r="Z343" t="s">
        <v>1992</v>
      </c>
      <c r="AF343" t="s">
        <v>2064</v>
      </c>
      <c r="AG343" t="s">
        <v>1991</v>
      </c>
      <c r="AH343">
        <v>30</v>
      </c>
      <c r="AI343">
        <v>30</v>
      </c>
      <c r="AJ343" t="s">
        <v>5518</v>
      </c>
      <c r="AK343">
        <v>100</v>
      </c>
      <c r="AL343">
        <v>7217</v>
      </c>
      <c r="AM343" t="s">
        <v>2298</v>
      </c>
      <c r="BF343" t="s">
        <v>1053</v>
      </c>
      <c r="BG343" t="s">
        <v>309</v>
      </c>
      <c r="BH343" t="s">
        <v>2301</v>
      </c>
      <c r="BI343" t="s">
        <v>1053</v>
      </c>
      <c r="BK343" t="s">
        <v>1053</v>
      </c>
      <c r="BO343" t="s">
        <v>1053</v>
      </c>
      <c r="BP343" t="s">
        <v>5519</v>
      </c>
      <c r="BQ343" t="s">
        <v>1814</v>
      </c>
      <c r="BR343" t="s">
        <v>1053</v>
      </c>
      <c r="BX343" t="str">
        <f>""</f>
        <v/>
      </c>
      <c r="BY343" t="str">
        <f>""</f>
        <v/>
      </c>
      <c r="BZ343" t="str">
        <f>""</f>
        <v/>
      </c>
      <c r="CA343" t="str">
        <f>""</f>
        <v/>
      </c>
      <c r="CB343" t="str">
        <f>""</f>
        <v/>
      </c>
      <c r="CC343" t="str">
        <f>""</f>
        <v/>
      </c>
      <c r="CD343" t="str">
        <f>""</f>
        <v/>
      </c>
      <c r="CE343" t="str">
        <f>""</f>
        <v/>
      </c>
      <c r="CF343" t="str">
        <f>""</f>
        <v/>
      </c>
      <c r="CG343" t="str">
        <f>""</f>
        <v/>
      </c>
      <c r="CH343" t="str">
        <f>""</f>
        <v/>
      </c>
    </row>
    <row r="344" spans="1:86" x14ac:dyDescent="0.25">
      <c r="A344" t="s">
        <v>5520</v>
      </c>
      <c r="B344" t="s">
        <v>5521</v>
      </c>
      <c r="C344" t="s">
        <v>1992</v>
      </c>
      <c r="D344" t="s">
        <v>2028</v>
      </c>
      <c r="E344" t="s">
        <v>5522</v>
      </c>
      <c r="H344" t="s">
        <v>5523</v>
      </c>
      <c r="I344" t="s">
        <v>5524</v>
      </c>
      <c r="J344" t="str">
        <f>"65041"</f>
        <v>65041</v>
      </c>
      <c r="K344" t="s">
        <v>1998</v>
      </c>
      <c r="L344" t="s">
        <v>1999</v>
      </c>
      <c r="M344" t="s">
        <v>2063</v>
      </c>
      <c r="N344" t="s">
        <v>1992</v>
      </c>
      <c r="O344" t="s">
        <v>1992</v>
      </c>
      <c r="P344" t="s">
        <v>1992</v>
      </c>
      <c r="Q344" t="s">
        <v>1992</v>
      </c>
      <c r="R344" t="s">
        <v>1992</v>
      </c>
      <c r="S344" t="s">
        <v>1992</v>
      </c>
      <c r="T344" t="s">
        <v>1992</v>
      </c>
      <c r="U344" t="s">
        <v>1992</v>
      </c>
      <c r="V344" t="s">
        <v>1991</v>
      </c>
      <c r="W344" t="s">
        <v>1991</v>
      </c>
      <c r="X344" t="s">
        <v>1992</v>
      </c>
      <c r="Y344" t="s">
        <v>1992</v>
      </c>
      <c r="Z344" t="s">
        <v>1992</v>
      </c>
      <c r="AF344" t="s">
        <v>2001</v>
      </c>
      <c r="AG344" t="s">
        <v>1991</v>
      </c>
      <c r="AH344">
        <v>30</v>
      </c>
      <c r="AI344">
        <v>30</v>
      </c>
      <c r="AJ344" t="s">
        <v>5525</v>
      </c>
      <c r="AK344">
        <v>514</v>
      </c>
      <c r="AL344">
        <v>2751</v>
      </c>
      <c r="BF344" t="s">
        <v>1053</v>
      </c>
      <c r="BG344" t="s">
        <v>235</v>
      </c>
      <c r="BH344" t="s">
        <v>2372</v>
      </c>
      <c r="BI344" t="s">
        <v>1053</v>
      </c>
      <c r="BJ344" t="s">
        <v>1053</v>
      </c>
      <c r="BK344" t="s">
        <v>1053</v>
      </c>
      <c r="BL344" t="s">
        <v>1053</v>
      </c>
      <c r="BM344" t="s">
        <v>2373</v>
      </c>
      <c r="BN344" t="s">
        <v>2374</v>
      </c>
      <c r="BO344" t="s">
        <v>1053</v>
      </c>
      <c r="BP344" t="s">
        <v>340</v>
      </c>
      <c r="BQ344" t="s">
        <v>2376</v>
      </c>
      <c r="BR344" t="s">
        <v>1053</v>
      </c>
      <c r="BX344" t="str">
        <f>"SMTWTFS 0001-2359"</f>
        <v>SMTWTFS 0001-2359</v>
      </c>
      <c r="BY344" t="str">
        <f>""</f>
        <v/>
      </c>
      <c r="BZ344" t="str">
        <f>""</f>
        <v/>
      </c>
      <c r="CA344" t="str">
        <f>""</f>
        <v/>
      </c>
      <c r="CB344" t="str">
        <f>""</f>
        <v/>
      </c>
      <c r="CC344" t="str">
        <f>""</f>
        <v/>
      </c>
      <c r="CD344" t="str">
        <f>""</f>
        <v/>
      </c>
      <c r="CE344" t="str">
        <f>""</f>
        <v/>
      </c>
      <c r="CF344" t="str">
        <f>""</f>
        <v/>
      </c>
      <c r="CG344" t="str">
        <f>""</f>
        <v/>
      </c>
      <c r="CH344" t="str">
        <f>""</f>
        <v/>
      </c>
    </row>
    <row r="345" spans="1:86" x14ac:dyDescent="0.25">
      <c r="A345" t="s">
        <v>5526</v>
      </c>
      <c r="B345" t="s">
        <v>5527</v>
      </c>
      <c r="C345" t="s">
        <v>1992</v>
      </c>
      <c r="D345" t="s">
        <v>2010</v>
      </c>
      <c r="E345" t="s">
        <v>5528</v>
      </c>
      <c r="H345" t="s">
        <v>5529</v>
      </c>
      <c r="I345" t="s">
        <v>5059</v>
      </c>
      <c r="J345" t="str">
        <f>"84526"</f>
        <v>84526</v>
      </c>
      <c r="K345" t="s">
        <v>1998</v>
      </c>
      <c r="L345" t="s">
        <v>2062</v>
      </c>
      <c r="M345" t="s">
        <v>2063</v>
      </c>
      <c r="N345" t="s">
        <v>1992</v>
      </c>
      <c r="O345" t="s">
        <v>1992</v>
      </c>
      <c r="P345" t="s">
        <v>1992</v>
      </c>
      <c r="Q345" t="s">
        <v>1992</v>
      </c>
      <c r="R345" t="s">
        <v>1992</v>
      </c>
      <c r="S345" t="s">
        <v>1992</v>
      </c>
      <c r="T345" t="s">
        <v>1992</v>
      </c>
      <c r="U345" t="s">
        <v>1992</v>
      </c>
      <c r="V345" t="s">
        <v>1991</v>
      </c>
      <c r="W345" t="s">
        <v>1991</v>
      </c>
      <c r="X345" t="s">
        <v>1992</v>
      </c>
      <c r="Y345" t="s">
        <v>1992</v>
      </c>
      <c r="Z345" t="s">
        <v>1992</v>
      </c>
      <c r="AA345" t="s">
        <v>1992</v>
      </c>
      <c r="AF345" t="s">
        <v>2048</v>
      </c>
      <c r="AG345" t="s">
        <v>1991</v>
      </c>
      <c r="AH345">
        <v>30</v>
      </c>
      <c r="AI345">
        <v>30</v>
      </c>
      <c r="AJ345" t="s">
        <v>5530</v>
      </c>
      <c r="AK345">
        <v>5825</v>
      </c>
      <c r="AL345">
        <v>3200</v>
      </c>
      <c r="AN345" t="s">
        <v>2066</v>
      </c>
      <c r="AO345" t="s">
        <v>2063</v>
      </c>
      <c r="BF345" t="s">
        <v>1053</v>
      </c>
      <c r="BG345" t="s">
        <v>2067</v>
      </c>
      <c r="BH345" t="s">
        <v>348</v>
      </c>
      <c r="BI345" t="s">
        <v>1053</v>
      </c>
      <c r="BK345" t="s">
        <v>1053</v>
      </c>
      <c r="BM345" t="s">
        <v>3653</v>
      </c>
      <c r="BN345" t="s">
        <v>5531</v>
      </c>
      <c r="BO345" t="s">
        <v>1053</v>
      </c>
      <c r="BP345" t="s">
        <v>3655</v>
      </c>
      <c r="BQ345" t="s">
        <v>2073</v>
      </c>
      <c r="BR345" t="s">
        <v>1053</v>
      </c>
      <c r="BS345" t="s">
        <v>1053</v>
      </c>
      <c r="BX345" t="str">
        <f>"SMTWTFS 0000-0001"</f>
        <v>SMTWTFS 0000-0001</v>
      </c>
      <c r="BY345" t="str">
        <f>""</f>
        <v/>
      </c>
      <c r="BZ345" t="str">
        <f>""</f>
        <v/>
      </c>
      <c r="CA345" t="str">
        <f>""</f>
        <v/>
      </c>
      <c r="CB345" t="str">
        <f>""</f>
        <v/>
      </c>
      <c r="CC345" t="str">
        <f>""</f>
        <v/>
      </c>
      <c r="CD345" t="str">
        <f>""</f>
        <v/>
      </c>
      <c r="CE345" t="str">
        <f>""</f>
        <v/>
      </c>
      <c r="CF345" t="str">
        <f>""</f>
        <v/>
      </c>
      <c r="CG345" t="str">
        <f>""</f>
        <v/>
      </c>
      <c r="CH345" t="str">
        <f>""</f>
        <v/>
      </c>
    </row>
    <row r="346" spans="1:86" x14ac:dyDescent="0.25">
      <c r="A346" t="s">
        <v>5532</v>
      </c>
      <c r="B346" t="s">
        <v>5533</v>
      </c>
      <c r="C346" t="s">
        <v>1992</v>
      </c>
      <c r="D346" t="s">
        <v>1993</v>
      </c>
      <c r="E346" t="s">
        <v>5534</v>
      </c>
      <c r="F346" t="s">
        <v>5535</v>
      </c>
      <c r="G346" t="s">
        <v>5536</v>
      </c>
      <c r="H346" t="s">
        <v>5537</v>
      </c>
      <c r="I346" t="s">
        <v>2061</v>
      </c>
      <c r="J346" t="str">
        <f>"92545-3622"</f>
        <v>92545-3622</v>
      </c>
      <c r="K346" t="s">
        <v>1998</v>
      </c>
      <c r="L346" t="s">
        <v>2045</v>
      </c>
      <c r="M346" t="s">
        <v>2063</v>
      </c>
      <c r="N346" t="s">
        <v>1992</v>
      </c>
      <c r="O346" t="s">
        <v>1992</v>
      </c>
      <c r="P346" t="s">
        <v>1992</v>
      </c>
      <c r="Q346" t="s">
        <v>1992</v>
      </c>
      <c r="R346" t="s">
        <v>1992</v>
      </c>
      <c r="S346" t="s">
        <v>1992</v>
      </c>
      <c r="T346" t="s">
        <v>1992</v>
      </c>
      <c r="U346" t="s">
        <v>1992</v>
      </c>
      <c r="V346" t="s">
        <v>1991</v>
      </c>
      <c r="W346" t="s">
        <v>1992</v>
      </c>
      <c r="X346" t="s">
        <v>1992</v>
      </c>
      <c r="Y346" t="s">
        <v>1991</v>
      </c>
      <c r="Z346" t="s">
        <v>1992</v>
      </c>
      <c r="AB346" t="s">
        <v>5538</v>
      </c>
      <c r="AF346" t="s">
        <v>2064</v>
      </c>
      <c r="AG346" t="s">
        <v>1991</v>
      </c>
      <c r="AH346">
        <v>30</v>
      </c>
      <c r="AI346">
        <v>30</v>
      </c>
      <c r="AJ346" t="s">
        <v>5539</v>
      </c>
      <c r="AK346">
        <v>1530</v>
      </c>
      <c r="AL346">
        <v>70136</v>
      </c>
      <c r="AN346" t="s">
        <v>308</v>
      </c>
      <c r="AO346" t="s">
        <v>2063</v>
      </c>
      <c r="BF346" t="s">
        <v>1053</v>
      </c>
      <c r="BG346" t="s">
        <v>507</v>
      </c>
      <c r="BH346" t="s">
        <v>2301</v>
      </c>
      <c r="BI346" t="s">
        <v>1053</v>
      </c>
      <c r="BK346" t="s">
        <v>1053</v>
      </c>
      <c r="BO346" t="s">
        <v>1053</v>
      </c>
      <c r="BP346" t="s">
        <v>310</v>
      </c>
      <c r="BQ346" t="s">
        <v>311</v>
      </c>
      <c r="BR346" t="s">
        <v>1053</v>
      </c>
      <c r="BS346" t="s">
        <v>1053</v>
      </c>
      <c r="BT346" t="s">
        <v>1053</v>
      </c>
      <c r="BU346" t="s">
        <v>1053</v>
      </c>
      <c r="BX346" t="str">
        <f>""</f>
        <v/>
      </c>
      <c r="BY346" t="str">
        <f>""</f>
        <v/>
      </c>
      <c r="BZ346" t="str">
        <f>""</f>
        <v/>
      </c>
      <c r="CA346" t="str">
        <f>""</f>
        <v/>
      </c>
      <c r="CB346" t="str">
        <f>""</f>
        <v/>
      </c>
      <c r="CC346" t="str">
        <f>""</f>
        <v/>
      </c>
      <c r="CD346" t="str">
        <f>""</f>
        <v/>
      </c>
      <c r="CE346" t="str">
        <f>""</f>
        <v/>
      </c>
      <c r="CF346" t="str">
        <f>""</f>
        <v/>
      </c>
      <c r="CG346" t="str">
        <f>""</f>
        <v/>
      </c>
      <c r="CH346" t="str">
        <f>""</f>
        <v/>
      </c>
    </row>
    <row r="347" spans="1:86" x14ac:dyDescent="0.25">
      <c r="A347" t="s">
        <v>5540</v>
      </c>
      <c r="B347" t="s">
        <v>5541</v>
      </c>
      <c r="C347" t="s">
        <v>1991</v>
      </c>
      <c r="D347" t="s">
        <v>2010</v>
      </c>
      <c r="E347" t="s">
        <v>5542</v>
      </c>
      <c r="H347" t="s">
        <v>5543</v>
      </c>
      <c r="I347" t="s">
        <v>592</v>
      </c>
      <c r="J347" t="str">
        <f>"06103"</f>
        <v>06103</v>
      </c>
      <c r="K347" t="s">
        <v>1998</v>
      </c>
      <c r="L347" t="s">
        <v>2033</v>
      </c>
      <c r="M347" t="s">
        <v>5544</v>
      </c>
      <c r="N347" t="s">
        <v>1991</v>
      </c>
      <c r="O347" t="s">
        <v>1991</v>
      </c>
      <c r="P347" t="s">
        <v>1992</v>
      </c>
      <c r="Q347" t="s">
        <v>1992</v>
      </c>
      <c r="R347" t="s">
        <v>1992</v>
      </c>
      <c r="S347" t="s">
        <v>1992</v>
      </c>
      <c r="T347" t="s">
        <v>1992</v>
      </c>
      <c r="U347" t="s">
        <v>1991</v>
      </c>
      <c r="V347" t="s">
        <v>1991</v>
      </c>
      <c r="W347" t="s">
        <v>1991</v>
      </c>
      <c r="X347" t="s">
        <v>1992</v>
      </c>
      <c r="Y347" t="s">
        <v>1992</v>
      </c>
      <c r="Z347" t="s">
        <v>1992</v>
      </c>
      <c r="AA347" t="s">
        <v>1991</v>
      </c>
      <c r="AE347" t="s">
        <v>2047</v>
      </c>
      <c r="AF347" t="s">
        <v>2016</v>
      </c>
      <c r="AG347" t="s">
        <v>1991</v>
      </c>
      <c r="AH347">
        <v>45</v>
      </c>
      <c r="AI347">
        <v>30</v>
      </c>
      <c r="AJ347" t="s">
        <v>5545</v>
      </c>
      <c r="AK347">
        <v>64</v>
      </c>
      <c r="AL347">
        <v>121800</v>
      </c>
      <c r="AM347" t="s">
        <v>5546</v>
      </c>
      <c r="AN347" t="s">
        <v>1053</v>
      </c>
      <c r="AO347" t="s">
        <v>1053</v>
      </c>
      <c r="AP347" t="s">
        <v>1053</v>
      </c>
      <c r="AQ347" t="s">
        <v>1053</v>
      </c>
      <c r="AR347" t="s">
        <v>1053</v>
      </c>
      <c r="AS347" t="s">
        <v>5540</v>
      </c>
      <c r="AT347" t="s">
        <v>5547</v>
      </c>
      <c r="AU347" t="s">
        <v>1053</v>
      </c>
      <c r="AV347" t="s">
        <v>1053</v>
      </c>
      <c r="AW347" t="s">
        <v>1053</v>
      </c>
      <c r="AX347" t="s">
        <v>2063</v>
      </c>
      <c r="AY347" t="s">
        <v>2083</v>
      </c>
      <c r="AZ347" t="s">
        <v>5540</v>
      </c>
      <c r="BA347" t="s">
        <v>5547</v>
      </c>
      <c r="BB347" t="s">
        <v>1053</v>
      </c>
      <c r="BC347" t="s">
        <v>1053</v>
      </c>
      <c r="BD347" t="s">
        <v>1053</v>
      </c>
      <c r="BE347" t="s">
        <v>1053</v>
      </c>
      <c r="BF347" t="s">
        <v>1053</v>
      </c>
      <c r="BG347" t="s">
        <v>5548</v>
      </c>
      <c r="BH347" t="s">
        <v>5549</v>
      </c>
      <c r="BI347" t="s">
        <v>1053</v>
      </c>
      <c r="BJ347" t="s">
        <v>1053</v>
      </c>
      <c r="BK347" t="s">
        <v>1053</v>
      </c>
      <c r="BL347" t="s">
        <v>1053</v>
      </c>
      <c r="BM347" t="s">
        <v>5550</v>
      </c>
      <c r="BN347" t="s">
        <v>252</v>
      </c>
      <c r="BO347" t="s">
        <v>1053</v>
      </c>
      <c r="BP347" t="s">
        <v>5551</v>
      </c>
      <c r="BQ347" t="s">
        <v>5552</v>
      </c>
      <c r="BR347" t="s">
        <v>1053</v>
      </c>
      <c r="BS347" t="s">
        <v>1053</v>
      </c>
      <c r="BT347" t="s">
        <v>1053</v>
      </c>
      <c r="BU347" t="s">
        <v>1053</v>
      </c>
      <c r="BV347" t="s">
        <v>255</v>
      </c>
      <c r="BW347" t="s">
        <v>256</v>
      </c>
      <c r="BX347" t="str">
        <f>"SMTWTFS 0000-2359"</f>
        <v>SMTWTFS 0000-2359</v>
      </c>
      <c r="BY347" t="str">
        <f>""</f>
        <v/>
      </c>
      <c r="BZ347" t="str">
        <f>"S-----S 0630-2100; -MTWTF- 0600-2100"</f>
        <v>S-----S 0630-2100; -MTWTF- 0600-2100</v>
      </c>
      <c r="CA347" t="str">
        <f>"S-----S 0630-2100; -MTWTF- 0600-2100"</f>
        <v>S-----S 0630-2100; -MTWTF- 0600-2100</v>
      </c>
      <c r="CB347" t="str">
        <f>""</f>
        <v/>
      </c>
      <c r="CC347" t="str">
        <f>"SMTWTFS 0000-2359"</f>
        <v>SMTWTFS 0000-2359</v>
      </c>
      <c r="CD347" t="str">
        <f>""</f>
        <v/>
      </c>
      <c r="CE347" t="str">
        <f>""</f>
        <v/>
      </c>
      <c r="CF347" t="str">
        <f>""</f>
        <v/>
      </c>
      <c r="CG347" t="str">
        <f>""</f>
        <v/>
      </c>
      <c r="CH347" t="str">
        <f>""</f>
        <v/>
      </c>
    </row>
    <row r="348" spans="1:86" x14ac:dyDescent="0.25">
      <c r="A348" t="s">
        <v>5553</v>
      </c>
      <c r="B348" t="s">
        <v>5554</v>
      </c>
      <c r="C348" t="s">
        <v>1992</v>
      </c>
      <c r="D348" t="s">
        <v>2028</v>
      </c>
      <c r="E348" t="s">
        <v>5555</v>
      </c>
      <c r="F348" t="s">
        <v>2012</v>
      </c>
      <c r="H348" t="s">
        <v>5556</v>
      </c>
      <c r="I348" t="s">
        <v>2340</v>
      </c>
      <c r="J348" t="str">
        <f>"25425"</f>
        <v>25425</v>
      </c>
      <c r="K348" t="s">
        <v>1998</v>
      </c>
      <c r="L348" t="s">
        <v>2015</v>
      </c>
      <c r="M348" t="s">
        <v>2063</v>
      </c>
      <c r="N348" t="s">
        <v>1992</v>
      </c>
      <c r="O348" t="s">
        <v>1992</v>
      </c>
      <c r="P348" t="s">
        <v>1992</v>
      </c>
      <c r="Q348" t="s">
        <v>1992</v>
      </c>
      <c r="R348" t="s">
        <v>1992</v>
      </c>
      <c r="S348" t="s">
        <v>1992</v>
      </c>
      <c r="T348" t="s">
        <v>1992</v>
      </c>
      <c r="U348" t="s">
        <v>1992</v>
      </c>
      <c r="V348" t="s">
        <v>1991</v>
      </c>
      <c r="W348" t="s">
        <v>1991</v>
      </c>
      <c r="X348" t="s">
        <v>1991</v>
      </c>
      <c r="Y348" t="s">
        <v>1992</v>
      </c>
      <c r="Z348" t="s">
        <v>1992</v>
      </c>
      <c r="AF348" t="s">
        <v>2016</v>
      </c>
      <c r="AG348" t="s">
        <v>1991</v>
      </c>
      <c r="AH348">
        <v>30</v>
      </c>
      <c r="AI348">
        <v>30</v>
      </c>
      <c r="AJ348" t="s">
        <v>5557</v>
      </c>
      <c r="AK348">
        <v>293</v>
      </c>
      <c r="AL348">
        <v>2000</v>
      </c>
      <c r="AM348" t="s">
        <v>5558</v>
      </c>
      <c r="AN348" t="s">
        <v>5559</v>
      </c>
      <c r="AU348" t="s">
        <v>5559</v>
      </c>
      <c r="BF348" t="s">
        <v>1053</v>
      </c>
      <c r="BG348" t="s">
        <v>222</v>
      </c>
      <c r="BH348" t="s">
        <v>5560</v>
      </c>
      <c r="BI348" t="s">
        <v>1053</v>
      </c>
      <c r="BJ348" t="s">
        <v>1053</v>
      </c>
      <c r="BK348" t="s">
        <v>1053</v>
      </c>
      <c r="BL348" t="s">
        <v>1053</v>
      </c>
      <c r="BM348" t="s">
        <v>2347</v>
      </c>
      <c r="BO348" t="s">
        <v>1053</v>
      </c>
      <c r="BP348" t="s">
        <v>2407</v>
      </c>
      <c r="BQ348" t="s">
        <v>367</v>
      </c>
      <c r="BR348" t="s">
        <v>1053</v>
      </c>
      <c r="BS348" t="s">
        <v>1053</v>
      </c>
      <c r="BT348" t="s">
        <v>1053</v>
      </c>
      <c r="BU348" t="s">
        <v>1053</v>
      </c>
      <c r="BV348" t="s">
        <v>2347</v>
      </c>
      <c r="BX348" t="str">
        <f>"-MTWTF- 0530-0700"</f>
        <v>-MTWTF- 0530-0700</v>
      </c>
      <c r="BY348" t="str">
        <f>""</f>
        <v/>
      </c>
      <c r="BZ348" t="str">
        <f>""</f>
        <v/>
      </c>
      <c r="CA348" t="str">
        <f>""</f>
        <v/>
      </c>
      <c r="CB348" t="str">
        <f>""</f>
        <v/>
      </c>
      <c r="CC348" t="str">
        <f>""</f>
        <v/>
      </c>
      <c r="CD348" t="str">
        <f>""</f>
        <v/>
      </c>
      <c r="CE348" t="str">
        <f>""</f>
        <v/>
      </c>
      <c r="CF348" t="str">
        <f>""</f>
        <v/>
      </c>
      <c r="CG348" t="str">
        <f>""</f>
        <v/>
      </c>
      <c r="CH348" t="str">
        <f>""</f>
        <v/>
      </c>
    </row>
    <row r="349" spans="1:86" x14ac:dyDescent="0.25">
      <c r="A349" t="s">
        <v>2408</v>
      </c>
      <c r="B349" t="s">
        <v>2409</v>
      </c>
      <c r="C349" t="s">
        <v>1992</v>
      </c>
      <c r="D349" t="s">
        <v>2010</v>
      </c>
      <c r="E349" t="s">
        <v>2410</v>
      </c>
      <c r="H349" t="s">
        <v>2411</v>
      </c>
      <c r="I349" t="s">
        <v>2388</v>
      </c>
      <c r="J349" t="str">
        <f>"16652"</f>
        <v>16652</v>
      </c>
      <c r="K349" t="s">
        <v>1998</v>
      </c>
      <c r="L349" t="s">
        <v>2015</v>
      </c>
      <c r="M349" t="s">
        <v>2063</v>
      </c>
      <c r="N349" t="s">
        <v>1992</v>
      </c>
      <c r="O349" t="s">
        <v>1992</v>
      </c>
      <c r="P349" t="s">
        <v>1992</v>
      </c>
      <c r="Q349" t="s">
        <v>1992</v>
      </c>
      <c r="R349" t="s">
        <v>1992</v>
      </c>
      <c r="S349" t="s">
        <v>1992</v>
      </c>
      <c r="T349" t="s">
        <v>1992</v>
      </c>
      <c r="U349" t="s">
        <v>1992</v>
      </c>
      <c r="V349" t="s">
        <v>1991</v>
      </c>
      <c r="W349" t="s">
        <v>1991</v>
      </c>
      <c r="X349" t="s">
        <v>1991</v>
      </c>
      <c r="Y349" t="s">
        <v>1992</v>
      </c>
      <c r="Z349" t="s">
        <v>1992</v>
      </c>
      <c r="AF349" t="s">
        <v>2016</v>
      </c>
      <c r="AG349" t="s">
        <v>1991</v>
      </c>
      <c r="AH349">
        <v>30</v>
      </c>
      <c r="AI349">
        <v>30</v>
      </c>
      <c r="AJ349" t="s">
        <v>2412</v>
      </c>
      <c r="AK349">
        <v>620</v>
      </c>
      <c r="AL349">
        <v>7000</v>
      </c>
      <c r="AN349" t="s">
        <v>3560</v>
      </c>
      <c r="AO349" t="s">
        <v>2063</v>
      </c>
      <c r="BF349" t="s">
        <v>1053</v>
      </c>
      <c r="BG349" t="s">
        <v>2413</v>
      </c>
      <c r="BH349" t="s">
        <v>2414</v>
      </c>
      <c r="BI349" t="s">
        <v>1053</v>
      </c>
      <c r="BJ349" t="s">
        <v>1053</v>
      </c>
      <c r="BK349" t="s">
        <v>1053</v>
      </c>
      <c r="BL349" t="s">
        <v>1053</v>
      </c>
      <c r="BM349" t="s">
        <v>2395</v>
      </c>
      <c r="BN349" t="s">
        <v>2396</v>
      </c>
      <c r="BO349" t="s">
        <v>1053</v>
      </c>
      <c r="BP349" t="s">
        <v>2397</v>
      </c>
      <c r="BQ349" t="s">
        <v>2398</v>
      </c>
      <c r="BR349" t="s">
        <v>1053</v>
      </c>
      <c r="BS349" t="s">
        <v>1053</v>
      </c>
      <c r="BT349" t="s">
        <v>1053</v>
      </c>
      <c r="BU349" t="s">
        <v>1053</v>
      </c>
      <c r="BV349" t="s">
        <v>2399</v>
      </c>
      <c r="BW349" t="s">
        <v>2400</v>
      </c>
      <c r="BX349" t="str">
        <f>"S------ 1550-1700; -MTWTFS 1000-1100 1545-1645"</f>
        <v>S------ 1550-1700; -MTWTFS 1000-1100 1545-1645</v>
      </c>
      <c r="BY349" t="str">
        <f>""</f>
        <v/>
      </c>
      <c r="BZ349" t="str">
        <f>""</f>
        <v/>
      </c>
      <c r="CA349" t="str">
        <f>""</f>
        <v/>
      </c>
      <c r="CB349" t="str">
        <f>""</f>
        <v/>
      </c>
      <c r="CC349" t="str">
        <f>""</f>
        <v/>
      </c>
      <c r="CD349" t="str">
        <f>""</f>
        <v/>
      </c>
      <c r="CE349" t="str">
        <f>""</f>
        <v/>
      </c>
      <c r="CF349" t="str">
        <f>""</f>
        <v/>
      </c>
      <c r="CG349" t="str">
        <f>""</f>
        <v/>
      </c>
      <c r="CH349" t="str">
        <f>""</f>
        <v/>
      </c>
    </row>
    <row r="350" spans="1:86" x14ac:dyDescent="0.25">
      <c r="A350" t="s">
        <v>2415</v>
      </c>
      <c r="B350" t="s">
        <v>2416</v>
      </c>
      <c r="C350" t="s">
        <v>1992</v>
      </c>
      <c r="D350" t="s">
        <v>1993</v>
      </c>
      <c r="E350" t="s">
        <v>2417</v>
      </c>
      <c r="F350" t="s">
        <v>2418</v>
      </c>
      <c r="H350" t="s">
        <v>2419</v>
      </c>
      <c r="I350" t="s">
        <v>2352</v>
      </c>
      <c r="J350" t="str">
        <f>"49931"</f>
        <v>49931</v>
      </c>
      <c r="K350" t="s">
        <v>1998</v>
      </c>
      <c r="L350" t="s">
        <v>1999</v>
      </c>
      <c r="M350" t="s">
        <v>2063</v>
      </c>
      <c r="N350" t="s">
        <v>1992</v>
      </c>
      <c r="O350" t="s">
        <v>1992</v>
      </c>
      <c r="P350" t="s">
        <v>1992</v>
      </c>
      <c r="Q350" t="s">
        <v>1992</v>
      </c>
      <c r="R350" t="s">
        <v>1992</v>
      </c>
      <c r="S350" t="s">
        <v>1992</v>
      </c>
      <c r="T350" t="s">
        <v>1992</v>
      </c>
      <c r="U350" t="s">
        <v>1992</v>
      </c>
      <c r="V350" t="s">
        <v>1991</v>
      </c>
      <c r="W350" t="s">
        <v>1992</v>
      </c>
      <c r="X350" t="s">
        <v>1992</v>
      </c>
      <c r="Y350" t="s">
        <v>1992</v>
      </c>
      <c r="Z350" t="s">
        <v>1991</v>
      </c>
      <c r="AF350" t="s">
        <v>2016</v>
      </c>
      <c r="AG350" t="s">
        <v>1991</v>
      </c>
      <c r="AH350">
        <v>15</v>
      </c>
      <c r="AI350">
        <v>15</v>
      </c>
      <c r="AJ350" t="s">
        <v>2420</v>
      </c>
      <c r="AK350">
        <v>694</v>
      </c>
      <c r="AL350">
        <v>7014</v>
      </c>
      <c r="BF350" t="s">
        <v>1053</v>
      </c>
      <c r="BG350" t="s">
        <v>2421</v>
      </c>
      <c r="BH350" t="s">
        <v>2422</v>
      </c>
      <c r="BI350" t="s">
        <v>1053</v>
      </c>
      <c r="BK350" t="s">
        <v>1053</v>
      </c>
      <c r="BM350" t="s">
        <v>287</v>
      </c>
      <c r="BN350" t="s">
        <v>2423</v>
      </c>
      <c r="BO350" t="s">
        <v>1053</v>
      </c>
      <c r="BP350" t="s">
        <v>2424</v>
      </c>
      <c r="BQ350" t="s">
        <v>290</v>
      </c>
      <c r="BR350" t="s">
        <v>1053</v>
      </c>
      <c r="BS350" t="s">
        <v>1053</v>
      </c>
      <c r="BT350" t="s">
        <v>1053</v>
      </c>
      <c r="BU350" t="s">
        <v>1053</v>
      </c>
      <c r="BV350" t="s">
        <v>951</v>
      </c>
      <c r="BW350" t="s">
        <v>952</v>
      </c>
      <c r="BX350" t="str">
        <f>""</f>
        <v/>
      </c>
      <c r="BY350" t="str">
        <f>""</f>
        <v/>
      </c>
      <c r="BZ350" t="str">
        <f>""</f>
        <v/>
      </c>
      <c r="CA350" t="str">
        <f>""</f>
        <v/>
      </c>
      <c r="CB350" t="str">
        <f>""</f>
        <v/>
      </c>
      <c r="CC350" t="str">
        <f>""</f>
        <v/>
      </c>
      <c r="CD350" t="str">
        <f>""</f>
        <v/>
      </c>
      <c r="CE350" t="str">
        <f>""</f>
        <v/>
      </c>
      <c r="CF350" t="str">
        <f>""</f>
        <v/>
      </c>
      <c r="CG350" t="str">
        <f>""</f>
        <v/>
      </c>
      <c r="CH350" t="str">
        <f>""</f>
        <v/>
      </c>
    </row>
    <row r="351" spans="1:86" x14ac:dyDescent="0.25">
      <c r="A351" t="s">
        <v>2425</v>
      </c>
      <c r="B351" t="s">
        <v>2426</v>
      </c>
      <c r="C351" t="s">
        <v>1992</v>
      </c>
      <c r="D351" t="s">
        <v>2028</v>
      </c>
      <c r="E351" t="s">
        <v>2427</v>
      </c>
      <c r="H351" t="s">
        <v>2428</v>
      </c>
      <c r="I351" t="s">
        <v>247</v>
      </c>
      <c r="J351" t="str">
        <f>"01832-5418"</f>
        <v>01832-5418</v>
      </c>
      <c r="K351" t="s">
        <v>1998</v>
      </c>
      <c r="L351" t="s">
        <v>2033</v>
      </c>
      <c r="M351" t="s">
        <v>2000</v>
      </c>
      <c r="N351" t="s">
        <v>1992</v>
      </c>
      <c r="O351" t="s">
        <v>1992</v>
      </c>
      <c r="P351" t="s">
        <v>1992</v>
      </c>
      <c r="Q351" t="s">
        <v>1992</v>
      </c>
      <c r="R351" t="s">
        <v>1992</v>
      </c>
      <c r="S351" t="s">
        <v>1992</v>
      </c>
      <c r="T351" t="s">
        <v>1992</v>
      </c>
      <c r="U351" t="s">
        <v>1992</v>
      </c>
      <c r="V351" t="s">
        <v>1991</v>
      </c>
      <c r="W351" t="s">
        <v>1991</v>
      </c>
      <c r="X351" t="s">
        <v>1991</v>
      </c>
      <c r="Y351" t="s">
        <v>1992</v>
      </c>
      <c r="Z351" t="s">
        <v>1992</v>
      </c>
      <c r="AF351" t="s">
        <v>2016</v>
      </c>
      <c r="AG351" t="s">
        <v>1991</v>
      </c>
      <c r="AH351">
        <v>30</v>
      </c>
      <c r="AI351">
        <v>30</v>
      </c>
      <c r="AJ351" t="s">
        <v>2429</v>
      </c>
      <c r="AK351">
        <v>45</v>
      </c>
      <c r="AL351">
        <v>60176</v>
      </c>
      <c r="AM351" t="s">
        <v>2430</v>
      </c>
      <c r="AN351" t="s">
        <v>2066</v>
      </c>
      <c r="AO351" t="s">
        <v>2063</v>
      </c>
      <c r="BF351" t="s">
        <v>1053</v>
      </c>
      <c r="BG351" t="s">
        <v>2345</v>
      </c>
      <c r="BH351" t="s">
        <v>2431</v>
      </c>
      <c r="BI351" t="s">
        <v>1053</v>
      </c>
      <c r="BJ351" t="s">
        <v>2069</v>
      </c>
      <c r="BK351" t="s">
        <v>1053</v>
      </c>
      <c r="BL351" t="s">
        <v>2069</v>
      </c>
      <c r="BM351" t="s">
        <v>749</v>
      </c>
      <c r="BN351" t="s">
        <v>757</v>
      </c>
      <c r="BO351" t="s">
        <v>1053</v>
      </c>
      <c r="BP351" t="s">
        <v>986</v>
      </c>
      <c r="BQ351" t="s">
        <v>2140</v>
      </c>
      <c r="BR351" t="s">
        <v>1053</v>
      </c>
      <c r="BS351" t="s">
        <v>1053</v>
      </c>
      <c r="BT351" t="s">
        <v>1053</v>
      </c>
      <c r="BU351" t="s">
        <v>1053</v>
      </c>
      <c r="BV351" t="s">
        <v>520</v>
      </c>
      <c r="BW351" t="s">
        <v>523</v>
      </c>
      <c r="BX351" t="str">
        <f>""</f>
        <v/>
      </c>
      <c r="BY351" t="str">
        <f>""</f>
        <v/>
      </c>
      <c r="BZ351" t="str">
        <f>""</f>
        <v/>
      </c>
      <c r="CA351" t="str">
        <f>""</f>
        <v/>
      </c>
      <c r="CB351" t="str">
        <f>""</f>
        <v/>
      </c>
      <c r="CC351" t="str">
        <f>""</f>
        <v/>
      </c>
      <c r="CD351" t="str">
        <f>""</f>
        <v/>
      </c>
      <c r="CE351" t="str">
        <f>""</f>
        <v/>
      </c>
      <c r="CF351" t="str">
        <f>""</f>
        <v/>
      </c>
      <c r="CG351" t="str">
        <f>""</f>
        <v/>
      </c>
      <c r="CH351" t="str">
        <f>""</f>
        <v/>
      </c>
    </row>
    <row r="352" spans="1:86" x14ac:dyDescent="0.25">
      <c r="A352" t="s">
        <v>2432</v>
      </c>
      <c r="B352" t="s">
        <v>2433</v>
      </c>
      <c r="C352" t="s">
        <v>1992</v>
      </c>
      <c r="D352" t="s">
        <v>2010</v>
      </c>
      <c r="E352" t="s">
        <v>2434</v>
      </c>
      <c r="F352" t="s">
        <v>2435</v>
      </c>
      <c r="H352" t="s">
        <v>2436</v>
      </c>
      <c r="I352" t="s">
        <v>2340</v>
      </c>
      <c r="J352" t="str">
        <f>"25951"</f>
        <v>25951</v>
      </c>
      <c r="K352" t="s">
        <v>1998</v>
      </c>
      <c r="L352" t="s">
        <v>2015</v>
      </c>
      <c r="M352" t="s">
        <v>2000</v>
      </c>
      <c r="N352" t="s">
        <v>1992</v>
      </c>
      <c r="O352" t="s">
        <v>1992</v>
      </c>
      <c r="P352" t="s">
        <v>1992</v>
      </c>
      <c r="Q352" t="s">
        <v>1992</v>
      </c>
      <c r="R352" t="s">
        <v>1992</v>
      </c>
      <c r="S352" t="s">
        <v>1992</v>
      </c>
      <c r="T352" t="s">
        <v>1992</v>
      </c>
      <c r="U352" t="s">
        <v>1992</v>
      </c>
      <c r="V352" t="s">
        <v>1991</v>
      </c>
      <c r="W352" t="s">
        <v>1991</v>
      </c>
      <c r="X352" t="s">
        <v>1992</v>
      </c>
      <c r="Y352" t="s">
        <v>1992</v>
      </c>
      <c r="Z352" t="s">
        <v>1992</v>
      </c>
      <c r="AF352" t="s">
        <v>2016</v>
      </c>
      <c r="AG352" t="s">
        <v>1991</v>
      </c>
      <c r="AH352">
        <v>30</v>
      </c>
      <c r="AI352">
        <v>30</v>
      </c>
      <c r="AJ352" t="s">
        <v>2437</v>
      </c>
      <c r="AK352">
        <v>1384</v>
      </c>
      <c r="AL352">
        <v>2651</v>
      </c>
      <c r="AN352" t="s">
        <v>3537</v>
      </c>
      <c r="AO352" t="s">
        <v>2063</v>
      </c>
      <c r="BF352" t="s">
        <v>1053</v>
      </c>
      <c r="BG352" t="s">
        <v>2097</v>
      </c>
      <c r="BH352" t="s">
        <v>3481</v>
      </c>
      <c r="BI352" t="s">
        <v>1053</v>
      </c>
      <c r="BJ352" t="s">
        <v>1053</v>
      </c>
      <c r="BK352" t="s">
        <v>1053</v>
      </c>
      <c r="BL352" t="s">
        <v>1053</v>
      </c>
      <c r="BM352" t="s">
        <v>2343</v>
      </c>
      <c r="BN352" t="s">
        <v>2344</v>
      </c>
      <c r="BO352" t="s">
        <v>1053</v>
      </c>
      <c r="BP352" t="s">
        <v>366</v>
      </c>
      <c r="BQ352" t="s">
        <v>367</v>
      </c>
      <c r="BR352" t="s">
        <v>1053</v>
      </c>
      <c r="BS352" t="s">
        <v>1053</v>
      </c>
      <c r="BT352" t="s">
        <v>1053</v>
      </c>
      <c r="BU352" t="s">
        <v>1053</v>
      </c>
      <c r="BV352" t="s">
        <v>2347</v>
      </c>
      <c r="BX352" t="str">
        <f>"S--W-F- 0915-1100 1700-1900"</f>
        <v>S--W-F- 0915-1100 1700-1900</v>
      </c>
      <c r="BY352" t="str">
        <f>""</f>
        <v/>
      </c>
      <c r="BZ352" t="str">
        <f>""</f>
        <v/>
      </c>
      <c r="CA352" t="str">
        <f>""</f>
        <v/>
      </c>
      <c r="CB352" t="str">
        <f>""</f>
        <v/>
      </c>
      <c r="CC352" t="str">
        <f>""</f>
        <v/>
      </c>
      <c r="CD352" t="str">
        <f>""</f>
        <v/>
      </c>
      <c r="CE352" t="str">
        <f>""</f>
        <v/>
      </c>
      <c r="CF352" t="str">
        <f>""</f>
        <v/>
      </c>
      <c r="CG352" t="str">
        <f>""</f>
        <v/>
      </c>
      <c r="CH352" t="str">
        <f>""</f>
        <v/>
      </c>
    </row>
    <row r="353" spans="1:86" x14ac:dyDescent="0.25">
      <c r="A353" t="s">
        <v>2438</v>
      </c>
      <c r="B353" t="s">
        <v>2439</v>
      </c>
      <c r="C353" t="s">
        <v>1992</v>
      </c>
      <c r="D353" t="s">
        <v>1993</v>
      </c>
      <c r="E353" t="s">
        <v>2440</v>
      </c>
      <c r="F353" t="s">
        <v>2441</v>
      </c>
      <c r="H353" t="s">
        <v>2442</v>
      </c>
      <c r="I353" t="s">
        <v>2170</v>
      </c>
      <c r="J353" t="str">
        <f>"55037"</f>
        <v>55037</v>
      </c>
      <c r="K353" t="s">
        <v>1998</v>
      </c>
      <c r="L353" t="s">
        <v>1999</v>
      </c>
      <c r="M353" t="s">
        <v>2443</v>
      </c>
      <c r="N353" t="s">
        <v>1992</v>
      </c>
      <c r="O353" t="s">
        <v>1992</v>
      </c>
      <c r="P353" t="s">
        <v>1992</v>
      </c>
      <c r="Q353" t="s">
        <v>1992</v>
      </c>
      <c r="R353" t="s">
        <v>1992</v>
      </c>
      <c r="S353" t="s">
        <v>1992</v>
      </c>
      <c r="T353" t="s">
        <v>1991</v>
      </c>
      <c r="U353" t="s">
        <v>1992</v>
      </c>
      <c r="V353" t="s">
        <v>1991</v>
      </c>
      <c r="W353" t="s">
        <v>1992</v>
      </c>
      <c r="X353" t="s">
        <v>1992</v>
      </c>
      <c r="Y353" t="s">
        <v>1991</v>
      </c>
      <c r="Z353" t="s">
        <v>1992</v>
      </c>
      <c r="AE353" t="s">
        <v>2353</v>
      </c>
      <c r="AF353" t="s">
        <v>2001</v>
      </c>
      <c r="AG353" t="s">
        <v>1991</v>
      </c>
      <c r="AH353">
        <v>30</v>
      </c>
      <c r="AI353">
        <v>30</v>
      </c>
      <c r="AJ353" t="s">
        <v>2444</v>
      </c>
      <c r="AK353">
        <v>1030</v>
      </c>
      <c r="AL353">
        <v>1432</v>
      </c>
      <c r="BF353" t="s">
        <v>1053</v>
      </c>
      <c r="BG353" t="s">
        <v>2067</v>
      </c>
      <c r="BH353" t="s">
        <v>286</v>
      </c>
      <c r="BI353" t="s">
        <v>1053</v>
      </c>
      <c r="BJ353" t="s">
        <v>2069</v>
      </c>
      <c r="BK353" t="s">
        <v>1053</v>
      </c>
      <c r="BL353" t="s">
        <v>2069</v>
      </c>
      <c r="BM353" t="s">
        <v>287</v>
      </c>
      <c r="BN353" t="s">
        <v>288</v>
      </c>
      <c r="BO353" t="s">
        <v>1053</v>
      </c>
      <c r="BP353" t="s">
        <v>2514</v>
      </c>
      <c r="BQ353" t="s">
        <v>2006</v>
      </c>
      <c r="BR353" t="s">
        <v>1053</v>
      </c>
      <c r="BS353" t="s">
        <v>1053</v>
      </c>
      <c r="BT353" t="s">
        <v>1053</v>
      </c>
      <c r="BU353" t="s">
        <v>1053</v>
      </c>
      <c r="BX353" t="str">
        <f>""</f>
        <v/>
      </c>
      <c r="BY353" t="str">
        <f>""</f>
        <v/>
      </c>
      <c r="BZ353" t="str">
        <f>""</f>
        <v/>
      </c>
      <c r="CA353" t="str">
        <f>""</f>
        <v/>
      </c>
      <c r="CB353" t="str">
        <f>""</f>
        <v/>
      </c>
      <c r="CC353" t="str">
        <f>""</f>
        <v/>
      </c>
      <c r="CD353" t="str">
        <f>""</f>
        <v/>
      </c>
      <c r="CE353" t="str">
        <f>""</f>
        <v/>
      </c>
      <c r="CF353" t="str">
        <f>""</f>
        <v/>
      </c>
      <c r="CG353" t="str">
        <f>""</f>
        <v/>
      </c>
      <c r="CH353" t="str">
        <f>""</f>
        <v/>
      </c>
    </row>
    <row r="354" spans="1:86" x14ac:dyDescent="0.25">
      <c r="A354" t="s">
        <v>2445</v>
      </c>
      <c r="B354" t="s">
        <v>2446</v>
      </c>
      <c r="C354" t="s">
        <v>1992</v>
      </c>
      <c r="D354" t="s">
        <v>1993</v>
      </c>
      <c r="E354" t="s">
        <v>2447</v>
      </c>
      <c r="F354" t="s">
        <v>2448</v>
      </c>
      <c r="H354" t="s">
        <v>2449</v>
      </c>
      <c r="I354" t="s">
        <v>2352</v>
      </c>
      <c r="J354" t="str">
        <f>"49930"</f>
        <v>49930</v>
      </c>
      <c r="K354" t="s">
        <v>1998</v>
      </c>
      <c r="L354" t="s">
        <v>1999</v>
      </c>
      <c r="M354" t="s">
        <v>2000</v>
      </c>
      <c r="N354" t="s">
        <v>1992</v>
      </c>
      <c r="O354" t="s">
        <v>1992</v>
      </c>
      <c r="P354" t="s">
        <v>1992</v>
      </c>
      <c r="Q354" t="s">
        <v>1992</v>
      </c>
      <c r="R354" t="s">
        <v>1992</v>
      </c>
      <c r="S354" t="s">
        <v>1992</v>
      </c>
      <c r="T354" t="s">
        <v>1992</v>
      </c>
      <c r="U354" t="s">
        <v>1992</v>
      </c>
      <c r="V354" t="s">
        <v>1991</v>
      </c>
      <c r="Z354" t="s">
        <v>1991</v>
      </c>
      <c r="AF354" t="s">
        <v>2016</v>
      </c>
      <c r="AG354" t="s">
        <v>1991</v>
      </c>
      <c r="AH354">
        <v>15</v>
      </c>
      <c r="AI354">
        <v>15</v>
      </c>
      <c r="AJ354" t="s">
        <v>2450</v>
      </c>
      <c r="AK354">
        <v>695</v>
      </c>
      <c r="BX354" t="str">
        <f>""</f>
        <v/>
      </c>
      <c r="BY354" t="str">
        <f>""</f>
        <v/>
      </c>
      <c r="BZ354" t="str">
        <f>""</f>
        <v/>
      </c>
      <c r="CA354" t="str">
        <f>""</f>
        <v/>
      </c>
      <c r="CB354" t="str">
        <f>""</f>
        <v/>
      </c>
      <c r="CC354" t="str">
        <f>""</f>
        <v/>
      </c>
      <c r="CD354" t="str">
        <f>""</f>
        <v/>
      </c>
      <c r="CE354" t="str">
        <f>""</f>
        <v/>
      </c>
      <c r="CF354" t="str">
        <f>""</f>
        <v/>
      </c>
      <c r="CG354" t="str">
        <f>""</f>
        <v/>
      </c>
      <c r="CH354" t="str">
        <f>""</f>
        <v/>
      </c>
    </row>
    <row r="355" spans="1:86" x14ac:dyDescent="0.25">
      <c r="A355" t="s">
        <v>2451</v>
      </c>
      <c r="B355" t="s">
        <v>2452</v>
      </c>
      <c r="C355" t="s">
        <v>1992</v>
      </c>
      <c r="D355" t="s">
        <v>2010</v>
      </c>
      <c r="E355" t="s">
        <v>2453</v>
      </c>
      <c r="H355" t="s">
        <v>2454</v>
      </c>
      <c r="I355" t="s">
        <v>5258</v>
      </c>
      <c r="J355" t="str">
        <f>"68949"</f>
        <v>68949</v>
      </c>
      <c r="K355" t="s">
        <v>1998</v>
      </c>
      <c r="L355" t="s">
        <v>1999</v>
      </c>
      <c r="M355" t="s">
        <v>2063</v>
      </c>
      <c r="N355" t="s">
        <v>1992</v>
      </c>
      <c r="O355" t="s">
        <v>1992</v>
      </c>
      <c r="P355" t="s">
        <v>1992</v>
      </c>
      <c r="Q355" t="s">
        <v>1992</v>
      </c>
      <c r="R355" t="s">
        <v>1992</v>
      </c>
      <c r="S355" t="s">
        <v>1992</v>
      </c>
      <c r="T355" t="s">
        <v>1992</v>
      </c>
      <c r="U355" t="s">
        <v>1992</v>
      </c>
      <c r="V355" t="s">
        <v>1991</v>
      </c>
      <c r="W355" t="s">
        <v>1991</v>
      </c>
      <c r="X355" t="s">
        <v>1992</v>
      </c>
      <c r="Y355" t="s">
        <v>1992</v>
      </c>
      <c r="Z355" t="s">
        <v>1992</v>
      </c>
      <c r="AF355" t="s">
        <v>2001</v>
      </c>
      <c r="AG355" t="s">
        <v>1991</v>
      </c>
      <c r="AH355">
        <v>30</v>
      </c>
      <c r="AI355">
        <v>30</v>
      </c>
      <c r="AJ355" t="s">
        <v>2455</v>
      </c>
      <c r="AK355">
        <v>2328</v>
      </c>
      <c r="AL355">
        <v>6000</v>
      </c>
      <c r="AN355" t="s">
        <v>2066</v>
      </c>
      <c r="AO355" t="s">
        <v>2063</v>
      </c>
      <c r="BF355" t="s">
        <v>1053</v>
      </c>
      <c r="BG355" t="s">
        <v>2097</v>
      </c>
      <c r="BH355" t="s">
        <v>798</v>
      </c>
      <c r="BI355" t="s">
        <v>1053</v>
      </c>
      <c r="BK355" t="s">
        <v>1053</v>
      </c>
      <c r="BL355" t="s">
        <v>1053</v>
      </c>
      <c r="BO355" t="s">
        <v>1053</v>
      </c>
      <c r="BP355" t="s">
        <v>2456</v>
      </c>
      <c r="BQ355" t="s">
        <v>2376</v>
      </c>
      <c r="BR355" t="s">
        <v>1053</v>
      </c>
      <c r="BX355" t="str">
        <f>""</f>
        <v/>
      </c>
      <c r="BY355" t="str">
        <f>""</f>
        <v/>
      </c>
      <c r="BZ355" t="str">
        <f>""</f>
        <v/>
      </c>
      <c r="CA355" t="str">
        <f>""</f>
        <v/>
      </c>
      <c r="CB355" t="str">
        <f>""</f>
        <v/>
      </c>
      <c r="CC355" t="str">
        <f>""</f>
        <v/>
      </c>
      <c r="CD355" t="str">
        <f>""</f>
        <v/>
      </c>
      <c r="CE355" t="str">
        <f>""</f>
        <v/>
      </c>
      <c r="CF355" t="str">
        <f>""</f>
        <v/>
      </c>
      <c r="CG355" t="str">
        <f>""</f>
        <v/>
      </c>
      <c r="CH355" t="str">
        <f>""</f>
        <v/>
      </c>
    </row>
    <row r="356" spans="1:86" x14ac:dyDescent="0.25">
      <c r="A356" t="s">
        <v>2457</v>
      </c>
      <c r="B356" t="s">
        <v>2458</v>
      </c>
      <c r="C356" t="s">
        <v>1991</v>
      </c>
      <c r="D356" t="s">
        <v>2010</v>
      </c>
      <c r="E356" t="s">
        <v>2459</v>
      </c>
      <c r="H356" t="s">
        <v>5288</v>
      </c>
      <c r="I356" t="s">
        <v>830</v>
      </c>
      <c r="J356" t="str">
        <f>"70401"</f>
        <v>70401</v>
      </c>
      <c r="K356" t="s">
        <v>1998</v>
      </c>
      <c r="L356" t="s">
        <v>408</v>
      </c>
      <c r="M356" t="s">
        <v>5289</v>
      </c>
      <c r="N356" t="s">
        <v>1991</v>
      </c>
      <c r="O356" t="s">
        <v>1992</v>
      </c>
      <c r="P356" t="s">
        <v>1992</v>
      </c>
      <c r="Q356" t="s">
        <v>1991</v>
      </c>
      <c r="R356" t="s">
        <v>1991</v>
      </c>
      <c r="S356" t="s">
        <v>1992</v>
      </c>
      <c r="T356" t="s">
        <v>1992</v>
      </c>
      <c r="U356" t="s">
        <v>1991</v>
      </c>
      <c r="V356" t="s">
        <v>1991</v>
      </c>
      <c r="W356" t="s">
        <v>1991</v>
      </c>
      <c r="X356" t="s">
        <v>1992</v>
      </c>
      <c r="Y356" t="s">
        <v>1992</v>
      </c>
      <c r="Z356" t="s">
        <v>1992</v>
      </c>
      <c r="AE356" t="s">
        <v>2047</v>
      </c>
      <c r="AF356" t="s">
        <v>2001</v>
      </c>
      <c r="AG356" t="s">
        <v>1991</v>
      </c>
      <c r="AH356">
        <v>60</v>
      </c>
      <c r="AI356">
        <v>30</v>
      </c>
      <c r="AJ356" t="s">
        <v>5290</v>
      </c>
      <c r="AK356">
        <v>44</v>
      </c>
      <c r="AL356">
        <v>19134</v>
      </c>
      <c r="AN356" t="s">
        <v>1053</v>
      </c>
      <c r="AO356" t="s">
        <v>1053</v>
      </c>
      <c r="AP356" t="s">
        <v>2069</v>
      </c>
      <c r="AQ356" t="s">
        <v>1053</v>
      </c>
      <c r="AR356" t="s">
        <v>2069</v>
      </c>
      <c r="AS356" t="s">
        <v>2457</v>
      </c>
      <c r="AT356" t="s">
        <v>5291</v>
      </c>
      <c r="AU356" t="s">
        <v>1053</v>
      </c>
      <c r="AV356" t="s">
        <v>1053</v>
      </c>
      <c r="AW356" t="s">
        <v>2069</v>
      </c>
      <c r="AX356" t="s">
        <v>1053</v>
      </c>
      <c r="AY356" t="s">
        <v>2069</v>
      </c>
      <c r="AZ356" t="s">
        <v>2457</v>
      </c>
      <c r="BA356" t="s">
        <v>5291</v>
      </c>
      <c r="BB356" t="s">
        <v>1053</v>
      </c>
      <c r="BC356" t="s">
        <v>2069</v>
      </c>
      <c r="BD356" t="s">
        <v>1053</v>
      </c>
      <c r="BE356" t="s">
        <v>2069</v>
      </c>
      <c r="BF356" t="s">
        <v>1053</v>
      </c>
      <c r="BG356" t="s">
        <v>5285</v>
      </c>
      <c r="BH356" t="s">
        <v>781</v>
      </c>
      <c r="BI356" t="s">
        <v>1053</v>
      </c>
      <c r="BJ356" t="s">
        <v>1053</v>
      </c>
      <c r="BK356" t="s">
        <v>1053</v>
      </c>
      <c r="BL356" t="s">
        <v>1053</v>
      </c>
      <c r="BM356" t="s">
        <v>416</v>
      </c>
      <c r="BN356" t="s">
        <v>782</v>
      </c>
      <c r="BO356" t="s">
        <v>1053</v>
      </c>
      <c r="BP356" t="s">
        <v>653</v>
      </c>
      <c r="BQ356" t="s">
        <v>5292</v>
      </c>
      <c r="BR356" t="s">
        <v>1053</v>
      </c>
      <c r="BS356" t="s">
        <v>1053</v>
      </c>
      <c r="BT356" t="s">
        <v>1053</v>
      </c>
      <c r="BU356" t="s">
        <v>1053</v>
      </c>
      <c r="BV356" t="s">
        <v>416</v>
      </c>
      <c r="BW356" t="s">
        <v>782</v>
      </c>
      <c r="BX356" t="str">
        <f>"SMTWTFS 1000-1730"</f>
        <v>SMTWTFS 1000-1730</v>
      </c>
      <c r="BY356" t="str">
        <f>"SMTWTFS 1000-1715"</f>
        <v>SMTWTFS 1000-1715</v>
      </c>
      <c r="BZ356" t="str">
        <f>"SMTWTFS 1000-1715"</f>
        <v>SMTWTFS 1000-1715</v>
      </c>
      <c r="CA356" t="str">
        <f>"SMTWTFS 1000-1715"</f>
        <v>SMTWTFS 1000-1715</v>
      </c>
      <c r="CB356" t="str">
        <f>""</f>
        <v/>
      </c>
      <c r="CC356" t="str">
        <f>""</f>
        <v/>
      </c>
      <c r="CD356" t="str">
        <f>""</f>
        <v/>
      </c>
      <c r="CE356" t="str">
        <f>""</f>
        <v/>
      </c>
      <c r="CF356" t="str">
        <f>"SMTWTFS 1000-1715"</f>
        <v>SMTWTFS 1000-1715</v>
      </c>
      <c r="CG356" t="str">
        <f>""</f>
        <v/>
      </c>
      <c r="CH356" t="str">
        <f>""</f>
        <v/>
      </c>
    </row>
    <row r="357" spans="1:86" x14ac:dyDescent="0.25">
      <c r="A357" t="s">
        <v>5293</v>
      </c>
      <c r="B357" t="s">
        <v>5294</v>
      </c>
      <c r="C357" t="s">
        <v>1992</v>
      </c>
      <c r="D357" t="s">
        <v>2010</v>
      </c>
      <c r="E357" t="s">
        <v>5295</v>
      </c>
      <c r="H357" t="s">
        <v>5288</v>
      </c>
      <c r="I357" t="s">
        <v>3623</v>
      </c>
      <c r="J357" t="str">
        <f>"46320-1044"</f>
        <v>46320-1044</v>
      </c>
      <c r="K357" t="s">
        <v>1998</v>
      </c>
      <c r="L357" t="s">
        <v>1999</v>
      </c>
      <c r="M357" t="s">
        <v>2000</v>
      </c>
      <c r="N357" t="s">
        <v>1992</v>
      </c>
      <c r="O357" t="s">
        <v>1992</v>
      </c>
      <c r="P357" t="s">
        <v>1992</v>
      </c>
      <c r="Q357" t="s">
        <v>1992</v>
      </c>
      <c r="R357" t="s">
        <v>1992</v>
      </c>
      <c r="S357" t="s">
        <v>1992</v>
      </c>
      <c r="T357" t="s">
        <v>1992</v>
      </c>
      <c r="U357" t="s">
        <v>1992</v>
      </c>
      <c r="V357" t="s">
        <v>1991</v>
      </c>
      <c r="W357" t="s">
        <v>1991</v>
      </c>
      <c r="X357" t="s">
        <v>1992</v>
      </c>
      <c r="Y357" t="s">
        <v>1992</v>
      </c>
      <c r="Z357" t="s">
        <v>1992</v>
      </c>
      <c r="AA357" t="s">
        <v>1992</v>
      </c>
      <c r="AF357" t="s">
        <v>2001</v>
      </c>
      <c r="AG357" t="s">
        <v>1991</v>
      </c>
      <c r="AH357">
        <v>30</v>
      </c>
      <c r="AI357">
        <v>30</v>
      </c>
      <c r="AJ357" t="s">
        <v>5296</v>
      </c>
      <c r="AK357">
        <v>588</v>
      </c>
      <c r="AL357">
        <v>100000</v>
      </c>
      <c r="AM357" t="s">
        <v>5297</v>
      </c>
      <c r="BF357" t="s">
        <v>1053</v>
      </c>
      <c r="BG357" t="s">
        <v>541</v>
      </c>
      <c r="BH357" t="s">
        <v>2312</v>
      </c>
      <c r="BI357" t="s">
        <v>1053</v>
      </c>
      <c r="BK357" t="s">
        <v>1053</v>
      </c>
      <c r="BO357" t="s">
        <v>1053</v>
      </c>
      <c r="BP357" t="s">
        <v>301</v>
      </c>
      <c r="BQ357" t="s">
        <v>2316</v>
      </c>
      <c r="BR357" t="s">
        <v>1053</v>
      </c>
      <c r="BT357" t="s">
        <v>1053</v>
      </c>
      <c r="BX357" t="str">
        <f>"-MTWTF- 1200-1700"</f>
        <v>-MTWTF- 1200-1700</v>
      </c>
      <c r="BY357" t="str">
        <f>""</f>
        <v/>
      </c>
      <c r="BZ357" t="str">
        <f>""</f>
        <v/>
      </c>
      <c r="CA357" t="str">
        <f>""</f>
        <v/>
      </c>
      <c r="CB357" t="str">
        <f>""</f>
        <v/>
      </c>
      <c r="CC357" t="str">
        <f>""</f>
        <v/>
      </c>
      <c r="CD357" t="str">
        <f>""</f>
        <v/>
      </c>
      <c r="CE357" t="str">
        <f>""</f>
        <v/>
      </c>
      <c r="CF357" t="str">
        <f>""</f>
        <v/>
      </c>
      <c r="CG357" t="str">
        <f>""</f>
        <v/>
      </c>
      <c r="CH357" t="str">
        <f>""</f>
        <v/>
      </c>
    </row>
    <row r="358" spans="1:86" x14ac:dyDescent="0.25">
      <c r="A358" t="s">
        <v>5298</v>
      </c>
      <c r="B358" t="s">
        <v>2578</v>
      </c>
      <c r="C358" t="s">
        <v>1992</v>
      </c>
      <c r="D358" t="s">
        <v>1993</v>
      </c>
      <c r="E358" t="s">
        <v>2579</v>
      </c>
      <c r="F358" t="s">
        <v>2580</v>
      </c>
      <c r="H358" t="s">
        <v>5537</v>
      </c>
      <c r="I358" t="s">
        <v>2061</v>
      </c>
      <c r="J358" t="str">
        <f>"92543-2905"</f>
        <v>92543-2905</v>
      </c>
      <c r="K358" t="s">
        <v>1998</v>
      </c>
      <c r="L358" t="s">
        <v>2045</v>
      </c>
      <c r="M358" t="s">
        <v>2000</v>
      </c>
      <c r="N358" t="s">
        <v>1992</v>
      </c>
      <c r="O358" t="s">
        <v>1992</v>
      </c>
      <c r="P358" t="s">
        <v>1992</v>
      </c>
      <c r="Q358" t="s">
        <v>1992</v>
      </c>
      <c r="R358" t="s">
        <v>1992</v>
      </c>
      <c r="S358" t="s">
        <v>1992</v>
      </c>
      <c r="T358" t="s">
        <v>1992</v>
      </c>
      <c r="U358" t="s">
        <v>1992</v>
      </c>
      <c r="V358" t="s">
        <v>1991</v>
      </c>
      <c r="W358" t="s">
        <v>1992</v>
      </c>
      <c r="X358" t="s">
        <v>1992</v>
      </c>
      <c r="Y358" t="s">
        <v>1991</v>
      </c>
      <c r="Z358" t="s">
        <v>1991</v>
      </c>
      <c r="AB358" t="s">
        <v>5538</v>
      </c>
      <c r="AF358" t="s">
        <v>2064</v>
      </c>
      <c r="AG358" t="s">
        <v>1991</v>
      </c>
      <c r="AH358">
        <v>30</v>
      </c>
      <c r="AI358">
        <v>30</v>
      </c>
      <c r="AJ358" t="s">
        <v>2581</v>
      </c>
      <c r="AK358">
        <v>1596</v>
      </c>
      <c r="AL358">
        <v>70136</v>
      </c>
      <c r="AM358" t="s">
        <v>2298</v>
      </c>
      <c r="AN358" t="s">
        <v>2582</v>
      </c>
      <c r="AO358" t="s">
        <v>2063</v>
      </c>
      <c r="BF358" t="s">
        <v>1053</v>
      </c>
      <c r="BG358" t="s">
        <v>309</v>
      </c>
      <c r="BH358" t="s">
        <v>2301</v>
      </c>
      <c r="BI358" t="s">
        <v>1053</v>
      </c>
      <c r="BK358" t="s">
        <v>1053</v>
      </c>
      <c r="BO358" t="s">
        <v>1053</v>
      </c>
      <c r="BP358" t="s">
        <v>310</v>
      </c>
      <c r="BQ358" t="s">
        <v>311</v>
      </c>
      <c r="BR358" t="s">
        <v>1053</v>
      </c>
      <c r="BS358" t="s">
        <v>1053</v>
      </c>
      <c r="BT358" t="s">
        <v>1053</v>
      </c>
      <c r="BU358" t="s">
        <v>1053</v>
      </c>
      <c r="BX358" t="str">
        <f>""</f>
        <v/>
      </c>
      <c r="BY358" t="str">
        <f>""</f>
        <v/>
      </c>
      <c r="BZ358" t="str">
        <f>""</f>
        <v/>
      </c>
      <c r="CA358" t="str">
        <f>""</f>
        <v/>
      </c>
      <c r="CB358" t="str">
        <f>""</f>
        <v/>
      </c>
      <c r="CC358" t="str">
        <f>""</f>
        <v/>
      </c>
      <c r="CD358" t="str">
        <f>""</f>
        <v/>
      </c>
      <c r="CE358" t="str">
        <f>""</f>
        <v/>
      </c>
      <c r="CF358" t="str">
        <f>""</f>
        <v/>
      </c>
      <c r="CG358" t="str">
        <f>""</f>
        <v/>
      </c>
      <c r="CH358" t="str">
        <f>""</f>
        <v/>
      </c>
    </row>
    <row r="359" spans="1:86" x14ac:dyDescent="0.25">
      <c r="A359" t="s">
        <v>2583</v>
      </c>
      <c r="B359" t="s">
        <v>2584</v>
      </c>
      <c r="C359" t="s">
        <v>1991</v>
      </c>
      <c r="D359" t="s">
        <v>2010</v>
      </c>
      <c r="E359" t="s">
        <v>2585</v>
      </c>
      <c r="H359" t="s">
        <v>2586</v>
      </c>
      <c r="I359" t="s">
        <v>2367</v>
      </c>
      <c r="J359" t="str">
        <f>"60430"</f>
        <v>60430</v>
      </c>
      <c r="K359" t="s">
        <v>1998</v>
      </c>
      <c r="L359" t="s">
        <v>1999</v>
      </c>
      <c r="M359" t="s">
        <v>2587</v>
      </c>
      <c r="N359" t="s">
        <v>1991</v>
      </c>
      <c r="O359" t="s">
        <v>1992</v>
      </c>
      <c r="P359" t="s">
        <v>1992</v>
      </c>
      <c r="Q359" t="s">
        <v>1992</v>
      </c>
      <c r="R359" t="s">
        <v>1992</v>
      </c>
      <c r="S359" t="s">
        <v>1992</v>
      </c>
      <c r="T359" t="s">
        <v>1992</v>
      </c>
      <c r="U359" t="s">
        <v>1991</v>
      </c>
      <c r="V359" t="s">
        <v>1991</v>
      </c>
      <c r="W359" t="s">
        <v>1991</v>
      </c>
      <c r="X359" t="s">
        <v>1992</v>
      </c>
      <c r="Y359" t="s">
        <v>1992</v>
      </c>
      <c r="Z359" t="s">
        <v>1992</v>
      </c>
      <c r="AE359" t="s">
        <v>2047</v>
      </c>
      <c r="AF359" t="s">
        <v>2001</v>
      </c>
      <c r="AG359" t="s">
        <v>1991</v>
      </c>
      <c r="AH359">
        <v>60</v>
      </c>
      <c r="AI359">
        <v>30</v>
      </c>
      <c r="AJ359" t="s">
        <v>2588</v>
      </c>
      <c r="AK359">
        <v>656</v>
      </c>
      <c r="AL359">
        <v>18700</v>
      </c>
      <c r="AM359" t="s">
        <v>2589</v>
      </c>
      <c r="AN359" t="s">
        <v>1053</v>
      </c>
      <c r="AO359" t="s">
        <v>1053</v>
      </c>
      <c r="AP359" t="s">
        <v>2069</v>
      </c>
      <c r="AQ359" t="s">
        <v>1053</v>
      </c>
      <c r="AR359" t="s">
        <v>2069</v>
      </c>
      <c r="AS359" t="s">
        <v>2583</v>
      </c>
      <c r="AT359" t="s">
        <v>2590</v>
      </c>
      <c r="AU359" t="s">
        <v>1053</v>
      </c>
      <c r="AV359" t="s">
        <v>1053</v>
      </c>
      <c r="AW359" t="s">
        <v>2069</v>
      </c>
      <c r="AX359" t="s">
        <v>1053</v>
      </c>
      <c r="AY359" t="s">
        <v>2069</v>
      </c>
      <c r="AZ359" t="s">
        <v>2583</v>
      </c>
      <c r="BA359" t="s">
        <v>2590</v>
      </c>
      <c r="BB359" t="s">
        <v>1053</v>
      </c>
      <c r="BC359" t="s">
        <v>2069</v>
      </c>
      <c r="BD359" t="s">
        <v>1053</v>
      </c>
      <c r="BE359" t="s">
        <v>2069</v>
      </c>
      <c r="BF359" t="s">
        <v>1053</v>
      </c>
      <c r="BG359" t="s">
        <v>2591</v>
      </c>
      <c r="BH359" t="s">
        <v>798</v>
      </c>
      <c r="BI359" t="s">
        <v>1053</v>
      </c>
      <c r="BK359" t="s">
        <v>1053</v>
      </c>
      <c r="BL359" t="s">
        <v>1053</v>
      </c>
      <c r="BO359" t="s">
        <v>1053</v>
      </c>
      <c r="BP359" t="s">
        <v>1791</v>
      </c>
      <c r="BQ359" t="s">
        <v>2592</v>
      </c>
      <c r="BR359" t="s">
        <v>1053</v>
      </c>
      <c r="BT359" t="s">
        <v>1053</v>
      </c>
      <c r="BV359" t="s">
        <v>987</v>
      </c>
      <c r="BX359" t="str">
        <f>"SMTWTFS 1400-2130"</f>
        <v>SMTWTFS 1400-2130</v>
      </c>
      <c r="BY359" t="str">
        <f>"SMTWTFS 1400-2130"</f>
        <v>SMTWTFS 1400-2130</v>
      </c>
      <c r="BZ359" t="str">
        <f>""</f>
        <v/>
      </c>
      <c r="CA359" t="str">
        <f>"SMTWTFS 1400-2130"</f>
        <v>SMTWTFS 1400-2130</v>
      </c>
      <c r="CB359" t="str">
        <f>""</f>
        <v/>
      </c>
      <c r="CC359" t="str">
        <f>""</f>
        <v/>
      </c>
      <c r="CD359" t="str">
        <f>""</f>
        <v/>
      </c>
      <c r="CE359" t="str">
        <f>""</f>
        <v/>
      </c>
      <c r="CF359" t="str">
        <f>""</f>
        <v/>
      </c>
      <c r="CG359" t="str">
        <f>""</f>
        <v/>
      </c>
      <c r="CH359" t="str">
        <f>""</f>
        <v/>
      </c>
    </row>
    <row r="360" spans="1:86" x14ac:dyDescent="0.25">
      <c r="A360" t="s">
        <v>2593</v>
      </c>
      <c r="B360" t="s">
        <v>3602</v>
      </c>
      <c r="C360" t="s">
        <v>1991</v>
      </c>
      <c r="D360" t="s">
        <v>2010</v>
      </c>
      <c r="E360" t="s">
        <v>2594</v>
      </c>
      <c r="H360" t="s">
        <v>2595</v>
      </c>
      <c r="I360" t="s">
        <v>2061</v>
      </c>
      <c r="J360" t="str">
        <f>"93230-4554"</f>
        <v>93230-4554</v>
      </c>
      <c r="K360" t="s">
        <v>1998</v>
      </c>
      <c r="L360" t="s">
        <v>2062</v>
      </c>
      <c r="M360" t="s">
        <v>2596</v>
      </c>
      <c r="N360" t="s">
        <v>1991</v>
      </c>
      <c r="O360" t="s">
        <v>1991</v>
      </c>
      <c r="P360" t="s">
        <v>1992</v>
      </c>
      <c r="Q360" t="s">
        <v>1991</v>
      </c>
      <c r="R360" t="s">
        <v>1992</v>
      </c>
      <c r="S360" t="s">
        <v>1992</v>
      </c>
      <c r="T360" t="s">
        <v>1992</v>
      </c>
      <c r="U360" t="s">
        <v>1991</v>
      </c>
      <c r="V360" t="s">
        <v>1991</v>
      </c>
      <c r="W360" t="s">
        <v>1991</v>
      </c>
      <c r="X360" t="s">
        <v>1992</v>
      </c>
      <c r="Y360" t="s">
        <v>1991</v>
      </c>
      <c r="Z360" t="s">
        <v>1992</v>
      </c>
      <c r="AA360" t="s">
        <v>1991</v>
      </c>
      <c r="AE360" t="s">
        <v>2047</v>
      </c>
      <c r="AF360" t="s">
        <v>2064</v>
      </c>
      <c r="AG360" t="s">
        <v>1991</v>
      </c>
      <c r="AH360">
        <v>45</v>
      </c>
      <c r="AI360">
        <v>30</v>
      </c>
      <c r="AJ360" t="s">
        <v>2597</v>
      </c>
      <c r="AK360">
        <v>248</v>
      </c>
      <c r="AL360">
        <v>44100</v>
      </c>
      <c r="AM360" t="s">
        <v>2298</v>
      </c>
      <c r="AN360" t="s">
        <v>1053</v>
      </c>
      <c r="AO360" t="s">
        <v>1053</v>
      </c>
      <c r="AP360" t="s">
        <v>2069</v>
      </c>
      <c r="AQ360" t="s">
        <v>1053</v>
      </c>
      <c r="AR360" t="s">
        <v>2069</v>
      </c>
      <c r="AS360" t="s">
        <v>2593</v>
      </c>
      <c r="AT360" t="s">
        <v>2071</v>
      </c>
      <c r="AU360" t="s">
        <v>1053</v>
      </c>
      <c r="AV360" t="s">
        <v>1053</v>
      </c>
      <c r="AW360" t="s">
        <v>2069</v>
      </c>
      <c r="AX360" t="s">
        <v>1053</v>
      </c>
      <c r="AY360" t="s">
        <v>2069</v>
      </c>
      <c r="AZ360" t="s">
        <v>2593</v>
      </c>
      <c r="BA360" t="s">
        <v>2071</v>
      </c>
      <c r="BB360" t="s">
        <v>1053</v>
      </c>
      <c r="BC360" t="s">
        <v>2069</v>
      </c>
      <c r="BD360" t="s">
        <v>1053</v>
      </c>
      <c r="BE360" t="s">
        <v>2069</v>
      </c>
      <c r="BF360" t="s">
        <v>1053</v>
      </c>
      <c r="BG360" t="s">
        <v>2067</v>
      </c>
      <c r="BH360" t="s">
        <v>2068</v>
      </c>
      <c r="BI360" t="s">
        <v>1053</v>
      </c>
      <c r="BJ360" t="s">
        <v>2069</v>
      </c>
      <c r="BK360" t="s">
        <v>1053</v>
      </c>
      <c r="BL360" t="s">
        <v>2069</v>
      </c>
      <c r="BM360" t="s">
        <v>2070</v>
      </c>
      <c r="BN360" t="s">
        <v>2071</v>
      </c>
      <c r="BO360" t="s">
        <v>1053</v>
      </c>
      <c r="BP360" t="s">
        <v>614</v>
      </c>
      <c r="BQ360" t="s">
        <v>2073</v>
      </c>
      <c r="BR360" t="s">
        <v>1053</v>
      </c>
      <c r="BS360" t="s">
        <v>1053</v>
      </c>
      <c r="BT360" t="s">
        <v>1053</v>
      </c>
      <c r="BU360" t="s">
        <v>1053</v>
      </c>
      <c r="BV360" t="s">
        <v>2074</v>
      </c>
      <c r="BX360" t="str">
        <f>"SMTWTFS 0545-2230"</f>
        <v>SMTWTFS 0545-2230</v>
      </c>
      <c r="BY360" t="str">
        <f>"SMTWTFS 0545-2200"</f>
        <v>SMTWTFS 0545-2200</v>
      </c>
      <c r="BZ360" t="str">
        <f>"SMTWTFS 0525-2200"</f>
        <v>SMTWTFS 0525-2200</v>
      </c>
      <c r="CA360" t="str">
        <f>"SMTWTFS 0545-2200"</f>
        <v>SMTWTFS 0545-2200</v>
      </c>
      <c r="CB360" t="str">
        <f>""</f>
        <v/>
      </c>
      <c r="CC360" t="str">
        <f>"SMTWTFS 0545-2230"</f>
        <v>SMTWTFS 0545-2230</v>
      </c>
      <c r="CD360" t="str">
        <f>""</f>
        <v/>
      </c>
      <c r="CE360" t="str">
        <f>""</f>
        <v/>
      </c>
      <c r="CF360" t="str">
        <f>""</f>
        <v/>
      </c>
      <c r="CG360" t="str">
        <f>""</f>
        <v/>
      </c>
      <c r="CH360" t="str">
        <f>""</f>
        <v/>
      </c>
    </row>
    <row r="361" spans="1:86" x14ac:dyDescent="0.25">
      <c r="A361" t="s">
        <v>2598</v>
      </c>
      <c r="B361" t="s">
        <v>2599</v>
      </c>
      <c r="C361" t="s">
        <v>1992</v>
      </c>
      <c r="D361" t="s">
        <v>1993</v>
      </c>
      <c r="E361" t="s">
        <v>2600</v>
      </c>
      <c r="F361" t="s">
        <v>2601</v>
      </c>
      <c r="H361" t="s">
        <v>2449</v>
      </c>
      <c r="I361" t="s">
        <v>2014</v>
      </c>
      <c r="J361" t="str">
        <f>"21750"</f>
        <v>21750</v>
      </c>
      <c r="K361" t="s">
        <v>1998</v>
      </c>
      <c r="L361" t="s">
        <v>2015</v>
      </c>
      <c r="M361" t="s">
        <v>2000</v>
      </c>
      <c r="N361" t="s">
        <v>1992</v>
      </c>
      <c r="O361" t="s">
        <v>1992</v>
      </c>
      <c r="P361" t="s">
        <v>1992</v>
      </c>
      <c r="Q361" t="s">
        <v>1992</v>
      </c>
      <c r="R361" t="s">
        <v>1992</v>
      </c>
      <c r="S361" t="s">
        <v>1992</v>
      </c>
      <c r="T361" t="s">
        <v>1992</v>
      </c>
      <c r="U361" t="s">
        <v>1992</v>
      </c>
      <c r="V361" t="s">
        <v>1991</v>
      </c>
      <c r="Z361" t="s">
        <v>1991</v>
      </c>
      <c r="AF361" t="s">
        <v>2016</v>
      </c>
      <c r="AG361" t="s">
        <v>1991</v>
      </c>
      <c r="AH361">
        <v>15</v>
      </c>
      <c r="AI361">
        <v>15</v>
      </c>
      <c r="AJ361" t="s">
        <v>2602</v>
      </c>
      <c r="AK361">
        <v>437</v>
      </c>
      <c r="BX361" t="str">
        <f>""</f>
        <v/>
      </c>
      <c r="BY361" t="str">
        <f>""</f>
        <v/>
      </c>
      <c r="BZ361" t="str">
        <f>""</f>
        <v/>
      </c>
      <c r="CA361" t="str">
        <f>""</f>
        <v/>
      </c>
      <c r="CB361" t="str">
        <f>""</f>
        <v/>
      </c>
      <c r="CC361" t="str">
        <f>""</f>
        <v/>
      </c>
      <c r="CD361" t="str">
        <f>""</f>
        <v/>
      </c>
      <c r="CE361" t="str">
        <f>""</f>
        <v/>
      </c>
      <c r="CF361" t="str">
        <f>""</f>
        <v/>
      </c>
      <c r="CG361" t="str">
        <f>""</f>
        <v/>
      </c>
      <c r="CH361" t="str">
        <f>""</f>
        <v/>
      </c>
    </row>
    <row r="362" spans="1:86" x14ac:dyDescent="0.25">
      <c r="A362" t="s">
        <v>2603</v>
      </c>
      <c r="B362" t="s">
        <v>2604</v>
      </c>
      <c r="C362" t="s">
        <v>1991</v>
      </c>
      <c r="D362" t="s">
        <v>2010</v>
      </c>
      <c r="E362" t="s">
        <v>2605</v>
      </c>
      <c r="H362" t="s">
        <v>2606</v>
      </c>
      <c r="I362" t="s">
        <v>558</v>
      </c>
      <c r="J362" t="str">
        <f>"33021"</f>
        <v>33021</v>
      </c>
      <c r="K362" t="s">
        <v>1998</v>
      </c>
      <c r="L362" t="s">
        <v>408</v>
      </c>
      <c r="M362" t="s">
        <v>2607</v>
      </c>
      <c r="N362" t="s">
        <v>1991</v>
      </c>
      <c r="O362" t="s">
        <v>1991</v>
      </c>
      <c r="P362" t="s">
        <v>1992</v>
      </c>
      <c r="Q362" t="s">
        <v>1991</v>
      </c>
      <c r="R362" t="s">
        <v>1991</v>
      </c>
      <c r="S362" t="s">
        <v>1992</v>
      </c>
      <c r="T362" t="s">
        <v>1992</v>
      </c>
      <c r="U362" t="s">
        <v>1991</v>
      </c>
      <c r="V362" t="s">
        <v>1991</v>
      </c>
      <c r="W362" t="s">
        <v>1991</v>
      </c>
      <c r="X362" t="s">
        <v>1991</v>
      </c>
      <c r="Y362" t="s">
        <v>1992</v>
      </c>
      <c r="Z362" t="s">
        <v>1992</v>
      </c>
      <c r="AA362" t="s">
        <v>1991</v>
      </c>
      <c r="AE362" t="s">
        <v>2047</v>
      </c>
      <c r="AF362" t="s">
        <v>2016</v>
      </c>
      <c r="AG362" t="s">
        <v>1991</v>
      </c>
      <c r="AH362">
        <v>60</v>
      </c>
      <c r="AI362">
        <v>30</v>
      </c>
      <c r="AJ362" t="s">
        <v>2608</v>
      </c>
      <c r="AK362">
        <v>5</v>
      </c>
      <c r="AL362">
        <v>145800</v>
      </c>
      <c r="AN362" t="s">
        <v>1053</v>
      </c>
      <c r="AO362" t="s">
        <v>1053</v>
      </c>
      <c r="AP362" t="s">
        <v>2069</v>
      </c>
      <c r="AQ362" t="s">
        <v>1053</v>
      </c>
      <c r="AR362" t="s">
        <v>2069</v>
      </c>
      <c r="AS362" t="s">
        <v>2603</v>
      </c>
      <c r="AT362" t="s">
        <v>2609</v>
      </c>
      <c r="AU362" t="s">
        <v>1053</v>
      </c>
      <c r="AV362" t="s">
        <v>1053</v>
      </c>
      <c r="AW362" t="s">
        <v>2069</v>
      </c>
      <c r="AX362" t="s">
        <v>1053</v>
      </c>
      <c r="AY362" t="s">
        <v>2069</v>
      </c>
      <c r="AZ362" t="s">
        <v>2603</v>
      </c>
      <c r="BA362" t="s">
        <v>2609</v>
      </c>
      <c r="BB362" t="s">
        <v>1053</v>
      </c>
      <c r="BC362" t="s">
        <v>2069</v>
      </c>
      <c r="BD362" t="s">
        <v>1053</v>
      </c>
      <c r="BE362" t="s">
        <v>2069</v>
      </c>
      <c r="BF362" t="s">
        <v>1053</v>
      </c>
      <c r="BG362" t="s">
        <v>2019</v>
      </c>
      <c r="BH362" t="s">
        <v>2610</v>
      </c>
      <c r="BI362" t="s">
        <v>1053</v>
      </c>
      <c r="BJ362" t="s">
        <v>1053</v>
      </c>
      <c r="BK362" t="s">
        <v>1053</v>
      </c>
      <c r="BL362" t="s">
        <v>1053</v>
      </c>
      <c r="BM362" t="s">
        <v>1052</v>
      </c>
      <c r="BN362" t="s">
        <v>3514</v>
      </c>
      <c r="BO362" t="s">
        <v>1053</v>
      </c>
      <c r="BP362" t="s">
        <v>653</v>
      </c>
      <c r="BQ362" t="s">
        <v>564</v>
      </c>
      <c r="BR362" t="s">
        <v>1053</v>
      </c>
      <c r="BS362" t="s">
        <v>1053</v>
      </c>
      <c r="BT362" t="s">
        <v>1053</v>
      </c>
      <c r="BU362" t="s">
        <v>2069</v>
      </c>
      <c r="BV362" t="s">
        <v>1052</v>
      </c>
      <c r="BW362" t="s">
        <v>357</v>
      </c>
      <c r="BX362" t="str">
        <f>"SMTWTFS 0800-1820"</f>
        <v>SMTWTFS 0800-1820</v>
      </c>
      <c r="BY362" t="str">
        <f>"SMTWTFS 0800-1820"</f>
        <v>SMTWTFS 0800-1820</v>
      </c>
      <c r="BZ362" t="str">
        <f>"SMTWTFS 0800-1820"</f>
        <v>SMTWTFS 0800-1820</v>
      </c>
      <c r="CA362" t="str">
        <f>"SMTWTFS 0800-1820"</f>
        <v>SMTWTFS 0800-1820</v>
      </c>
      <c r="CB362" t="str">
        <f>""</f>
        <v/>
      </c>
      <c r="CC362" t="str">
        <f>"SMTWTFS 0800-1820"</f>
        <v>SMTWTFS 0800-1820</v>
      </c>
      <c r="CD362" t="str">
        <f>""</f>
        <v/>
      </c>
      <c r="CE362" t="str">
        <f>""</f>
        <v/>
      </c>
      <c r="CF362" t="str">
        <f>"SMTWTFS 0900-1600"</f>
        <v>SMTWTFS 0900-1600</v>
      </c>
      <c r="CG362" t="str">
        <f>""</f>
        <v/>
      </c>
      <c r="CH362" t="str">
        <f>""</f>
        <v/>
      </c>
    </row>
    <row r="363" spans="1:86" x14ac:dyDescent="0.25">
      <c r="A363" t="s">
        <v>2611</v>
      </c>
      <c r="B363" t="s">
        <v>2612</v>
      </c>
      <c r="C363" t="s">
        <v>1992</v>
      </c>
      <c r="D363" t="s">
        <v>2010</v>
      </c>
      <c r="E363" t="s">
        <v>2613</v>
      </c>
      <c r="H363" t="s">
        <v>2614</v>
      </c>
      <c r="I363" t="s">
        <v>2352</v>
      </c>
      <c r="J363" t="str">
        <f>"49423"</f>
        <v>49423</v>
      </c>
      <c r="K363" t="s">
        <v>1998</v>
      </c>
      <c r="L363" t="s">
        <v>1999</v>
      </c>
      <c r="M363" t="s">
        <v>2063</v>
      </c>
      <c r="N363" t="s">
        <v>1992</v>
      </c>
      <c r="O363" t="s">
        <v>1991</v>
      </c>
      <c r="P363" t="s">
        <v>1992</v>
      </c>
      <c r="Q363" t="s">
        <v>1992</v>
      </c>
      <c r="R363" t="s">
        <v>1992</v>
      </c>
      <c r="S363" t="s">
        <v>1992</v>
      </c>
      <c r="T363" t="s">
        <v>1992</v>
      </c>
      <c r="U363" t="s">
        <v>1992</v>
      </c>
      <c r="V363" t="s">
        <v>1991</v>
      </c>
      <c r="W363" t="s">
        <v>1991</v>
      </c>
      <c r="X363" t="s">
        <v>1992</v>
      </c>
      <c r="Y363" t="s">
        <v>1992</v>
      </c>
      <c r="Z363" t="s">
        <v>1992</v>
      </c>
      <c r="AF363" t="s">
        <v>2016</v>
      </c>
      <c r="AG363" t="s">
        <v>1991</v>
      </c>
      <c r="AH363">
        <v>30</v>
      </c>
      <c r="AI363">
        <v>30</v>
      </c>
      <c r="AJ363" t="s">
        <v>2615</v>
      </c>
      <c r="AK363">
        <v>609</v>
      </c>
      <c r="AL363">
        <v>34245</v>
      </c>
      <c r="AN363" t="s">
        <v>2066</v>
      </c>
      <c r="AO363" t="s">
        <v>2311</v>
      </c>
      <c r="BF363" t="s">
        <v>1053</v>
      </c>
      <c r="BG363" t="s">
        <v>467</v>
      </c>
      <c r="BH363" t="s">
        <v>2312</v>
      </c>
      <c r="BI363" t="s">
        <v>1053</v>
      </c>
      <c r="BJ363" t="s">
        <v>2069</v>
      </c>
      <c r="BK363" t="s">
        <v>1053</v>
      </c>
      <c r="BL363" t="s">
        <v>2069</v>
      </c>
      <c r="BM363" t="s">
        <v>2313</v>
      </c>
      <c r="BN363" t="s">
        <v>2314</v>
      </c>
      <c r="BO363" t="s">
        <v>1053</v>
      </c>
      <c r="BP363" t="s">
        <v>301</v>
      </c>
      <c r="BQ363" t="s">
        <v>2316</v>
      </c>
      <c r="BR363" t="s">
        <v>1053</v>
      </c>
      <c r="BT363" t="s">
        <v>1053</v>
      </c>
      <c r="BX363" t="str">
        <f>"SMTWTFS 0700-2200"</f>
        <v>SMTWTFS 0700-2200</v>
      </c>
      <c r="BY363" t="str">
        <f>""</f>
        <v/>
      </c>
      <c r="BZ363" t="str">
        <f>""</f>
        <v/>
      </c>
      <c r="CA363" t="str">
        <f>""</f>
        <v/>
      </c>
      <c r="CB363" t="str">
        <f>""</f>
        <v/>
      </c>
      <c r="CC363" t="str">
        <f>"SMTWTFS 0700-2200"</f>
        <v>SMTWTFS 0700-2200</v>
      </c>
      <c r="CD363" t="str">
        <f>""</f>
        <v/>
      </c>
      <c r="CE363" t="str">
        <f>""</f>
        <v/>
      </c>
      <c r="CF363" t="str">
        <f>""</f>
        <v/>
      </c>
      <c r="CG363" t="str">
        <f>""</f>
        <v/>
      </c>
      <c r="CH363" t="str">
        <f>""</f>
        <v/>
      </c>
    </row>
    <row r="364" spans="1:86" x14ac:dyDescent="0.25">
      <c r="A364" t="s">
        <v>2616</v>
      </c>
      <c r="B364" t="s">
        <v>2617</v>
      </c>
      <c r="C364" t="s">
        <v>1992</v>
      </c>
      <c r="D364" t="s">
        <v>1993</v>
      </c>
      <c r="E364" t="s">
        <v>2618</v>
      </c>
      <c r="F364" t="s">
        <v>2619</v>
      </c>
      <c r="H364" t="s">
        <v>2620</v>
      </c>
      <c r="I364" t="s">
        <v>2295</v>
      </c>
      <c r="J364" t="str">
        <f>"97031"</f>
        <v>97031</v>
      </c>
      <c r="K364" t="s">
        <v>1998</v>
      </c>
      <c r="L364" t="s">
        <v>231</v>
      </c>
      <c r="M364" t="s">
        <v>2621</v>
      </c>
      <c r="N364" t="s">
        <v>1992</v>
      </c>
      <c r="O364" t="s">
        <v>1992</v>
      </c>
      <c r="P364" t="s">
        <v>1992</v>
      </c>
      <c r="Q364" t="s">
        <v>1992</v>
      </c>
      <c r="R364" t="s">
        <v>1992</v>
      </c>
      <c r="S364" t="s">
        <v>1992</v>
      </c>
      <c r="T364" t="s">
        <v>1992</v>
      </c>
      <c r="U364" t="s">
        <v>1992</v>
      </c>
      <c r="V364" t="s">
        <v>1991</v>
      </c>
      <c r="W364" t="s">
        <v>1992</v>
      </c>
      <c r="X364" t="s">
        <v>1992</v>
      </c>
      <c r="Y364" t="s">
        <v>1992</v>
      </c>
      <c r="Z364" t="s">
        <v>1991</v>
      </c>
      <c r="AF364" t="s">
        <v>2064</v>
      </c>
      <c r="AG364" t="s">
        <v>1991</v>
      </c>
      <c r="AH364">
        <v>30</v>
      </c>
      <c r="AI364">
        <v>30</v>
      </c>
      <c r="AJ364" t="s">
        <v>2622</v>
      </c>
      <c r="AK364">
        <v>121</v>
      </c>
      <c r="AL364">
        <v>5000</v>
      </c>
      <c r="AM364" t="s">
        <v>2298</v>
      </c>
      <c r="AN364" t="s">
        <v>3819</v>
      </c>
      <c r="AO364" t="s">
        <v>2063</v>
      </c>
      <c r="BF364" t="s">
        <v>1053</v>
      </c>
      <c r="BG364" t="s">
        <v>394</v>
      </c>
      <c r="BH364" t="s">
        <v>311</v>
      </c>
      <c r="BI364" t="s">
        <v>1053</v>
      </c>
      <c r="BJ364" t="s">
        <v>1053</v>
      </c>
      <c r="BK364" t="s">
        <v>1053</v>
      </c>
      <c r="BL364" t="s">
        <v>1053</v>
      </c>
      <c r="BX364" t="str">
        <f>"-MTWTF- 0830-1130 1330-1630"</f>
        <v>-MTWTF- 0830-1130 1330-1630</v>
      </c>
      <c r="BY364" t="str">
        <f>""</f>
        <v/>
      </c>
      <c r="BZ364" t="str">
        <f>""</f>
        <v/>
      </c>
      <c r="CA364" t="str">
        <f>""</f>
        <v/>
      </c>
      <c r="CB364" t="str">
        <f>""</f>
        <v/>
      </c>
      <c r="CC364" t="str">
        <f>""</f>
        <v/>
      </c>
      <c r="CD364" t="str">
        <f>""</f>
        <v/>
      </c>
      <c r="CE364" t="str">
        <f>""</f>
        <v/>
      </c>
      <c r="CF364" t="str">
        <f>""</f>
        <v/>
      </c>
      <c r="CG364" t="str">
        <f>""</f>
        <v/>
      </c>
      <c r="CH364" t="str">
        <f>""</f>
        <v/>
      </c>
    </row>
    <row r="365" spans="1:86" x14ac:dyDescent="0.25">
      <c r="A365" t="s">
        <v>2623</v>
      </c>
      <c r="B365" t="s">
        <v>2624</v>
      </c>
      <c r="C365" t="s">
        <v>1991</v>
      </c>
      <c r="D365" t="s">
        <v>2010</v>
      </c>
      <c r="E365" t="s">
        <v>2625</v>
      </c>
      <c r="H365" t="s">
        <v>2626</v>
      </c>
      <c r="I365" t="s">
        <v>2381</v>
      </c>
      <c r="J365" t="str">
        <f>"77002"</f>
        <v>77002</v>
      </c>
      <c r="K365" t="s">
        <v>1998</v>
      </c>
      <c r="L365" t="s">
        <v>2045</v>
      </c>
      <c r="M365" t="s">
        <v>2627</v>
      </c>
      <c r="N365" t="s">
        <v>1991</v>
      </c>
      <c r="O365" t="s">
        <v>1992</v>
      </c>
      <c r="P365" t="s">
        <v>1992</v>
      </c>
      <c r="Q365" t="s">
        <v>1991</v>
      </c>
      <c r="R365" t="s">
        <v>1992</v>
      </c>
      <c r="S365" t="s">
        <v>1992</v>
      </c>
      <c r="T365" t="s">
        <v>1992</v>
      </c>
      <c r="U365" t="s">
        <v>1992</v>
      </c>
      <c r="V365" t="s">
        <v>1991</v>
      </c>
      <c r="W365" t="s">
        <v>1991</v>
      </c>
      <c r="X365" t="s">
        <v>1992</v>
      </c>
      <c r="Y365" t="s">
        <v>1991</v>
      </c>
      <c r="Z365" t="s">
        <v>1992</v>
      </c>
      <c r="AA365" t="s">
        <v>1992</v>
      </c>
      <c r="AE365" t="s">
        <v>2047</v>
      </c>
      <c r="AF365" t="s">
        <v>2001</v>
      </c>
      <c r="AG365" t="s">
        <v>1991</v>
      </c>
      <c r="AH365">
        <v>60</v>
      </c>
      <c r="AI365">
        <v>30</v>
      </c>
      <c r="AJ365" t="s">
        <v>2628</v>
      </c>
      <c r="AK365">
        <v>43</v>
      </c>
      <c r="AL365">
        <v>2144491</v>
      </c>
      <c r="AN365" t="s">
        <v>1053</v>
      </c>
      <c r="AO365" t="s">
        <v>1053</v>
      </c>
      <c r="AP365" t="s">
        <v>2069</v>
      </c>
      <c r="AQ365" t="s">
        <v>1053</v>
      </c>
      <c r="AR365" t="s">
        <v>2069</v>
      </c>
      <c r="AS365" t="s">
        <v>2623</v>
      </c>
      <c r="AT365" t="s">
        <v>2629</v>
      </c>
      <c r="AU365" t="s">
        <v>1053</v>
      </c>
      <c r="AV365" t="s">
        <v>1053</v>
      </c>
      <c r="AW365" t="s">
        <v>2069</v>
      </c>
      <c r="AX365" t="s">
        <v>1053</v>
      </c>
      <c r="AY365" t="s">
        <v>2069</v>
      </c>
      <c r="AZ365" t="s">
        <v>2623</v>
      </c>
      <c r="BA365" t="s">
        <v>2629</v>
      </c>
      <c r="BB365" t="s">
        <v>1053</v>
      </c>
      <c r="BC365" t="s">
        <v>2069</v>
      </c>
      <c r="BD365" t="s">
        <v>1053</v>
      </c>
      <c r="BE365" t="s">
        <v>2069</v>
      </c>
      <c r="BF365" t="s">
        <v>1053</v>
      </c>
      <c r="BG365" t="s">
        <v>235</v>
      </c>
      <c r="BH365" t="s">
        <v>2098</v>
      </c>
      <c r="BI365" t="s">
        <v>1053</v>
      </c>
      <c r="BJ365" t="s">
        <v>2069</v>
      </c>
      <c r="BK365" t="s">
        <v>1053</v>
      </c>
      <c r="BL365" t="s">
        <v>2069</v>
      </c>
      <c r="BM365" t="s">
        <v>2099</v>
      </c>
      <c r="BN365" t="s">
        <v>2100</v>
      </c>
      <c r="BO365" t="s">
        <v>1053</v>
      </c>
      <c r="BP365" t="s">
        <v>986</v>
      </c>
      <c r="BQ365" t="s">
        <v>2055</v>
      </c>
      <c r="BR365" t="s">
        <v>1053</v>
      </c>
      <c r="BS365" t="s">
        <v>1053</v>
      </c>
      <c r="BT365" t="s">
        <v>1053</v>
      </c>
      <c r="BU365" t="s">
        <v>1053</v>
      </c>
      <c r="BV365" t="s">
        <v>2056</v>
      </c>
      <c r="BX365" t="str">
        <f>"SMTWTFS 1000-1930"</f>
        <v>SMTWTFS 1000-1930</v>
      </c>
      <c r="BY365" t="str">
        <f>"SMTWTFS 1000-1930"</f>
        <v>SMTWTFS 1000-1930</v>
      </c>
      <c r="BZ365" t="str">
        <f>"SMTWTFS 1000-1945"</f>
        <v>SMTWTFS 1000-1945</v>
      </c>
      <c r="CA365" t="str">
        <f>"SMTWTFS 1000-1930"</f>
        <v>SMTWTFS 1000-1930</v>
      </c>
      <c r="CB365" t="str">
        <f>""</f>
        <v/>
      </c>
      <c r="CC365" t="str">
        <f>""</f>
        <v/>
      </c>
      <c r="CD365" t="str">
        <f>""</f>
        <v/>
      </c>
      <c r="CE365" t="str">
        <f>""</f>
        <v/>
      </c>
      <c r="CF365" t="str">
        <f>""</f>
        <v/>
      </c>
      <c r="CG365" t="str">
        <f>""</f>
        <v/>
      </c>
      <c r="CH365" t="str">
        <f>"SMTWTFS 0000-2359"</f>
        <v>SMTWTFS 0000-2359</v>
      </c>
    </row>
    <row r="366" spans="1:86" x14ac:dyDescent="0.25">
      <c r="A366" t="s">
        <v>2630</v>
      </c>
      <c r="B366" t="s">
        <v>2631</v>
      </c>
      <c r="C366" t="s">
        <v>1992</v>
      </c>
      <c r="D366" t="s">
        <v>2010</v>
      </c>
      <c r="E366" t="s">
        <v>2632</v>
      </c>
      <c r="H366" t="s">
        <v>2633</v>
      </c>
      <c r="I366" t="s">
        <v>700</v>
      </c>
      <c r="J366" t="str">
        <f>"27260"</f>
        <v>27260</v>
      </c>
      <c r="K366" t="s">
        <v>1998</v>
      </c>
      <c r="L366" t="s">
        <v>408</v>
      </c>
      <c r="M366" t="s">
        <v>2000</v>
      </c>
      <c r="N366" t="s">
        <v>1992</v>
      </c>
      <c r="O366" t="s">
        <v>1991</v>
      </c>
      <c r="P366" t="s">
        <v>1992</v>
      </c>
      <c r="Q366" t="s">
        <v>1992</v>
      </c>
      <c r="R366" t="s">
        <v>1992</v>
      </c>
      <c r="S366" t="s">
        <v>1992</v>
      </c>
      <c r="T366" t="s">
        <v>1992</v>
      </c>
      <c r="U366" t="s">
        <v>1992</v>
      </c>
      <c r="V366" t="s">
        <v>1991</v>
      </c>
      <c r="W366" t="s">
        <v>1991</v>
      </c>
      <c r="X366" t="s">
        <v>1992</v>
      </c>
      <c r="Y366" t="s">
        <v>1991</v>
      </c>
      <c r="Z366" t="s">
        <v>1992</v>
      </c>
      <c r="AF366" t="s">
        <v>2016</v>
      </c>
      <c r="AG366" t="s">
        <v>1991</v>
      </c>
      <c r="AH366">
        <v>45</v>
      </c>
      <c r="AI366">
        <v>45</v>
      </c>
      <c r="AJ366" t="s">
        <v>2634</v>
      </c>
      <c r="AK366">
        <v>921</v>
      </c>
      <c r="AL366">
        <v>97796</v>
      </c>
      <c r="AM366" t="s">
        <v>702</v>
      </c>
      <c r="AN366" t="s">
        <v>702</v>
      </c>
      <c r="AU366" t="s">
        <v>702</v>
      </c>
      <c r="AV366" t="s">
        <v>1053</v>
      </c>
      <c r="AX366" t="s">
        <v>1053</v>
      </c>
      <c r="BF366" t="s">
        <v>1053</v>
      </c>
      <c r="BG366" t="s">
        <v>703</v>
      </c>
      <c r="BH366" t="s">
        <v>704</v>
      </c>
      <c r="BI366" t="s">
        <v>1053</v>
      </c>
      <c r="BJ366" t="s">
        <v>1053</v>
      </c>
      <c r="BK366" t="s">
        <v>1053</v>
      </c>
      <c r="BL366" t="s">
        <v>1053</v>
      </c>
      <c r="BM366" t="s">
        <v>705</v>
      </c>
      <c r="BO366" t="s">
        <v>1053</v>
      </c>
      <c r="BP366" t="s">
        <v>2375</v>
      </c>
      <c r="BQ366" t="s">
        <v>427</v>
      </c>
      <c r="BR366" t="s">
        <v>1053</v>
      </c>
      <c r="BS366" t="s">
        <v>1053</v>
      </c>
      <c r="BT366" t="s">
        <v>1053</v>
      </c>
      <c r="BU366" t="s">
        <v>1053</v>
      </c>
      <c r="BV366" t="s">
        <v>416</v>
      </c>
      <c r="BW366" t="s">
        <v>417</v>
      </c>
      <c r="BX366" t="str">
        <f>"SMTWTFS 0000-0400 0715-1500 1700-1930"</f>
        <v>SMTWTFS 0000-0400 0715-1500 1700-1930</v>
      </c>
      <c r="BY366" t="str">
        <f>""</f>
        <v/>
      </c>
      <c r="BZ366" t="str">
        <f>""</f>
        <v/>
      </c>
      <c r="CA366" t="str">
        <f>""</f>
        <v/>
      </c>
      <c r="CB366" t="str">
        <f>""</f>
        <v/>
      </c>
      <c r="CC366" t="str">
        <f>"SMTWTFS 0000-0400 0800-1500 1700-1930"</f>
        <v>SMTWTFS 0000-0400 0800-1500 1700-1930</v>
      </c>
      <c r="CD366" t="str">
        <f>""</f>
        <v/>
      </c>
      <c r="CE366" t="str">
        <f>""</f>
        <v/>
      </c>
      <c r="CF366" t="str">
        <f>""</f>
        <v/>
      </c>
      <c r="CG366" t="str">
        <f>""</f>
        <v/>
      </c>
      <c r="CH366" t="str">
        <f>""</f>
        <v/>
      </c>
    </row>
    <row r="367" spans="1:86" x14ac:dyDescent="0.25">
      <c r="A367" t="s">
        <v>2635</v>
      </c>
      <c r="B367" t="s">
        <v>2636</v>
      </c>
      <c r="C367" t="s">
        <v>1992</v>
      </c>
      <c r="D367" t="s">
        <v>2028</v>
      </c>
      <c r="E367" t="s">
        <v>2637</v>
      </c>
      <c r="F367" t="s">
        <v>2030</v>
      </c>
      <c r="H367" t="s">
        <v>2638</v>
      </c>
      <c r="I367" t="s">
        <v>2032</v>
      </c>
      <c r="J367" t="str">
        <f>"08037"</f>
        <v>08037</v>
      </c>
      <c r="K367" t="s">
        <v>1998</v>
      </c>
      <c r="L367" t="s">
        <v>2033</v>
      </c>
      <c r="M367" t="s">
        <v>2034</v>
      </c>
      <c r="N367" t="s">
        <v>1992</v>
      </c>
      <c r="O367" t="s">
        <v>1992</v>
      </c>
      <c r="P367" t="s">
        <v>1992</v>
      </c>
      <c r="Q367" t="s">
        <v>1992</v>
      </c>
      <c r="R367" t="s">
        <v>1992</v>
      </c>
      <c r="S367" t="s">
        <v>1992</v>
      </c>
      <c r="T367" t="s">
        <v>1992</v>
      </c>
      <c r="U367" t="s">
        <v>1992</v>
      </c>
      <c r="V367" t="s">
        <v>1991</v>
      </c>
      <c r="W367" t="s">
        <v>1992</v>
      </c>
      <c r="X367" t="s">
        <v>1991</v>
      </c>
      <c r="Y367" t="s">
        <v>1992</v>
      </c>
      <c r="Z367" t="s">
        <v>1992</v>
      </c>
      <c r="AF367" t="s">
        <v>2016</v>
      </c>
      <c r="AG367" t="s">
        <v>1991</v>
      </c>
      <c r="AH367">
        <v>30</v>
      </c>
      <c r="AI367">
        <v>30</v>
      </c>
      <c r="AJ367" t="s">
        <v>2639</v>
      </c>
      <c r="AK367">
        <v>98</v>
      </c>
      <c r="AL367">
        <v>13500</v>
      </c>
      <c r="AM367" t="s">
        <v>2036</v>
      </c>
      <c r="BX367" t="str">
        <f>""</f>
        <v/>
      </c>
      <c r="BY367" t="str">
        <f>""</f>
        <v/>
      </c>
      <c r="BZ367" t="str">
        <f>""</f>
        <v/>
      </c>
      <c r="CA367" t="str">
        <f>""</f>
        <v/>
      </c>
      <c r="CB367" t="str">
        <f>""</f>
        <v/>
      </c>
      <c r="CC367" t="str">
        <f>""</f>
        <v/>
      </c>
      <c r="CD367" t="str">
        <f>""</f>
        <v/>
      </c>
      <c r="CE367" t="str">
        <f>""</f>
        <v/>
      </c>
      <c r="CF367" t="str">
        <f>""</f>
        <v/>
      </c>
      <c r="CG367" t="str">
        <f>""</f>
        <v/>
      </c>
      <c r="CH367" t="str">
        <f>""</f>
        <v/>
      </c>
    </row>
    <row r="368" spans="1:86" x14ac:dyDescent="0.25">
      <c r="A368" t="s">
        <v>2640</v>
      </c>
      <c r="B368" t="s">
        <v>2641</v>
      </c>
      <c r="C368" t="s">
        <v>1991</v>
      </c>
      <c r="D368" t="s">
        <v>2010</v>
      </c>
      <c r="E368" t="s">
        <v>2642</v>
      </c>
      <c r="H368" t="s">
        <v>5511</v>
      </c>
      <c r="I368" t="s">
        <v>2321</v>
      </c>
      <c r="J368" t="str">
        <f>"12534"</f>
        <v>12534</v>
      </c>
      <c r="K368" t="s">
        <v>1998</v>
      </c>
      <c r="L368" t="s">
        <v>2033</v>
      </c>
      <c r="M368" t="s">
        <v>2643</v>
      </c>
      <c r="N368" t="s">
        <v>1991</v>
      </c>
      <c r="O368" t="s">
        <v>1991</v>
      </c>
      <c r="P368" t="s">
        <v>1992</v>
      </c>
      <c r="Q368" t="s">
        <v>1992</v>
      </c>
      <c r="R368" t="s">
        <v>1992</v>
      </c>
      <c r="S368" t="s">
        <v>1992</v>
      </c>
      <c r="T368" t="s">
        <v>1992</v>
      </c>
      <c r="U368" t="s">
        <v>1991</v>
      </c>
      <c r="V368" t="s">
        <v>1991</v>
      </c>
      <c r="W368" t="s">
        <v>1991</v>
      </c>
      <c r="X368" t="s">
        <v>1992</v>
      </c>
      <c r="Y368" t="s">
        <v>1992</v>
      </c>
      <c r="Z368" t="s">
        <v>1992</v>
      </c>
      <c r="AE368" t="s">
        <v>2047</v>
      </c>
      <c r="AF368" t="s">
        <v>2016</v>
      </c>
      <c r="AG368" t="s">
        <v>1991</v>
      </c>
      <c r="AH368">
        <v>45</v>
      </c>
      <c r="AI368">
        <v>30</v>
      </c>
      <c r="AJ368" t="s">
        <v>2644</v>
      </c>
      <c r="AK368">
        <v>7</v>
      </c>
      <c r="AL368">
        <v>35000</v>
      </c>
      <c r="AN368" t="s">
        <v>1053</v>
      </c>
      <c r="AO368" t="s">
        <v>1053</v>
      </c>
      <c r="AP368" t="s">
        <v>2069</v>
      </c>
      <c r="AQ368" t="s">
        <v>1053</v>
      </c>
      <c r="AR368" t="s">
        <v>2069</v>
      </c>
      <c r="AS368" t="s">
        <v>2640</v>
      </c>
      <c r="AT368" t="s">
        <v>2645</v>
      </c>
      <c r="AU368" t="s">
        <v>1053</v>
      </c>
      <c r="AV368" t="s">
        <v>1053</v>
      </c>
      <c r="AW368" t="s">
        <v>2069</v>
      </c>
      <c r="AX368" t="s">
        <v>1053</v>
      </c>
      <c r="AY368" t="s">
        <v>2069</v>
      </c>
      <c r="AZ368" t="s">
        <v>2640</v>
      </c>
      <c r="BA368" t="s">
        <v>2645</v>
      </c>
      <c r="BB368" t="s">
        <v>1053</v>
      </c>
      <c r="BC368" t="s">
        <v>2069</v>
      </c>
      <c r="BD368" t="s">
        <v>1053</v>
      </c>
      <c r="BE368" t="s">
        <v>2069</v>
      </c>
      <c r="BF368" t="s">
        <v>1053</v>
      </c>
      <c r="BG368" t="s">
        <v>2019</v>
      </c>
      <c r="BH368" t="s">
        <v>264</v>
      </c>
      <c r="BI368" t="s">
        <v>1053</v>
      </c>
      <c r="BJ368" t="s">
        <v>1053</v>
      </c>
      <c r="BK368" t="s">
        <v>1053</v>
      </c>
      <c r="BL368" t="s">
        <v>1053</v>
      </c>
      <c r="BM368" t="s">
        <v>2324</v>
      </c>
      <c r="BN368" t="s">
        <v>2325</v>
      </c>
      <c r="BO368" t="s">
        <v>1053</v>
      </c>
      <c r="BP368" t="s">
        <v>2327</v>
      </c>
      <c r="BQ368" t="s">
        <v>2326</v>
      </c>
      <c r="BR368" t="s">
        <v>1053</v>
      </c>
      <c r="BS368" t="s">
        <v>1053</v>
      </c>
      <c r="BV368" t="s">
        <v>265</v>
      </c>
      <c r="BX368" t="str">
        <f>"SMTWTFS 0515-1030 1110-1330 1331-2000 2100-2315"</f>
        <v>SMTWTFS 0515-1030 1110-1330 1331-2000 2100-2315</v>
      </c>
      <c r="BY368" t="str">
        <f>""</f>
        <v/>
      </c>
      <c r="BZ368" t="str">
        <f>"SMTWTFS 0515-1030 1110-1330 1331-2000 2100-2315"</f>
        <v>SMTWTFS 0515-1030 1110-1330 1331-2000 2100-2315</v>
      </c>
      <c r="CA368" t="str">
        <f>"SMTWTFS 0515-1030 1110-1330 1331-2000 2100-2315"</f>
        <v>SMTWTFS 0515-1030 1110-1330 1331-2000 2100-2315</v>
      </c>
      <c r="CB368" t="str">
        <f>""</f>
        <v/>
      </c>
      <c r="CC368" t="str">
        <f>"SMTWTFS 0515-1030 1110-1330 1331-2000 2100-2315"</f>
        <v>SMTWTFS 0515-1030 1110-1330 1331-2000 2100-2315</v>
      </c>
      <c r="CD368" t="str">
        <f>""</f>
        <v/>
      </c>
      <c r="CE368" t="str">
        <f>""</f>
        <v/>
      </c>
      <c r="CF368" t="str">
        <f>""</f>
        <v/>
      </c>
      <c r="CG368" t="str">
        <f>""</f>
        <v/>
      </c>
      <c r="CH368" t="str">
        <f>""</f>
        <v/>
      </c>
    </row>
    <row r="369" spans="1:86" x14ac:dyDescent="0.25">
      <c r="A369" t="s">
        <v>2646</v>
      </c>
      <c r="B369" t="s">
        <v>2647</v>
      </c>
      <c r="C369" t="s">
        <v>1991</v>
      </c>
      <c r="D369" t="s">
        <v>2010</v>
      </c>
      <c r="E369" t="s">
        <v>2648</v>
      </c>
      <c r="H369" t="s">
        <v>2649</v>
      </c>
      <c r="I369" t="s">
        <v>2340</v>
      </c>
      <c r="J369" t="str">
        <f>"25701"</f>
        <v>25701</v>
      </c>
      <c r="K369" t="s">
        <v>1998</v>
      </c>
      <c r="L369" t="s">
        <v>2015</v>
      </c>
      <c r="M369" t="s">
        <v>2650</v>
      </c>
      <c r="N369" t="s">
        <v>1991</v>
      </c>
      <c r="O369" t="s">
        <v>1992</v>
      </c>
      <c r="P369" t="s">
        <v>1992</v>
      </c>
      <c r="Q369" t="s">
        <v>1991</v>
      </c>
      <c r="R369" t="s">
        <v>1991</v>
      </c>
      <c r="S369" t="s">
        <v>1992</v>
      </c>
      <c r="T369" t="s">
        <v>1992</v>
      </c>
      <c r="U369" t="s">
        <v>1991</v>
      </c>
      <c r="V369" t="s">
        <v>1991</v>
      </c>
      <c r="W369" t="s">
        <v>1991</v>
      </c>
      <c r="X369" t="s">
        <v>1992</v>
      </c>
      <c r="Y369" t="s">
        <v>1992</v>
      </c>
      <c r="Z369" t="s">
        <v>1992</v>
      </c>
      <c r="AE369" t="s">
        <v>2047</v>
      </c>
      <c r="AF369" t="s">
        <v>2016</v>
      </c>
      <c r="AG369" t="s">
        <v>1991</v>
      </c>
      <c r="AH369">
        <v>45</v>
      </c>
      <c r="AI369">
        <v>30</v>
      </c>
      <c r="AJ369" t="s">
        <v>2651</v>
      </c>
      <c r="AK369">
        <v>570</v>
      </c>
      <c r="AL369">
        <v>49007</v>
      </c>
      <c r="AN369" t="s">
        <v>1053</v>
      </c>
      <c r="AO369" t="s">
        <v>1053</v>
      </c>
      <c r="AP369" t="s">
        <v>2069</v>
      </c>
      <c r="AQ369" t="s">
        <v>1053</v>
      </c>
      <c r="AR369" t="s">
        <v>2069</v>
      </c>
      <c r="AS369" t="s">
        <v>2646</v>
      </c>
      <c r="AT369" t="s">
        <v>2652</v>
      </c>
      <c r="AU369" t="s">
        <v>1053</v>
      </c>
      <c r="AV369" t="s">
        <v>1053</v>
      </c>
      <c r="AW369" t="s">
        <v>2069</v>
      </c>
      <c r="AX369" t="s">
        <v>1053</v>
      </c>
      <c r="AY369" t="s">
        <v>2069</v>
      </c>
      <c r="AZ369" t="s">
        <v>2646</v>
      </c>
      <c r="BA369" t="s">
        <v>2652</v>
      </c>
      <c r="BB369" t="s">
        <v>1053</v>
      </c>
      <c r="BC369" t="s">
        <v>2069</v>
      </c>
      <c r="BD369" t="s">
        <v>1053</v>
      </c>
      <c r="BE369" t="s">
        <v>2069</v>
      </c>
      <c r="BF369" t="s">
        <v>1053</v>
      </c>
      <c r="BG369" t="s">
        <v>2097</v>
      </c>
      <c r="BH369" t="s">
        <v>3481</v>
      </c>
      <c r="BI369" t="s">
        <v>1053</v>
      </c>
      <c r="BJ369" t="s">
        <v>1053</v>
      </c>
      <c r="BK369" t="s">
        <v>1053</v>
      </c>
      <c r="BL369" t="s">
        <v>1053</v>
      </c>
      <c r="BM369" t="s">
        <v>2343</v>
      </c>
      <c r="BN369" t="s">
        <v>2344</v>
      </c>
      <c r="BO369" t="s">
        <v>1053</v>
      </c>
      <c r="BP369" t="s">
        <v>366</v>
      </c>
      <c r="BQ369" t="s">
        <v>367</v>
      </c>
      <c r="BR369" t="s">
        <v>1053</v>
      </c>
      <c r="BS369" t="s">
        <v>1053</v>
      </c>
      <c r="BT369" t="s">
        <v>1053</v>
      </c>
      <c r="BU369" t="s">
        <v>1053</v>
      </c>
      <c r="BV369" t="s">
        <v>2347</v>
      </c>
      <c r="BW369" t="s">
        <v>2653</v>
      </c>
      <c r="BX369" t="str">
        <f>"S--W-F- 0545-1145 1630-2200"</f>
        <v>S--W-F- 0545-1145 1630-2200</v>
      </c>
      <c r="BY369" t="str">
        <f>"S--W-F- 0545-1145 1630-2200"</f>
        <v>S--W-F- 0545-1145 1630-2200</v>
      </c>
      <c r="BZ369" t="str">
        <f>"S--W-F- 0545-1145 1630-2200"</f>
        <v>S--W-F- 0545-1145 1630-2200</v>
      </c>
      <c r="CA369" t="str">
        <f>"S--W-F- 0545-1145 1630-2200"</f>
        <v>S--W-F- 0545-1145 1630-2200</v>
      </c>
      <c r="CB369" t="str">
        <f>"SMTWTFS 0545-1145 1630-2200"</f>
        <v>SMTWTFS 0545-1145 1630-2200</v>
      </c>
      <c r="CC369" t="str">
        <f>""</f>
        <v/>
      </c>
      <c r="CD369" t="str">
        <f>""</f>
        <v/>
      </c>
      <c r="CE369" t="str">
        <f>""</f>
        <v/>
      </c>
      <c r="CF369" t="str">
        <f>"S--W-F- 0545-1145 1630-2200"</f>
        <v>S--W-F- 0545-1145 1630-2200</v>
      </c>
      <c r="CG369" t="str">
        <f>""</f>
        <v/>
      </c>
      <c r="CH369" t="str">
        <f>"SMTWTFS 0000-2359"</f>
        <v>SMTWTFS 0000-2359</v>
      </c>
    </row>
    <row r="370" spans="1:86" x14ac:dyDescent="0.25">
      <c r="A370" t="s">
        <v>2654</v>
      </c>
      <c r="B370" t="s">
        <v>2655</v>
      </c>
      <c r="C370" t="s">
        <v>1992</v>
      </c>
      <c r="D370" t="s">
        <v>2010</v>
      </c>
      <c r="E370" t="s">
        <v>2656</v>
      </c>
      <c r="H370" t="s">
        <v>2657</v>
      </c>
      <c r="I370" t="s">
        <v>1144</v>
      </c>
      <c r="J370" t="str">
        <f>"67501"</f>
        <v>67501</v>
      </c>
      <c r="K370" t="s">
        <v>1998</v>
      </c>
      <c r="L370" t="s">
        <v>1999</v>
      </c>
      <c r="M370" t="s">
        <v>2063</v>
      </c>
      <c r="N370" t="s">
        <v>1992</v>
      </c>
      <c r="O370" t="s">
        <v>1992</v>
      </c>
      <c r="P370" t="s">
        <v>1992</v>
      </c>
      <c r="Q370" t="s">
        <v>1992</v>
      </c>
      <c r="R370" t="s">
        <v>1992</v>
      </c>
      <c r="S370" t="s">
        <v>1992</v>
      </c>
      <c r="T370" t="s">
        <v>1992</v>
      </c>
      <c r="U370" t="s">
        <v>1992</v>
      </c>
      <c r="V370" t="s">
        <v>1991</v>
      </c>
      <c r="W370" t="s">
        <v>1991</v>
      </c>
      <c r="X370" t="s">
        <v>1992</v>
      </c>
      <c r="Y370" t="s">
        <v>1992</v>
      </c>
      <c r="Z370" t="s">
        <v>1992</v>
      </c>
      <c r="AF370" t="s">
        <v>2001</v>
      </c>
      <c r="AG370" t="s">
        <v>1991</v>
      </c>
      <c r="AH370">
        <v>30</v>
      </c>
      <c r="AI370">
        <v>30</v>
      </c>
      <c r="AJ370" t="s">
        <v>2658</v>
      </c>
      <c r="AK370">
        <v>1530</v>
      </c>
      <c r="AL370">
        <v>42080</v>
      </c>
      <c r="AN370" t="s">
        <v>2066</v>
      </c>
      <c r="AO370" t="s">
        <v>2063</v>
      </c>
      <c r="BF370" t="s">
        <v>1053</v>
      </c>
      <c r="BG370" t="s">
        <v>2548</v>
      </c>
      <c r="BH370" t="s">
        <v>5231</v>
      </c>
      <c r="BI370" t="s">
        <v>1053</v>
      </c>
      <c r="BJ370" t="s">
        <v>1053</v>
      </c>
      <c r="BK370" t="s">
        <v>1053</v>
      </c>
      <c r="BL370" t="s">
        <v>1053</v>
      </c>
      <c r="BM370" t="s">
        <v>5232</v>
      </c>
      <c r="BN370" t="s">
        <v>2374</v>
      </c>
      <c r="BO370" t="s">
        <v>1053</v>
      </c>
      <c r="BP370" t="s">
        <v>653</v>
      </c>
      <c r="BQ370" t="s">
        <v>2523</v>
      </c>
      <c r="BR370" t="s">
        <v>1053</v>
      </c>
      <c r="BX370" t="str">
        <f>""</f>
        <v/>
      </c>
      <c r="BY370" t="str">
        <f>""</f>
        <v/>
      </c>
      <c r="BZ370" t="str">
        <f>""</f>
        <v/>
      </c>
      <c r="CA370" t="str">
        <f>""</f>
        <v/>
      </c>
      <c r="CB370" t="str">
        <f>""</f>
        <v/>
      </c>
      <c r="CC370" t="str">
        <f>""</f>
        <v/>
      </c>
      <c r="CD370" t="str">
        <f>""</f>
        <v/>
      </c>
      <c r="CE370" t="str">
        <f>""</f>
        <v/>
      </c>
      <c r="CF370" t="str">
        <f>""</f>
        <v/>
      </c>
      <c r="CG370" t="str">
        <f>""</f>
        <v/>
      </c>
      <c r="CH370" t="str">
        <f>""</f>
        <v/>
      </c>
    </row>
    <row r="371" spans="1:86" x14ac:dyDescent="0.25">
      <c r="A371" t="s">
        <v>2659</v>
      </c>
      <c r="B371" t="s">
        <v>2660</v>
      </c>
      <c r="C371" t="s">
        <v>1992</v>
      </c>
      <c r="D371" t="s">
        <v>1993</v>
      </c>
      <c r="E371" t="s">
        <v>2661</v>
      </c>
      <c r="F371" t="s">
        <v>2662</v>
      </c>
      <c r="H371" t="s">
        <v>2663</v>
      </c>
      <c r="I371" t="s">
        <v>2352</v>
      </c>
      <c r="J371" t="str">
        <f>"49329"</f>
        <v>49329</v>
      </c>
      <c r="K371" t="s">
        <v>1998</v>
      </c>
      <c r="L371" t="s">
        <v>1999</v>
      </c>
      <c r="M371" t="s">
        <v>3520</v>
      </c>
      <c r="N371" t="s">
        <v>1992</v>
      </c>
      <c r="O371" t="s">
        <v>1992</v>
      </c>
      <c r="P371" t="s">
        <v>1992</v>
      </c>
      <c r="Q371" t="s">
        <v>1992</v>
      </c>
      <c r="R371" t="s">
        <v>1992</v>
      </c>
      <c r="S371" t="s">
        <v>1992</v>
      </c>
      <c r="T371" t="s">
        <v>1992</v>
      </c>
      <c r="U371" t="s">
        <v>1992</v>
      </c>
      <c r="V371" t="s">
        <v>1991</v>
      </c>
      <c r="W371" t="s">
        <v>1992</v>
      </c>
      <c r="X371" t="s">
        <v>1992</v>
      </c>
      <c r="Y371" t="s">
        <v>1991</v>
      </c>
      <c r="Z371" t="s">
        <v>1992</v>
      </c>
      <c r="AF371" t="s">
        <v>2016</v>
      </c>
      <c r="AG371" t="s">
        <v>1991</v>
      </c>
      <c r="AH371">
        <v>30</v>
      </c>
      <c r="AI371">
        <v>30</v>
      </c>
      <c r="AJ371" t="s">
        <v>2664</v>
      </c>
      <c r="AK371">
        <v>878</v>
      </c>
      <c r="AL371">
        <v>1351</v>
      </c>
      <c r="AN371" t="s">
        <v>445</v>
      </c>
      <c r="AO371" t="s">
        <v>2311</v>
      </c>
      <c r="BF371" t="s">
        <v>1053</v>
      </c>
      <c r="BG371" t="s">
        <v>643</v>
      </c>
      <c r="BH371" t="s">
        <v>644</v>
      </c>
      <c r="BI371" t="s">
        <v>1053</v>
      </c>
      <c r="BK371" t="s">
        <v>1053</v>
      </c>
      <c r="BM371" t="s">
        <v>2313</v>
      </c>
      <c r="BN371" t="s">
        <v>2314</v>
      </c>
      <c r="BO371" t="s">
        <v>1053</v>
      </c>
      <c r="BP371" t="s">
        <v>2665</v>
      </c>
      <c r="BQ371" t="s">
        <v>2316</v>
      </c>
      <c r="BR371" t="s">
        <v>1053</v>
      </c>
      <c r="BT371" t="s">
        <v>1053</v>
      </c>
      <c r="BX371" t="str">
        <f>""</f>
        <v/>
      </c>
      <c r="BY371" t="str">
        <f>""</f>
        <v/>
      </c>
      <c r="BZ371" t="str">
        <f>""</f>
        <v/>
      </c>
      <c r="CA371" t="str">
        <f>""</f>
        <v/>
      </c>
      <c r="CB371" t="str">
        <f>""</f>
        <v/>
      </c>
      <c r="CC371" t="str">
        <f>""</f>
        <v/>
      </c>
      <c r="CD371" t="str">
        <f>""</f>
        <v/>
      </c>
      <c r="CE371" t="str">
        <f>""</f>
        <v/>
      </c>
      <c r="CF371" t="str">
        <f>""</f>
        <v/>
      </c>
      <c r="CG371" t="str">
        <f>""</f>
        <v/>
      </c>
      <c r="CH371" t="str">
        <f>""</f>
        <v/>
      </c>
    </row>
    <row r="372" spans="1:86" x14ac:dyDescent="0.25">
      <c r="A372" t="s">
        <v>2666</v>
      </c>
      <c r="B372" t="s">
        <v>2667</v>
      </c>
      <c r="C372" t="s">
        <v>1992</v>
      </c>
      <c r="D372" t="s">
        <v>1993</v>
      </c>
      <c r="E372" t="s">
        <v>2668</v>
      </c>
      <c r="F372" t="s">
        <v>2669</v>
      </c>
      <c r="H372" t="s">
        <v>2670</v>
      </c>
      <c r="I372" t="s">
        <v>2061</v>
      </c>
      <c r="J372" t="str">
        <f>"92201-3917"</f>
        <v>92201-3917</v>
      </c>
      <c r="K372" t="s">
        <v>1998</v>
      </c>
      <c r="L372" t="s">
        <v>2045</v>
      </c>
      <c r="M372" t="s">
        <v>2063</v>
      </c>
      <c r="N372" t="s">
        <v>1992</v>
      </c>
      <c r="O372" t="s">
        <v>1992</v>
      </c>
      <c r="P372" t="s">
        <v>1992</v>
      </c>
      <c r="Q372" t="s">
        <v>1992</v>
      </c>
      <c r="R372" t="s">
        <v>1992</v>
      </c>
      <c r="S372" t="s">
        <v>1992</v>
      </c>
      <c r="T372" t="s">
        <v>1992</v>
      </c>
      <c r="U372" t="s">
        <v>1992</v>
      </c>
      <c r="V372" t="s">
        <v>1991</v>
      </c>
      <c r="W372" t="s">
        <v>1992</v>
      </c>
      <c r="X372" t="s">
        <v>1992</v>
      </c>
      <c r="Y372" t="s">
        <v>1992</v>
      </c>
      <c r="Z372" t="s">
        <v>1991</v>
      </c>
      <c r="AF372" t="s">
        <v>2064</v>
      </c>
      <c r="AG372" t="s">
        <v>1991</v>
      </c>
      <c r="AH372">
        <v>30</v>
      </c>
      <c r="AI372">
        <v>30</v>
      </c>
      <c r="AJ372" t="s">
        <v>2671</v>
      </c>
      <c r="AK372">
        <v>3</v>
      </c>
      <c r="AL372">
        <v>36000</v>
      </c>
      <c r="AM372" t="s">
        <v>2672</v>
      </c>
      <c r="AN372" t="s">
        <v>2673</v>
      </c>
      <c r="AO372" t="s">
        <v>2063</v>
      </c>
      <c r="BF372" t="s">
        <v>1053</v>
      </c>
      <c r="BG372" t="s">
        <v>309</v>
      </c>
      <c r="BH372" t="s">
        <v>2301</v>
      </c>
      <c r="BI372" t="s">
        <v>1053</v>
      </c>
      <c r="BK372" t="s">
        <v>1053</v>
      </c>
      <c r="BO372" t="s">
        <v>1053</v>
      </c>
      <c r="BP372" t="s">
        <v>310</v>
      </c>
      <c r="BQ372" t="s">
        <v>311</v>
      </c>
      <c r="BR372" t="s">
        <v>1053</v>
      </c>
      <c r="BS372" t="s">
        <v>1053</v>
      </c>
      <c r="BT372" t="s">
        <v>1053</v>
      </c>
      <c r="BU372" t="s">
        <v>1053</v>
      </c>
      <c r="BX372" t="str">
        <f>""</f>
        <v/>
      </c>
      <c r="BY372" t="str">
        <f>""</f>
        <v/>
      </c>
      <c r="BZ372" t="str">
        <f>""</f>
        <v/>
      </c>
      <c r="CA372" t="str">
        <f>""</f>
        <v/>
      </c>
      <c r="CB372" t="str">
        <f>""</f>
        <v/>
      </c>
      <c r="CC372" t="str">
        <f>""</f>
        <v/>
      </c>
      <c r="CD372" t="str">
        <f>""</f>
        <v/>
      </c>
      <c r="CE372" t="str">
        <f>""</f>
        <v/>
      </c>
      <c r="CF372" t="str">
        <f>""</f>
        <v/>
      </c>
      <c r="CG372" t="str">
        <f>""</f>
        <v/>
      </c>
      <c r="CH372" t="str">
        <f>""</f>
        <v/>
      </c>
    </row>
    <row r="373" spans="1:86" x14ac:dyDescent="0.25">
      <c r="A373" t="s">
        <v>2674</v>
      </c>
      <c r="B373" t="s">
        <v>2675</v>
      </c>
      <c r="C373" t="s">
        <v>1992</v>
      </c>
      <c r="D373" t="s">
        <v>2010</v>
      </c>
      <c r="E373" t="s">
        <v>2676</v>
      </c>
      <c r="H373" t="s">
        <v>2677</v>
      </c>
      <c r="I373" t="s">
        <v>5524</v>
      </c>
      <c r="J373" t="str">
        <f>"64050-3564"</f>
        <v>64050-3564</v>
      </c>
      <c r="K373" t="s">
        <v>1998</v>
      </c>
      <c r="L373" t="s">
        <v>1999</v>
      </c>
      <c r="M373" t="s">
        <v>2063</v>
      </c>
      <c r="N373" t="s">
        <v>1992</v>
      </c>
      <c r="O373" t="s">
        <v>1992</v>
      </c>
      <c r="P373" t="s">
        <v>1992</v>
      </c>
      <c r="Q373" t="s">
        <v>1992</v>
      </c>
      <c r="R373" t="s">
        <v>1992</v>
      </c>
      <c r="S373" t="s">
        <v>1992</v>
      </c>
      <c r="T373" t="s">
        <v>1992</v>
      </c>
      <c r="U373" t="s">
        <v>1992</v>
      </c>
      <c r="V373" t="s">
        <v>1991</v>
      </c>
      <c r="W373" t="s">
        <v>1991</v>
      </c>
      <c r="X373" t="s">
        <v>1992</v>
      </c>
      <c r="Y373" t="s">
        <v>1992</v>
      </c>
      <c r="Z373" t="s">
        <v>1992</v>
      </c>
      <c r="AF373" t="s">
        <v>2001</v>
      </c>
      <c r="AG373" t="s">
        <v>1991</v>
      </c>
      <c r="AH373">
        <v>30</v>
      </c>
      <c r="AI373">
        <v>30</v>
      </c>
      <c r="AJ373" t="s">
        <v>2678</v>
      </c>
      <c r="AK373">
        <v>951</v>
      </c>
      <c r="AL373">
        <v>120000</v>
      </c>
      <c r="AN373" t="s">
        <v>2066</v>
      </c>
      <c r="AO373" t="s">
        <v>2063</v>
      </c>
      <c r="BF373" t="s">
        <v>1053</v>
      </c>
      <c r="BG373" t="s">
        <v>2548</v>
      </c>
      <c r="BH373" t="s">
        <v>5231</v>
      </c>
      <c r="BI373" t="s">
        <v>1053</v>
      </c>
      <c r="BJ373" t="s">
        <v>1053</v>
      </c>
      <c r="BK373" t="s">
        <v>1053</v>
      </c>
      <c r="BL373" t="s">
        <v>1053</v>
      </c>
      <c r="BM373" t="s">
        <v>2373</v>
      </c>
      <c r="BN373" t="s">
        <v>2374</v>
      </c>
      <c r="BO373" t="s">
        <v>1053</v>
      </c>
      <c r="BP373" t="s">
        <v>2023</v>
      </c>
      <c r="BQ373" t="s">
        <v>2679</v>
      </c>
      <c r="BR373" t="s">
        <v>1053</v>
      </c>
      <c r="BX373" t="str">
        <f>"SMTWTFS 0001-2359"</f>
        <v>SMTWTFS 0001-2359</v>
      </c>
      <c r="BY373" t="str">
        <f>""</f>
        <v/>
      </c>
      <c r="BZ373" t="str">
        <f>""</f>
        <v/>
      </c>
      <c r="CA373" t="str">
        <f>""</f>
        <v/>
      </c>
      <c r="CB373" t="str">
        <f>""</f>
        <v/>
      </c>
      <c r="CC373" t="str">
        <f>""</f>
        <v/>
      </c>
      <c r="CD373" t="str">
        <f>""</f>
        <v/>
      </c>
      <c r="CE373" t="str">
        <f>""</f>
        <v/>
      </c>
      <c r="CF373" t="str">
        <f>""</f>
        <v/>
      </c>
      <c r="CG373" t="str">
        <f>""</f>
        <v/>
      </c>
      <c r="CH373" t="str">
        <f>""</f>
        <v/>
      </c>
    </row>
    <row r="374" spans="1:86" x14ac:dyDescent="0.25">
      <c r="A374" t="s">
        <v>2680</v>
      </c>
      <c r="B374" t="s">
        <v>2681</v>
      </c>
      <c r="C374" t="s">
        <v>1991</v>
      </c>
      <c r="D374" t="s">
        <v>2010</v>
      </c>
      <c r="E374" t="s">
        <v>2682</v>
      </c>
      <c r="H374" t="s">
        <v>2683</v>
      </c>
      <c r="I374" t="s">
        <v>3623</v>
      </c>
      <c r="J374" t="str">
        <f>"46225-1198"</f>
        <v>46225-1198</v>
      </c>
      <c r="K374" t="s">
        <v>1998</v>
      </c>
      <c r="L374" t="s">
        <v>1999</v>
      </c>
      <c r="M374" t="s">
        <v>2684</v>
      </c>
      <c r="N374" t="s">
        <v>1991</v>
      </c>
      <c r="O374" t="s">
        <v>1991</v>
      </c>
      <c r="P374" t="s">
        <v>1992</v>
      </c>
      <c r="Q374" t="s">
        <v>1991</v>
      </c>
      <c r="R374" t="s">
        <v>1991</v>
      </c>
      <c r="S374" t="s">
        <v>1992</v>
      </c>
      <c r="T374" t="s">
        <v>1992</v>
      </c>
      <c r="U374" t="s">
        <v>1991</v>
      </c>
      <c r="V374" t="s">
        <v>1991</v>
      </c>
      <c r="W374" t="s">
        <v>1991</v>
      </c>
      <c r="X374" t="s">
        <v>1992</v>
      </c>
      <c r="Y374" t="s">
        <v>1992</v>
      </c>
      <c r="Z374" t="s">
        <v>1991</v>
      </c>
      <c r="AA374" t="s">
        <v>1991</v>
      </c>
      <c r="AE374" t="s">
        <v>2047</v>
      </c>
      <c r="AF374" t="s">
        <v>2016</v>
      </c>
      <c r="AG374" t="s">
        <v>1991</v>
      </c>
      <c r="AH374">
        <v>60</v>
      </c>
      <c r="AI374">
        <v>30</v>
      </c>
      <c r="AJ374" t="s">
        <v>2685</v>
      </c>
      <c r="AK374">
        <v>706</v>
      </c>
      <c r="AL374">
        <v>733271</v>
      </c>
      <c r="AM374" t="s">
        <v>2686</v>
      </c>
      <c r="AN374" t="s">
        <v>1053</v>
      </c>
      <c r="AO374" t="s">
        <v>1053</v>
      </c>
      <c r="AP374" t="s">
        <v>1053</v>
      </c>
      <c r="AQ374" t="s">
        <v>1053</v>
      </c>
      <c r="AR374" t="s">
        <v>1053</v>
      </c>
      <c r="AS374" t="s">
        <v>2680</v>
      </c>
      <c r="AT374" t="s">
        <v>2687</v>
      </c>
      <c r="AU374" t="s">
        <v>1053</v>
      </c>
      <c r="AV374" t="s">
        <v>1053</v>
      </c>
      <c r="AW374" t="s">
        <v>1053</v>
      </c>
      <c r="AX374" t="s">
        <v>1053</v>
      </c>
      <c r="AY374" t="s">
        <v>1053</v>
      </c>
      <c r="AZ374" t="s">
        <v>2680</v>
      </c>
      <c r="BA374" t="s">
        <v>2687</v>
      </c>
      <c r="BB374" t="s">
        <v>1053</v>
      </c>
      <c r="BC374" t="s">
        <v>1053</v>
      </c>
      <c r="BD374" t="s">
        <v>1053</v>
      </c>
      <c r="BE374" t="s">
        <v>1053</v>
      </c>
      <c r="BF374" t="s">
        <v>1053</v>
      </c>
      <c r="BG374" t="s">
        <v>2097</v>
      </c>
      <c r="BH374" t="s">
        <v>2312</v>
      </c>
      <c r="BI374" t="s">
        <v>1053</v>
      </c>
      <c r="BJ374" t="s">
        <v>2069</v>
      </c>
      <c r="BK374" t="s">
        <v>1053</v>
      </c>
      <c r="BL374" t="s">
        <v>2069</v>
      </c>
      <c r="BM374" t="s">
        <v>2313</v>
      </c>
      <c r="BN374" t="s">
        <v>2314</v>
      </c>
      <c r="BO374" t="s">
        <v>1053</v>
      </c>
      <c r="BP374" t="s">
        <v>301</v>
      </c>
      <c r="BQ374" t="s">
        <v>2316</v>
      </c>
      <c r="BR374" t="s">
        <v>1053</v>
      </c>
      <c r="BT374" t="s">
        <v>1053</v>
      </c>
      <c r="BX374" t="str">
        <f>"SMTWTFS 0000-2359"</f>
        <v>SMTWTFS 0000-2359</v>
      </c>
      <c r="BY374" t="str">
        <f>"S---TFS 0000-0645 2300-2359; -MTW--- 0000-1415 2300-2359"</f>
        <v>S---TFS 0000-0645 2300-2359; -MTW--- 0000-1415 2300-2359</v>
      </c>
      <c r="BZ374" t="str">
        <f>"S---TFS 0000-0630 2300-2359; -MTW--- 0000-1415 2300-2359"</f>
        <v>S---TFS 0000-0630 2300-2359; -MTW--- 0000-1415 2300-2359</v>
      </c>
      <c r="CA374" t="str">
        <f>"S------ 0000-0630 2300-2359; -MTW--- 0000-1415 2300-2359; ----T-- 0000-1200 2300-2359; -----F- 0000-1130 2300-2359; ------S 0000-0800 2300-2359"</f>
        <v>S------ 0000-0630 2300-2359; -MTW--- 0000-1415 2300-2359; ----T-- 0000-1200 2300-2359; -----F- 0000-1130 2300-2359; ------S 0000-0800 2300-2359</v>
      </c>
      <c r="CB374" t="str">
        <f>"S------ 0000-0630 2300-2359; -MTW--- 0000-1415 2300-2359; ----T-- 0000-1200 2300-2359; -----F- 0000-1130 2300-2359; ------S 0000-0800 2300-2359"</f>
        <v>S------ 0000-0630 2300-2359; -MTW--- 0000-1415 2300-2359; ----T-- 0000-1200 2300-2359; -----F- 0000-1130 2300-2359; ------S 0000-0800 2300-2359</v>
      </c>
      <c r="CC374" t="str">
        <f>"SMTWTFS 0000-2359"</f>
        <v>SMTWTFS 0000-2359</v>
      </c>
      <c r="CD374" t="str">
        <f>""</f>
        <v/>
      </c>
      <c r="CE374" t="str">
        <f>""</f>
        <v/>
      </c>
      <c r="CF374" t="str">
        <f>"S---TFS 0000-0645 2300-2359; -MTW--- 0000-1415 2300-2359"</f>
        <v>S---TFS 0000-0645 2300-2359; -MTW--- 0000-1415 2300-2359</v>
      </c>
      <c r="CG374" t="str">
        <f>""</f>
        <v/>
      </c>
      <c r="CH374" t="str">
        <f>"SMTWTFS 0000-2359"</f>
        <v>SMTWTFS 0000-2359</v>
      </c>
    </row>
    <row r="375" spans="1:86" x14ac:dyDescent="0.25">
      <c r="A375" t="s">
        <v>2688</v>
      </c>
      <c r="B375" t="s">
        <v>2689</v>
      </c>
      <c r="C375" t="s">
        <v>1991</v>
      </c>
      <c r="D375" t="s">
        <v>2010</v>
      </c>
      <c r="E375" t="s">
        <v>2690</v>
      </c>
      <c r="F375" t="s">
        <v>2691</v>
      </c>
      <c r="H375" t="s">
        <v>2692</v>
      </c>
      <c r="I375" t="s">
        <v>2061</v>
      </c>
      <c r="J375" t="str">
        <f>"92618"</f>
        <v>92618</v>
      </c>
      <c r="K375" t="s">
        <v>1998</v>
      </c>
      <c r="L375" t="s">
        <v>2045</v>
      </c>
      <c r="M375" t="s">
        <v>0</v>
      </c>
      <c r="N375" t="s">
        <v>1991</v>
      </c>
      <c r="O375" t="s">
        <v>1991</v>
      </c>
      <c r="P375" t="s">
        <v>1991</v>
      </c>
      <c r="Q375" t="s">
        <v>1992</v>
      </c>
      <c r="R375" t="s">
        <v>1992</v>
      </c>
      <c r="S375" t="s">
        <v>1992</v>
      </c>
      <c r="T375" t="s">
        <v>1991</v>
      </c>
      <c r="U375" t="s">
        <v>1991</v>
      </c>
      <c r="V375" t="s">
        <v>1991</v>
      </c>
      <c r="W375" t="s">
        <v>1991</v>
      </c>
      <c r="X375" t="s">
        <v>1991</v>
      </c>
      <c r="Y375" t="s">
        <v>1992</v>
      </c>
      <c r="Z375" t="s">
        <v>1992</v>
      </c>
      <c r="AA375" t="s">
        <v>1992</v>
      </c>
      <c r="AE375" t="s">
        <v>2047</v>
      </c>
      <c r="AF375" t="s">
        <v>2064</v>
      </c>
      <c r="AG375" t="s">
        <v>1991</v>
      </c>
      <c r="AH375">
        <v>30</v>
      </c>
      <c r="AI375">
        <v>30</v>
      </c>
      <c r="AJ375" t="s">
        <v>1</v>
      </c>
      <c r="AK375">
        <v>265</v>
      </c>
      <c r="AL375">
        <v>50000</v>
      </c>
      <c r="AN375" t="s">
        <v>1053</v>
      </c>
      <c r="AO375" t="s">
        <v>1053</v>
      </c>
      <c r="AP375" t="s">
        <v>2069</v>
      </c>
      <c r="AQ375" t="s">
        <v>1053</v>
      </c>
      <c r="AR375" t="s">
        <v>2069</v>
      </c>
      <c r="AS375" t="s">
        <v>2688</v>
      </c>
      <c r="AT375" t="s">
        <v>2</v>
      </c>
      <c r="AU375" t="s">
        <v>1053</v>
      </c>
      <c r="AV375" t="s">
        <v>1053</v>
      </c>
      <c r="AW375" t="s">
        <v>2069</v>
      </c>
      <c r="AX375" t="s">
        <v>1053</v>
      </c>
      <c r="AY375" t="s">
        <v>2069</v>
      </c>
      <c r="AZ375" t="s">
        <v>2688</v>
      </c>
      <c r="BA375" t="s">
        <v>2</v>
      </c>
      <c r="BB375" t="s">
        <v>1053</v>
      </c>
      <c r="BC375" t="s">
        <v>2069</v>
      </c>
      <c r="BD375" t="s">
        <v>1053</v>
      </c>
      <c r="BE375" t="s">
        <v>2069</v>
      </c>
      <c r="BF375" t="s">
        <v>1053</v>
      </c>
      <c r="BG375" t="s">
        <v>2067</v>
      </c>
      <c r="BH375" t="s">
        <v>275</v>
      </c>
      <c r="BI375" t="s">
        <v>1053</v>
      </c>
      <c r="BJ375" t="s">
        <v>2069</v>
      </c>
      <c r="BK375" t="s">
        <v>1053</v>
      </c>
      <c r="BL375" t="s">
        <v>2069</v>
      </c>
      <c r="BM375" t="s">
        <v>276</v>
      </c>
      <c r="BN375" t="s">
        <v>277</v>
      </c>
      <c r="BO375" t="s">
        <v>1053</v>
      </c>
      <c r="BP375" t="s">
        <v>2067</v>
      </c>
      <c r="BQ375" t="s">
        <v>275</v>
      </c>
      <c r="BR375" t="s">
        <v>1053</v>
      </c>
      <c r="BX375" t="str">
        <f>"SMTWTFS 0400-2300"</f>
        <v>SMTWTFS 0400-2300</v>
      </c>
      <c r="BY375" t="str">
        <f>""</f>
        <v/>
      </c>
      <c r="BZ375" t="str">
        <f>"SMTWTFS 1000-1400"</f>
        <v>SMTWTFS 1000-1400</v>
      </c>
      <c r="CA375" t="str">
        <f>"SMTWTFS 0645-1800"</f>
        <v>SMTWTFS 0645-1800</v>
      </c>
      <c r="CB375" t="str">
        <f>""</f>
        <v/>
      </c>
      <c r="CC375" t="str">
        <f>"SMTWTFS 0400-2300"</f>
        <v>SMTWTFS 0400-2300</v>
      </c>
      <c r="CD375" t="str">
        <f>"SMTWTFS 0000-2359"</f>
        <v>SMTWTFS 0000-2359</v>
      </c>
      <c r="CE375" t="str">
        <f>""</f>
        <v/>
      </c>
      <c r="CF375" t="str">
        <f>""</f>
        <v/>
      </c>
      <c r="CG375" t="str">
        <f>""</f>
        <v/>
      </c>
      <c r="CH375" t="str">
        <f>""</f>
        <v/>
      </c>
    </row>
    <row r="376" spans="1:86" x14ac:dyDescent="0.25">
      <c r="A376" t="s">
        <v>3</v>
      </c>
      <c r="B376" t="s">
        <v>4</v>
      </c>
      <c r="C376" t="s">
        <v>1992</v>
      </c>
      <c r="D376" t="s">
        <v>1993</v>
      </c>
      <c r="E376" t="s">
        <v>5</v>
      </c>
      <c r="F376" t="s">
        <v>6</v>
      </c>
      <c r="G376" t="s">
        <v>7</v>
      </c>
      <c r="H376" t="s">
        <v>8</v>
      </c>
      <c r="I376" t="s">
        <v>2061</v>
      </c>
      <c r="J376" t="str">
        <f>"95641"</f>
        <v>95641</v>
      </c>
      <c r="K376" t="s">
        <v>1998</v>
      </c>
      <c r="L376" t="s">
        <v>2062</v>
      </c>
      <c r="M376" t="s">
        <v>2000</v>
      </c>
      <c r="N376" t="s">
        <v>1992</v>
      </c>
      <c r="O376" t="s">
        <v>1992</v>
      </c>
      <c r="P376" t="s">
        <v>1992</v>
      </c>
      <c r="Q376" t="s">
        <v>1992</v>
      </c>
      <c r="R376" t="s">
        <v>1992</v>
      </c>
      <c r="S376" t="s">
        <v>1992</v>
      </c>
      <c r="T376" t="s">
        <v>1992</v>
      </c>
      <c r="U376" t="s">
        <v>1992</v>
      </c>
      <c r="V376" t="s">
        <v>1991</v>
      </c>
      <c r="Z376" t="s">
        <v>1991</v>
      </c>
      <c r="AF376" t="s">
        <v>2064</v>
      </c>
      <c r="AG376" t="s">
        <v>1991</v>
      </c>
      <c r="AH376">
        <v>15</v>
      </c>
      <c r="AI376">
        <v>15</v>
      </c>
      <c r="AJ376" t="s">
        <v>9</v>
      </c>
      <c r="AK376">
        <v>6</v>
      </c>
      <c r="BX376" t="str">
        <f>""</f>
        <v/>
      </c>
      <c r="BY376" t="str">
        <f>""</f>
        <v/>
      </c>
      <c r="BZ376" t="str">
        <f>""</f>
        <v/>
      </c>
      <c r="CA376" t="str">
        <f>""</f>
        <v/>
      </c>
      <c r="CB376" t="str">
        <f>""</f>
        <v/>
      </c>
      <c r="CC376" t="str">
        <f>""</f>
        <v/>
      </c>
      <c r="CD376" t="str">
        <f>""</f>
        <v/>
      </c>
      <c r="CE376" t="str">
        <f>""</f>
        <v/>
      </c>
      <c r="CF376" t="str">
        <f>""</f>
        <v/>
      </c>
      <c r="CG376" t="str">
        <f>""</f>
        <v/>
      </c>
      <c r="CH376" t="str">
        <f>""</f>
        <v/>
      </c>
    </row>
    <row r="377" spans="1:86" x14ac:dyDescent="0.25">
      <c r="A377" t="s">
        <v>10</v>
      </c>
      <c r="B377" t="s">
        <v>11</v>
      </c>
      <c r="C377" t="s">
        <v>1991</v>
      </c>
      <c r="D377" t="s">
        <v>2010</v>
      </c>
      <c r="E377" t="s">
        <v>12</v>
      </c>
      <c r="H377" t="s">
        <v>13</v>
      </c>
      <c r="I377" t="s">
        <v>779</v>
      </c>
      <c r="J377" t="str">
        <f>"39201"</f>
        <v>39201</v>
      </c>
      <c r="K377" t="s">
        <v>1998</v>
      </c>
      <c r="L377" t="s">
        <v>408</v>
      </c>
      <c r="M377" t="s">
        <v>14</v>
      </c>
      <c r="N377" t="s">
        <v>1991</v>
      </c>
      <c r="O377" t="s">
        <v>1991</v>
      </c>
      <c r="P377" t="s">
        <v>1992</v>
      </c>
      <c r="Q377" t="s">
        <v>1991</v>
      </c>
      <c r="R377" t="s">
        <v>1991</v>
      </c>
      <c r="S377" t="s">
        <v>1992</v>
      </c>
      <c r="T377" t="s">
        <v>1992</v>
      </c>
      <c r="U377" t="s">
        <v>1991</v>
      </c>
      <c r="V377" t="s">
        <v>1991</v>
      </c>
      <c r="W377" t="s">
        <v>1991</v>
      </c>
      <c r="X377" t="s">
        <v>1992</v>
      </c>
      <c r="Y377" t="s">
        <v>1992</v>
      </c>
      <c r="Z377" t="s">
        <v>1992</v>
      </c>
      <c r="AA377" t="s">
        <v>1991</v>
      </c>
      <c r="AE377" t="s">
        <v>2047</v>
      </c>
      <c r="AF377" t="s">
        <v>2001</v>
      </c>
      <c r="AG377" t="s">
        <v>1991</v>
      </c>
      <c r="AH377">
        <v>60</v>
      </c>
      <c r="AI377">
        <v>30</v>
      </c>
      <c r="AJ377" t="s">
        <v>15</v>
      </c>
      <c r="AK377">
        <v>288</v>
      </c>
      <c r="AL377">
        <v>176614</v>
      </c>
      <c r="AM377" t="s">
        <v>16</v>
      </c>
      <c r="AN377" t="s">
        <v>1053</v>
      </c>
      <c r="AO377" t="s">
        <v>1053</v>
      </c>
      <c r="AP377" t="s">
        <v>2069</v>
      </c>
      <c r="AQ377" t="s">
        <v>1053</v>
      </c>
      <c r="AR377" t="s">
        <v>2069</v>
      </c>
      <c r="AS377" t="s">
        <v>10</v>
      </c>
      <c r="AT377" t="s">
        <v>17</v>
      </c>
      <c r="AU377" t="s">
        <v>1053</v>
      </c>
      <c r="AV377" t="s">
        <v>1053</v>
      </c>
      <c r="AW377" t="s">
        <v>2069</v>
      </c>
      <c r="AX377" t="s">
        <v>1053</v>
      </c>
      <c r="AY377" t="s">
        <v>2069</v>
      </c>
      <c r="AZ377" t="s">
        <v>10</v>
      </c>
      <c r="BA377" t="s">
        <v>17</v>
      </c>
      <c r="BB377" t="s">
        <v>1053</v>
      </c>
      <c r="BC377" t="s">
        <v>2069</v>
      </c>
      <c r="BD377" t="s">
        <v>2063</v>
      </c>
      <c r="BE377" t="s">
        <v>2069</v>
      </c>
      <c r="BF377" t="s">
        <v>1053</v>
      </c>
      <c r="BG377" t="s">
        <v>703</v>
      </c>
      <c r="BH377" t="s">
        <v>781</v>
      </c>
      <c r="BI377" t="s">
        <v>1053</v>
      </c>
      <c r="BJ377" t="s">
        <v>1053</v>
      </c>
      <c r="BK377" t="s">
        <v>1053</v>
      </c>
      <c r="BL377" t="s">
        <v>1053</v>
      </c>
      <c r="BM377" t="s">
        <v>416</v>
      </c>
      <c r="BN377" t="s">
        <v>782</v>
      </c>
      <c r="BO377" t="s">
        <v>1053</v>
      </c>
      <c r="BP377" t="s">
        <v>653</v>
      </c>
      <c r="BQ377" t="s">
        <v>783</v>
      </c>
      <c r="BR377" t="s">
        <v>1053</v>
      </c>
      <c r="BS377" t="s">
        <v>1053</v>
      </c>
      <c r="BT377" t="s">
        <v>1053</v>
      </c>
      <c r="BU377" t="s">
        <v>1053</v>
      </c>
      <c r="BV377" t="s">
        <v>416</v>
      </c>
      <c r="BW377" t="s">
        <v>782</v>
      </c>
      <c r="BX377" t="str">
        <f>"SMTWTFS 1015-1745"</f>
        <v>SMTWTFS 1015-1745</v>
      </c>
      <c r="BY377" t="str">
        <f>"SMTWTFS 1015-1745"</f>
        <v>SMTWTFS 1015-1745</v>
      </c>
      <c r="BZ377" t="str">
        <f>"SMTWTFS 1015-1745"</f>
        <v>SMTWTFS 1015-1745</v>
      </c>
      <c r="CA377" t="str">
        <f>"SMTWTFS 1015-1745"</f>
        <v>SMTWTFS 1015-1745</v>
      </c>
      <c r="CB377" t="str">
        <f>""</f>
        <v/>
      </c>
      <c r="CC377" t="str">
        <f>"SMTWTFS 1015-1745"</f>
        <v>SMTWTFS 1015-1745</v>
      </c>
      <c r="CD377" t="str">
        <f>""</f>
        <v/>
      </c>
      <c r="CE377" t="str">
        <f>""</f>
        <v/>
      </c>
      <c r="CF377" t="str">
        <f>""</f>
        <v/>
      </c>
      <c r="CG377" t="str">
        <f>""</f>
        <v/>
      </c>
      <c r="CH377" t="str">
        <f>""</f>
        <v/>
      </c>
    </row>
    <row r="378" spans="1:86" x14ac:dyDescent="0.25">
      <c r="A378" t="s">
        <v>18</v>
      </c>
      <c r="B378" t="s">
        <v>19</v>
      </c>
      <c r="C378" t="s">
        <v>1991</v>
      </c>
      <c r="D378" t="s">
        <v>2010</v>
      </c>
      <c r="E378" t="s">
        <v>20</v>
      </c>
      <c r="H378" t="s">
        <v>21</v>
      </c>
      <c r="I378" t="s">
        <v>558</v>
      </c>
      <c r="J378" t="str">
        <f>"32209-2123"</f>
        <v>32209-2123</v>
      </c>
      <c r="K378" t="s">
        <v>1998</v>
      </c>
      <c r="L378" t="s">
        <v>408</v>
      </c>
      <c r="M378" t="s">
        <v>22</v>
      </c>
      <c r="N378" t="s">
        <v>1991</v>
      </c>
      <c r="O378" t="s">
        <v>1991</v>
      </c>
      <c r="P378" t="s">
        <v>1992</v>
      </c>
      <c r="Q378" t="s">
        <v>1991</v>
      </c>
      <c r="R378" t="s">
        <v>1991</v>
      </c>
      <c r="S378" t="s">
        <v>1992</v>
      </c>
      <c r="T378" t="s">
        <v>1992</v>
      </c>
      <c r="U378" t="s">
        <v>1991</v>
      </c>
      <c r="V378" t="s">
        <v>1991</v>
      </c>
      <c r="W378" t="s">
        <v>1991</v>
      </c>
      <c r="X378" t="s">
        <v>1992</v>
      </c>
      <c r="Y378" t="s">
        <v>1991</v>
      </c>
      <c r="Z378" t="s">
        <v>1992</v>
      </c>
      <c r="AA378" t="s">
        <v>1992</v>
      </c>
      <c r="AE378" t="s">
        <v>2047</v>
      </c>
      <c r="AF378" t="s">
        <v>2016</v>
      </c>
      <c r="AG378" t="s">
        <v>1991</v>
      </c>
      <c r="AH378">
        <v>60</v>
      </c>
      <c r="AI378">
        <v>30</v>
      </c>
      <c r="AJ378" t="s">
        <v>23</v>
      </c>
      <c r="AK378">
        <v>19</v>
      </c>
      <c r="AL378">
        <v>794555</v>
      </c>
      <c r="AN378" t="s">
        <v>1053</v>
      </c>
      <c r="AO378" t="s">
        <v>1053</v>
      </c>
      <c r="AP378" t="s">
        <v>1053</v>
      </c>
      <c r="AQ378" t="s">
        <v>1053</v>
      </c>
      <c r="AR378" t="s">
        <v>1053</v>
      </c>
      <c r="AS378" t="s">
        <v>18</v>
      </c>
      <c r="AT378" t="s">
        <v>1050</v>
      </c>
      <c r="AU378" t="s">
        <v>1053</v>
      </c>
      <c r="AV378" t="s">
        <v>1053</v>
      </c>
      <c r="AW378" t="s">
        <v>1053</v>
      </c>
      <c r="AX378" t="s">
        <v>1053</v>
      </c>
      <c r="AY378" t="s">
        <v>1053</v>
      </c>
      <c r="AZ378" t="s">
        <v>18</v>
      </c>
      <c r="BA378" t="s">
        <v>1050</v>
      </c>
      <c r="BB378" t="s">
        <v>1053</v>
      </c>
      <c r="BC378" t="s">
        <v>1053</v>
      </c>
      <c r="BD378" t="s">
        <v>1053</v>
      </c>
      <c r="BE378" t="s">
        <v>1053</v>
      </c>
      <c r="BF378" t="s">
        <v>1053</v>
      </c>
      <c r="BG378" t="s">
        <v>2097</v>
      </c>
      <c r="BH378" t="s">
        <v>1139</v>
      </c>
      <c r="BI378" t="s">
        <v>1053</v>
      </c>
      <c r="BJ378" t="s">
        <v>1053</v>
      </c>
      <c r="BK378" t="s">
        <v>1053</v>
      </c>
      <c r="BL378" t="s">
        <v>1053</v>
      </c>
      <c r="BM378" t="s">
        <v>1049</v>
      </c>
      <c r="BN378" t="s">
        <v>1050</v>
      </c>
      <c r="BO378" t="s">
        <v>1053</v>
      </c>
      <c r="BP378" t="s">
        <v>2165</v>
      </c>
      <c r="BQ378" t="s">
        <v>2127</v>
      </c>
      <c r="BR378" t="s">
        <v>1053</v>
      </c>
      <c r="BS378" t="s">
        <v>1053</v>
      </c>
      <c r="BT378" t="s">
        <v>1053</v>
      </c>
      <c r="BU378" t="s">
        <v>1053</v>
      </c>
      <c r="BV378" t="s">
        <v>1052</v>
      </c>
      <c r="BW378" t="s">
        <v>226</v>
      </c>
      <c r="BX378" t="str">
        <f>"SMTWTFS 0545-2315"</f>
        <v>SMTWTFS 0545-2315</v>
      </c>
      <c r="BY378" t="str">
        <f>"SMTWTFS 0545-2315"</f>
        <v>SMTWTFS 0545-2315</v>
      </c>
      <c r="BZ378" t="str">
        <f>"SMTWTFS 0545-2315"</f>
        <v>SMTWTFS 0545-2315</v>
      </c>
      <c r="CA378" t="str">
        <f>"SMTWTFS 0545-2315"</f>
        <v>SMTWTFS 0545-2315</v>
      </c>
      <c r="CB378" t="str">
        <f>""</f>
        <v/>
      </c>
      <c r="CC378" t="str">
        <f>"SMTWTFS 0545-2315"</f>
        <v>SMTWTFS 0545-2315</v>
      </c>
      <c r="CD378" t="str">
        <f>""</f>
        <v/>
      </c>
      <c r="CE378" t="str">
        <f>""</f>
        <v/>
      </c>
      <c r="CF378" t="str">
        <f>"SMTWTFS 0545-2315"</f>
        <v>SMTWTFS 0545-2315</v>
      </c>
      <c r="CG378" t="str">
        <f>""</f>
        <v/>
      </c>
      <c r="CH378" t="str">
        <f>""</f>
        <v/>
      </c>
    </row>
    <row r="379" spans="1:86" x14ac:dyDescent="0.25">
      <c r="A379" t="s">
        <v>24</v>
      </c>
      <c r="B379" t="s">
        <v>25</v>
      </c>
      <c r="C379" t="s">
        <v>1992</v>
      </c>
      <c r="D379" t="s">
        <v>2010</v>
      </c>
      <c r="E379" t="s">
        <v>26</v>
      </c>
      <c r="H379" t="s">
        <v>27</v>
      </c>
      <c r="I379" t="s">
        <v>5524</v>
      </c>
      <c r="J379" t="str">
        <f>"65101"</f>
        <v>65101</v>
      </c>
      <c r="K379" t="s">
        <v>1998</v>
      </c>
      <c r="L379" t="s">
        <v>1999</v>
      </c>
      <c r="M379" t="s">
        <v>2063</v>
      </c>
      <c r="N379" t="s">
        <v>1992</v>
      </c>
      <c r="O379" t="s">
        <v>1992</v>
      </c>
      <c r="P379" t="s">
        <v>1992</v>
      </c>
      <c r="Q379" t="s">
        <v>1992</v>
      </c>
      <c r="R379" t="s">
        <v>1992</v>
      </c>
      <c r="S379" t="s">
        <v>1992</v>
      </c>
      <c r="T379" t="s">
        <v>1992</v>
      </c>
      <c r="U379" t="s">
        <v>1992</v>
      </c>
      <c r="V379" t="s">
        <v>1991</v>
      </c>
      <c r="W379" t="s">
        <v>1991</v>
      </c>
      <c r="X379" t="s">
        <v>1992</v>
      </c>
      <c r="Y379" t="s">
        <v>1992</v>
      </c>
      <c r="Z379" t="s">
        <v>1992</v>
      </c>
      <c r="AF379" t="s">
        <v>2001</v>
      </c>
      <c r="AG379" t="s">
        <v>1991</v>
      </c>
      <c r="AH379">
        <v>30</v>
      </c>
      <c r="AI379">
        <v>30</v>
      </c>
      <c r="AJ379" t="s">
        <v>28</v>
      </c>
      <c r="AK379">
        <v>558</v>
      </c>
      <c r="AL379">
        <v>39274</v>
      </c>
      <c r="AN379" t="s">
        <v>2066</v>
      </c>
      <c r="AU379" t="s">
        <v>29</v>
      </c>
      <c r="BF379" t="s">
        <v>1053</v>
      </c>
      <c r="BG379" t="s">
        <v>2548</v>
      </c>
      <c r="BH379" t="s">
        <v>30</v>
      </c>
      <c r="BI379" t="s">
        <v>1053</v>
      </c>
      <c r="BJ379" t="s">
        <v>1053</v>
      </c>
      <c r="BK379" t="s">
        <v>1053</v>
      </c>
      <c r="BL379" t="s">
        <v>1053</v>
      </c>
      <c r="BM379" t="s">
        <v>2373</v>
      </c>
      <c r="BN379" t="s">
        <v>2374</v>
      </c>
      <c r="BO379" t="s">
        <v>1053</v>
      </c>
      <c r="BP379" t="s">
        <v>653</v>
      </c>
      <c r="BQ379" t="s">
        <v>2376</v>
      </c>
      <c r="BR379" t="s">
        <v>1053</v>
      </c>
      <c r="BX379" t="str">
        <f>"SMTWTFS 1030-1145 1745-1915"</f>
        <v>SMTWTFS 1030-1145 1745-1915</v>
      </c>
      <c r="BY379" t="str">
        <f>""</f>
        <v/>
      </c>
      <c r="BZ379" t="str">
        <f>""</f>
        <v/>
      </c>
      <c r="CA379" t="str">
        <f>""</f>
        <v/>
      </c>
      <c r="CB379" t="str">
        <f>""</f>
        <v/>
      </c>
      <c r="CC379" t="str">
        <f>""</f>
        <v/>
      </c>
      <c r="CD379" t="str">
        <f>""</f>
        <v/>
      </c>
      <c r="CE379" t="str">
        <f>""</f>
        <v/>
      </c>
      <c r="CF379" t="str">
        <f>""</f>
        <v/>
      </c>
      <c r="CG379" t="str">
        <f>""</f>
        <v/>
      </c>
      <c r="CH379" t="str">
        <f>""</f>
        <v/>
      </c>
    </row>
    <row r="380" spans="1:86" x14ac:dyDescent="0.25">
      <c r="A380" t="s">
        <v>31</v>
      </c>
      <c r="B380" t="s">
        <v>32</v>
      </c>
      <c r="D380" t="s">
        <v>2089</v>
      </c>
      <c r="E380" t="s">
        <v>33</v>
      </c>
      <c r="F380" t="s">
        <v>497</v>
      </c>
      <c r="H380" t="s">
        <v>34</v>
      </c>
      <c r="I380" t="s">
        <v>2014</v>
      </c>
      <c r="J380" t="str">
        <f>"20794"</f>
        <v>20794</v>
      </c>
      <c r="K380" t="s">
        <v>1998</v>
      </c>
      <c r="L380" t="s">
        <v>499</v>
      </c>
      <c r="M380" t="s">
        <v>500</v>
      </c>
      <c r="O380" t="s">
        <v>1992</v>
      </c>
      <c r="AF380" t="s">
        <v>2016</v>
      </c>
      <c r="AG380" t="s">
        <v>1991</v>
      </c>
      <c r="AJ380" t="s">
        <v>2090</v>
      </c>
      <c r="AM380" t="s">
        <v>501</v>
      </c>
      <c r="BX380" t="str">
        <f>""</f>
        <v/>
      </c>
      <c r="BY380" t="str">
        <f>""</f>
        <v/>
      </c>
      <c r="BZ380" t="str">
        <f>""</f>
        <v/>
      </c>
      <c r="CA380" t="str">
        <f>""</f>
        <v/>
      </c>
      <c r="CB380" t="str">
        <f>""</f>
        <v/>
      </c>
      <c r="CC380" t="str">
        <f>""</f>
        <v/>
      </c>
      <c r="CD380" t="str">
        <f>""</f>
        <v/>
      </c>
      <c r="CE380" t="str">
        <f>""</f>
        <v/>
      </c>
      <c r="CF380" t="str">
        <f>""</f>
        <v/>
      </c>
      <c r="CG380" t="str">
        <f>""</f>
        <v/>
      </c>
      <c r="CH380" t="str">
        <f>""</f>
        <v/>
      </c>
    </row>
    <row r="381" spans="1:86" x14ac:dyDescent="0.25">
      <c r="A381" t="s">
        <v>35</v>
      </c>
      <c r="B381" t="s">
        <v>36</v>
      </c>
      <c r="C381" t="s">
        <v>1992</v>
      </c>
      <c r="D381" t="s">
        <v>1993</v>
      </c>
      <c r="E381" t="s">
        <v>37</v>
      </c>
      <c r="F381" t="s">
        <v>38</v>
      </c>
      <c r="H381" t="s">
        <v>39</v>
      </c>
      <c r="I381" t="s">
        <v>2321</v>
      </c>
      <c r="J381" t="str">
        <f>"14701"</f>
        <v>14701</v>
      </c>
      <c r="K381" t="s">
        <v>1998</v>
      </c>
      <c r="L381" t="s">
        <v>2033</v>
      </c>
      <c r="M381" t="s">
        <v>2063</v>
      </c>
      <c r="N381" t="s">
        <v>1992</v>
      </c>
      <c r="O381" t="s">
        <v>1992</v>
      </c>
      <c r="P381" t="s">
        <v>1992</v>
      </c>
      <c r="Q381" t="s">
        <v>1992</v>
      </c>
      <c r="R381" t="s">
        <v>1992</v>
      </c>
      <c r="S381" t="s">
        <v>1992</v>
      </c>
      <c r="T381" t="s">
        <v>1992</v>
      </c>
      <c r="U381" t="s">
        <v>1992</v>
      </c>
      <c r="V381" t="s">
        <v>1991</v>
      </c>
      <c r="W381" t="s">
        <v>1992</v>
      </c>
      <c r="X381" t="s">
        <v>1992</v>
      </c>
      <c r="Y381" t="s">
        <v>1992</v>
      </c>
      <c r="Z381" t="s">
        <v>1991</v>
      </c>
      <c r="AA381" t="s">
        <v>1991</v>
      </c>
      <c r="AE381" t="s">
        <v>40</v>
      </c>
      <c r="AF381" t="s">
        <v>2016</v>
      </c>
      <c r="AG381" t="s">
        <v>1991</v>
      </c>
      <c r="AH381">
        <v>30</v>
      </c>
      <c r="AI381">
        <v>30</v>
      </c>
      <c r="AJ381" t="s">
        <v>41</v>
      </c>
      <c r="AK381">
        <v>1367</v>
      </c>
      <c r="AM381" t="s">
        <v>2298</v>
      </c>
      <c r="AN381" t="s">
        <v>42</v>
      </c>
      <c r="AO381" t="s">
        <v>1053</v>
      </c>
      <c r="AS381" t="s">
        <v>632</v>
      </c>
      <c r="AT381" t="s">
        <v>633</v>
      </c>
      <c r="BF381" t="s">
        <v>1053</v>
      </c>
      <c r="BG381" t="s">
        <v>1473</v>
      </c>
      <c r="BH381" t="s">
        <v>43</v>
      </c>
      <c r="BI381" t="s">
        <v>1053</v>
      </c>
      <c r="BK381" t="s">
        <v>1053</v>
      </c>
      <c r="BO381" t="s">
        <v>1053</v>
      </c>
      <c r="BP381" t="s">
        <v>634</v>
      </c>
      <c r="BQ381" t="s">
        <v>635</v>
      </c>
      <c r="BR381" t="s">
        <v>1053</v>
      </c>
      <c r="BT381" t="s">
        <v>1053</v>
      </c>
      <c r="BV381" t="s">
        <v>2324</v>
      </c>
      <c r="BX381" t="str">
        <f>"SMTWTFS 0600-1800"</f>
        <v>SMTWTFS 0600-1800</v>
      </c>
      <c r="BY381" t="str">
        <f>""</f>
        <v/>
      </c>
      <c r="BZ381" t="str">
        <f>""</f>
        <v/>
      </c>
      <c r="CA381" t="str">
        <f>""</f>
        <v/>
      </c>
      <c r="CB381" t="str">
        <f>""</f>
        <v/>
      </c>
      <c r="CC381" t="str">
        <f>""</f>
        <v/>
      </c>
      <c r="CD381" t="str">
        <f>""</f>
        <v/>
      </c>
      <c r="CE381" t="str">
        <f>""</f>
        <v/>
      </c>
      <c r="CF381" t="str">
        <f>""</f>
        <v/>
      </c>
      <c r="CG381" t="str">
        <f>""</f>
        <v/>
      </c>
      <c r="CH381" t="str">
        <f>""</f>
        <v/>
      </c>
    </row>
    <row r="382" spans="1:86" x14ac:dyDescent="0.25">
      <c r="A382" t="s">
        <v>44</v>
      </c>
      <c r="B382" t="s">
        <v>45</v>
      </c>
      <c r="C382" t="s">
        <v>1992</v>
      </c>
      <c r="D382" t="s">
        <v>1993</v>
      </c>
      <c r="E382" t="s">
        <v>46</v>
      </c>
      <c r="F382" t="s">
        <v>47</v>
      </c>
      <c r="H382" t="s">
        <v>48</v>
      </c>
      <c r="I382" t="s">
        <v>2061</v>
      </c>
      <c r="J382" t="str">
        <f>"95529"</f>
        <v>95529</v>
      </c>
      <c r="K382" t="s">
        <v>1998</v>
      </c>
      <c r="L382" t="s">
        <v>2062</v>
      </c>
      <c r="M382" t="s">
        <v>2000</v>
      </c>
      <c r="N382" t="s">
        <v>1992</v>
      </c>
      <c r="O382" t="s">
        <v>1992</v>
      </c>
      <c r="P382" t="s">
        <v>1992</v>
      </c>
      <c r="Q382" t="s">
        <v>1992</v>
      </c>
      <c r="R382" t="s">
        <v>1992</v>
      </c>
      <c r="S382" t="s">
        <v>1992</v>
      </c>
      <c r="T382" t="s">
        <v>1992</v>
      </c>
      <c r="U382" t="s">
        <v>1992</v>
      </c>
      <c r="V382" t="s">
        <v>1991</v>
      </c>
      <c r="W382" t="s">
        <v>1992</v>
      </c>
      <c r="X382" t="s">
        <v>1992</v>
      </c>
      <c r="Y382" t="s">
        <v>1992</v>
      </c>
      <c r="Z382" t="s">
        <v>1991</v>
      </c>
      <c r="AF382" t="s">
        <v>2064</v>
      </c>
      <c r="AG382" t="s">
        <v>1991</v>
      </c>
      <c r="AH382">
        <v>15</v>
      </c>
      <c r="AI382">
        <v>15</v>
      </c>
      <c r="AJ382" t="s">
        <v>49</v>
      </c>
      <c r="AK382">
        <v>7547</v>
      </c>
      <c r="AM382" t="s">
        <v>50</v>
      </c>
      <c r="AN382" t="s">
        <v>51</v>
      </c>
      <c r="AO382" t="s">
        <v>2063</v>
      </c>
      <c r="BF382" t="s">
        <v>1053</v>
      </c>
      <c r="BG382" t="s">
        <v>309</v>
      </c>
      <c r="BH382" t="s">
        <v>2301</v>
      </c>
      <c r="BI382" t="s">
        <v>1053</v>
      </c>
      <c r="BK382" t="s">
        <v>1053</v>
      </c>
      <c r="BO382" t="s">
        <v>1053</v>
      </c>
      <c r="BP382" t="s">
        <v>2067</v>
      </c>
      <c r="BQ382" t="s">
        <v>3602</v>
      </c>
      <c r="BR382" t="s">
        <v>1053</v>
      </c>
      <c r="BT382" t="s">
        <v>1053</v>
      </c>
      <c r="BV382" t="s">
        <v>2070</v>
      </c>
      <c r="BX382" t="str">
        <f>""</f>
        <v/>
      </c>
      <c r="BY382" t="str">
        <f>""</f>
        <v/>
      </c>
      <c r="BZ382" t="str">
        <f>""</f>
        <v/>
      </c>
      <c r="CA382" t="str">
        <f>""</f>
        <v/>
      </c>
      <c r="CB382" t="str">
        <f>""</f>
        <v/>
      </c>
      <c r="CC382" t="str">
        <f>""</f>
        <v/>
      </c>
      <c r="CD382" t="str">
        <f>""</f>
        <v/>
      </c>
      <c r="CE382" t="str">
        <f>""</f>
        <v/>
      </c>
      <c r="CF382" t="str">
        <f>""</f>
        <v/>
      </c>
      <c r="CG382" t="str">
        <f>""</f>
        <v/>
      </c>
      <c r="CH382" t="str">
        <f>""</f>
        <v/>
      </c>
    </row>
    <row r="383" spans="1:86" x14ac:dyDescent="0.25">
      <c r="A383" t="s">
        <v>52</v>
      </c>
      <c r="B383" t="s">
        <v>53</v>
      </c>
      <c r="C383" t="s">
        <v>1991</v>
      </c>
      <c r="D383" t="s">
        <v>2010</v>
      </c>
      <c r="E383" t="s">
        <v>54</v>
      </c>
      <c r="F383" t="s">
        <v>1095</v>
      </c>
      <c r="H383" t="s">
        <v>55</v>
      </c>
      <c r="I383" t="s">
        <v>2367</v>
      </c>
      <c r="J383" t="str">
        <f>"60431"</f>
        <v>60431</v>
      </c>
      <c r="K383" t="s">
        <v>1998</v>
      </c>
      <c r="L383" t="s">
        <v>1999</v>
      </c>
      <c r="M383" t="s">
        <v>56</v>
      </c>
      <c r="N383" t="s">
        <v>1991</v>
      </c>
      <c r="O383" t="s">
        <v>1992</v>
      </c>
      <c r="P383" t="s">
        <v>1992</v>
      </c>
      <c r="Q383" t="s">
        <v>1992</v>
      </c>
      <c r="R383" t="s">
        <v>1992</v>
      </c>
      <c r="S383" t="s">
        <v>1992</v>
      </c>
      <c r="T383" t="s">
        <v>1992</v>
      </c>
      <c r="U383" t="s">
        <v>1991</v>
      </c>
      <c r="V383" t="s">
        <v>1991</v>
      </c>
      <c r="W383" t="s">
        <v>1991</v>
      </c>
      <c r="X383" t="s">
        <v>1991</v>
      </c>
      <c r="Y383" t="s">
        <v>1992</v>
      </c>
      <c r="Z383" t="s">
        <v>1992</v>
      </c>
      <c r="AE383" t="s">
        <v>296</v>
      </c>
      <c r="AF383" t="s">
        <v>2001</v>
      </c>
      <c r="AG383" t="s">
        <v>1991</v>
      </c>
      <c r="AH383">
        <v>60</v>
      </c>
      <c r="AI383">
        <v>30</v>
      </c>
      <c r="AJ383" t="s">
        <v>57</v>
      </c>
      <c r="AK383">
        <v>540</v>
      </c>
      <c r="AL383">
        <v>142702</v>
      </c>
      <c r="AN383" t="s">
        <v>1053</v>
      </c>
      <c r="AO383" t="s">
        <v>1053</v>
      </c>
      <c r="AP383" t="s">
        <v>2069</v>
      </c>
      <c r="AQ383" t="s">
        <v>1053</v>
      </c>
      <c r="AR383" t="s">
        <v>2069</v>
      </c>
      <c r="AS383" t="s">
        <v>52</v>
      </c>
      <c r="AT383" t="s">
        <v>58</v>
      </c>
      <c r="AU383" t="s">
        <v>1053</v>
      </c>
      <c r="AV383" t="s">
        <v>1053</v>
      </c>
      <c r="AW383" t="s">
        <v>2069</v>
      </c>
      <c r="AX383" t="s">
        <v>1053</v>
      </c>
      <c r="AY383" t="s">
        <v>2069</v>
      </c>
      <c r="AZ383" t="s">
        <v>52</v>
      </c>
      <c r="BA383" t="s">
        <v>58</v>
      </c>
      <c r="BB383" t="s">
        <v>1053</v>
      </c>
      <c r="BC383" t="s">
        <v>2069</v>
      </c>
      <c r="BD383" t="s">
        <v>1053</v>
      </c>
      <c r="BE383" t="s">
        <v>2069</v>
      </c>
      <c r="BF383" t="s">
        <v>1053</v>
      </c>
      <c r="BG383" t="s">
        <v>1172</v>
      </c>
      <c r="BH383" t="s">
        <v>798</v>
      </c>
      <c r="BI383" t="s">
        <v>1053</v>
      </c>
      <c r="BK383" t="s">
        <v>1053</v>
      </c>
      <c r="BL383" t="s">
        <v>1053</v>
      </c>
      <c r="BO383" t="s">
        <v>1053</v>
      </c>
      <c r="BP383" t="s">
        <v>1173</v>
      </c>
      <c r="BQ383" t="s">
        <v>2376</v>
      </c>
      <c r="BR383" t="s">
        <v>1053</v>
      </c>
      <c r="BX383" t="str">
        <f>"S-----S 0730-2100; -MTWTF- 0530-2100"</f>
        <v>S-----S 0730-2100; -MTWTF- 0530-2100</v>
      </c>
      <c r="BY383" t="str">
        <f>""</f>
        <v/>
      </c>
      <c r="BZ383" t="str">
        <f>"SMTWTFS 0730-1500"</f>
        <v>SMTWTFS 0730-1500</v>
      </c>
      <c r="CA383" t="str">
        <f>"SMTWTFS 0730-1500"</f>
        <v>SMTWTFS 0730-1500</v>
      </c>
      <c r="CB383" t="str">
        <f>""</f>
        <v/>
      </c>
      <c r="CC383" t="str">
        <f>""</f>
        <v/>
      </c>
      <c r="CD383" t="str">
        <f>""</f>
        <v/>
      </c>
      <c r="CE383" t="str">
        <f>""</f>
        <v/>
      </c>
      <c r="CF383" t="str">
        <f>""</f>
        <v/>
      </c>
      <c r="CG383" t="str">
        <f>""</f>
        <v/>
      </c>
      <c r="CH383" t="str">
        <f>""</f>
        <v/>
      </c>
    </row>
    <row r="384" spans="1:86" x14ac:dyDescent="0.25">
      <c r="A384" t="s">
        <v>59</v>
      </c>
      <c r="B384" t="s">
        <v>60</v>
      </c>
      <c r="C384" t="s">
        <v>1992</v>
      </c>
      <c r="D384" t="s">
        <v>2331</v>
      </c>
      <c r="E384" t="s">
        <v>61</v>
      </c>
      <c r="H384" t="s">
        <v>62</v>
      </c>
      <c r="I384" t="s">
        <v>407</v>
      </c>
      <c r="J384" t="str">
        <f>"31545-1300"</f>
        <v>31545-1300</v>
      </c>
      <c r="K384" t="s">
        <v>1998</v>
      </c>
      <c r="L384" t="s">
        <v>408</v>
      </c>
      <c r="M384" t="s">
        <v>2063</v>
      </c>
      <c r="N384" t="s">
        <v>1992</v>
      </c>
      <c r="O384" t="s">
        <v>1992</v>
      </c>
      <c r="P384" t="s">
        <v>1992</v>
      </c>
      <c r="Q384" t="s">
        <v>1992</v>
      </c>
      <c r="R384" t="s">
        <v>1992</v>
      </c>
      <c r="S384" t="s">
        <v>1992</v>
      </c>
      <c r="T384" t="s">
        <v>1992</v>
      </c>
      <c r="U384" t="s">
        <v>1992</v>
      </c>
      <c r="V384" t="s">
        <v>1991</v>
      </c>
      <c r="W384" t="s">
        <v>1991</v>
      </c>
      <c r="X384" t="s">
        <v>1992</v>
      </c>
      <c r="Y384" t="s">
        <v>1992</v>
      </c>
      <c r="Z384" t="s">
        <v>1992</v>
      </c>
      <c r="AE384" t="s">
        <v>2353</v>
      </c>
      <c r="AF384" t="s">
        <v>2016</v>
      </c>
      <c r="AG384" t="s">
        <v>1991</v>
      </c>
      <c r="AH384">
        <v>30</v>
      </c>
      <c r="AI384">
        <v>30</v>
      </c>
      <c r="AJ384" t="s">
        <v>63</v>
      </c>
      <c r="AK384">
        <v>98</v>
      </c>
      <c r="AL384">
        <v>12000</v>
      </c>
      <c r="AN384" t="s">
        <v>2066</v>
      </c>
      <c r="AO384" t="s">
        <v>2063</v>
      </c>
      <c r="BF384" t="s">
        <v>1053</v>
      </c>
      <c r="BG384" t="s">
        <v>2097</v>
      </c>
      <c r="BH384" t="s">
        <v>1139</v>
      </c>
      <c r="BI384" t="s">
        <v>1053</v>
      </c>
      <c r="BJ384" t="s">
        <v>1053</v>
      </c>
      <c r="BK384" t="s">
        <v>1053</v>
      </c>
      <c r="BL384" t="s">
        <v>1053</v>
      </c>
      <c r="BM384" t="s">
        <v>1049</v>
      </c>
      <c r="BN384" t="s">
        <v>1050</v>
      </c>
      <c r="BO384" t="s">
        <v>1053</v>
      </c>
      <c r="BP384" t="s">
        <v>653</v>
      </c>
      <c r="BQ384" t="s">
        <v>564</v>
      </c>
      <c r="BR384" t="s">
        <v>1053</v>
      </c>
      <c r="BS384" t="s">
        <v>1053</v>
      </c>
      <c r="BT384" t="s">
        <v>1053</v>
      </c>
      <c r="BU384" t="s">
        <v>1053</v>
      </c>
      <c r="BV384" t="s">
        <v>1052</v>
      </c>
      <c r="BX384" t="str">
        <f>""</f>
        <v/>
      </c>
      <c r="BY384" t="str">
        <f>""</f>
        <v/>
      </c>
      <c r="BZ384" t="str">
        <f>""</f>
        <v/>
      </c>
      <c r="CA384" t="str">
        <f>""</f>
        <v/>
      </c>
      <c r="CB384" t="str">
        <f>""</f>
        <v/>
      </c>
      <c r="CC384" t="str">
        <f>""</f>
        <v/>
      </c>
      <c r="CD384" t="str">
        <f>""</f>
        <v/>
      </c>
      <c r="CE384" t="str">
        <f>""</f>
        <v/>
      </c>
      <c r="CF384" t="str">
        <f>""</f>
        <v/>
      </c>
      <c r="CG384" t="str">
        <f>""</f>
        <v/>
      </c>
      <c r="CH384" t="str">
        <f>"SMTWTFS 0001-2359"</f>
        <v>SMTWTFS 0001-2359</v>
      </c>
    </row>
    <row r="385" spans="1:86" x14ac:dyDescent="0.25">
      <c r="A385" t="s">
        <v>64</v>
      </c>
      <c r="B385" t="s">
        <v>65</v>
      </c>
      <c r="C385" t="s">
        <v>1991</v>
      </c>
      <c r="D385" t="s">
        <v>2010</v>
      </c>
      <c r="E385" t="s">
        <v>66</v>
      </c>
      <c r="H385" t="s">
        <v>67</v>
      </c>
      <c r="I385" t="s">
        <v>2388</v>
      </c>
      <c r="J385" t="str">
        <f>"15901"</f>
        <v>15901</v>
      </c>
      <c r="K385" t="s">
        <v>1998</v>
      </c>
      <c r="L385" t="s">
        <v>2015</v>
      </c>
      <c r="M385" t="s">
        <v>68</v>
      </c>
      <c r="N385" t="s">
        <v>1991</v>
      </c>
      <c r="O385" t="s">
        <v>1992</v>
      </c>
      <c r="P385" t="s">
        <v>1992</v>
      </c>
      <c r="Q385" t="s">
        <v>1992</v>
      </c>
      <c r="R385" t="s">
        <v>1992</v>
      </c>
      <c r="S385" t="s">
        <v>1992</v>
      </c>
      <c r="T385" t="s">
        <v>1992</v>
      </c>
      <c r="U385" t="s">
        <v>1991</v>
      </c>
      <c r="V385" t="s">
        <v>1991</v>
      </c>
      <c r="W385" t="s">
        <v>1991</v>
      </c>
      <c r="X385" t="s">
        <v>1992</v>
      </c>
      <c r="Y385" t="s">
        <v>1992</v>
      </c>
      <c r="Z385" t="s">
        <v>1992</v>
      </c>
      <c r="AA385" t="s">
        <v>1992</v>
      </c>
      <c r="AE385" t="s">
        <v>2047</v>
      </c>
      <c r="AF385" t="s">
        <v>2016</v>
      </c>
      <c r="AG385" t="s">
        <v>1991</v>
      </c>
      <c r="AH385">
        <v>30</v>
      </c>
      <c r="AI385">
        <v>30</v>
      </c>
      <c r="AJ385" t="s">
        <v>69</v>
      </c>
      <c r="AK385">
        <v>1174</v>
      </c>
      <c r="AL385">
        <v>42000</v>
      </c>
      <c r="AM385" t="s">
        <v>70</v>
      </c>
      <c r="AN385" t="s">
        <v>1053</v>
      </c>
      <c r="AO385" t="s">
        <v>1053</v>
      </c>
      <c r="AP385" t="s">
        <v>2069</v>
      </c>
      <c r="AQ385" t="s">
        <v>1053</v>
      </c>
      <c r="AR385" t="s">
        <v>2069</v>
      </c>
      <c r="AS385" t="s">
        <v>64</v>
      </c>
      <c r="AT385" t="s">
        <v>71</v>
      </c>
      <c r="AU385" t="s">
        <v>1053</v>
      </c>
      <c r="AV385" t="s">
        <v>1053</v>
      </c>
      <c r="AW385" t="s">
        <v>2069</v>
      </c>
      <c r="AX385" t="s">
        <v>1053</v>
      </c>
      <c r="AY385" t="s">
        <v>2069</v>
      </c>
      <c r="AZ385" t="s">
        <v>64</v>
      </c>
      <c r="BA385" t="s">
        <v>71</v>
      </c>
      <c r="BB385" t="s">
        <v>1053</v>
      </c>
      <c r="BC385" t="s">
        <v>2069</v>
      </c>
      <c r="BD385" t="s">
        <v>1053</v>
      </c>
      <c r="BE385" t="s">
        <v>2069</v>
      </c>
      <c r="BF385" t="s">
        <v>1053</v>
      </c>
      <c r="BG385" t="s">
        <v>2393</v>
      </c>
      <c r="BH385" t="s">
        <v>2394</v>
      </c>
      <c r="BI385" t="s">
        <v>1053</v>
      </c>
      <c r="BJ385" t="s">
        <v>1053</v>
      </c>
      <c r="BK385" t="s">
        <v>1053</v>
      </c>
      <c r="BL385" t="s">
        <v>1053</v>
      </c>
      <c r="BM385" t="s">
        <v>2395</v>
      </c>
      <c r="BN385" t="s">
        <v>2396</v>
      </c>
      <c r="BO385" t="s">
        <v>1053</v>
      </c>
      <c r="BP385" t="s">
        <v>2397</v>
      </c>
      <c r="BQ385" t="s">
        <v>2398</v>
      </c>
      <c r="BR385" t="s">
        <v>1053</v>
      </c>
      <c r="BS385" t="s">
        <v>1053</v>
      </c>
      <c r="BT385" t="s">
        <v>1053</v>
      </c>
      <c r="BU385" t="s">
        <v>1053</v>
      </c>
      <c r="BV385" t="s">
        <v>2399</v>
      </c>
      <c r="BW385" t="s">
        <v>2400</v>
      </c>
      <c r="BX385" t="str">
        <f>"SMTWTFS 0815-1815"</f>
        <v>SMTWTFS 0815-1815</v>
      </c>
      <c r="BY385" t="str">
        <f>""</f>
        <v/>
      </c>
      <c r="BZ385" t="str">
        <f>"SMTWTFS 0815-1815"</f>
        <v>SMTWTFS 0815-1815</v>
      </c>
      <c r="CA385" t="str">
        <f>"SMTWTFS 0815-1300 1400-1801"</f>
        <v>SMTWTFS 0815-1300 1400-1801</v>
      </c>
      <c r="CB385" t="str">
        <f>""</f>
        <v/>
      </c>
      <c r="CC385" t="str">
        <f>""</f>
        <v/>
      </c>
      <c r="CD385" t="str">
        <f>""</f>
        <v/>
      </c>
      <c r="CE385" t="str">
        <f>""</f>
        <v/>
      </c>
      <c r="CF385" t="str">
        <f>""</f>
        <v/>
      </c>
      <c r="CG385" t="str">
        <f>""</f>
        <v/>
      </c>
      <c r="CH385" t="str">
        <f>""</f>
        <v/>
      </c>
    </row>
    <row r="386" spans="1:86" x14ac:dyDescent="0.25">
      <c r="A386" t="s">
        <v>72</v>
      </c>
      <c r="B386" t="s">
        <v>73</v>
      </c>
      <c r="C386" t="s">
        <v>1992</v>
      </c>
      <c r="D386" t="s">
        <v>2010</v>
      </c>
      <c r="E386" t="s">
        <v>74</v>
      </c>
      <c r="F386" t="s">
        <v>75</v>
      </c>
      <c r="H386" t="s">
        <v>76</v>
      </c>
      <c r="I386" t="s">
        <v>1997</v>
      </c>
      <c r="J386" t="str">
        <f>"53545-0373"</f>
        <v>53545-0373</v>
      </c>
      <c r="K386" t="s">
        <v>1998</v>
      </c>
      <c r="L386" t="s">
        <v>1999</v>
      </c>
      <c r="M386" t="s">
        <v>77</v>
      </c>
      <c r="N386" t="s">
        <v>1992</v>
      </c>
      <c r="O386" t="s">
        <v>1992</v>
      </c>
      <c r="P386" t="s">
        <v>1992</v>
      </c>
      <c r="Q386" t="s">
        <v>1992</v>
      </c>
      <c r="R386" t="s">
        <v>1992</v>
      </c>
      <c r="S386" t="s">
        <v>1992</v>
      </c>
      <c r="T386" t="s">
        <v>1992</v>
      </c>
      <c r="U386" t="s">
        <v>1992</v>
      </c>
      <c r="V386" t="s">
        <v>1991</v>
      </c>
      <c r="W386" t="s">
        <v>1992</v>
      </c>
      <c r="X386" t="s">
        <v>1992</v>
      </c>
      <c r="Y386" t="s">
        <v>1991</v>
      </c>
      <c r="Z386" t="s">
        <v>1991</v>
      </c>
      <c r="AF386" t="s">
        <v>2001</v>
      </c>
      <c r="AG386" t="s">
        <v>1991</v>
      </c>
      <c r="AH386">
        <v>30</v>
      </c>
      <c r="AI386">
        <v>30</v>
      </c>
      <c r="AJ386" t="s">
        <v>78</v>
      </c>
      <c r="AK386">
        <v>890</v>
      </c>
      <c r="BX386" t="str">
        <f>""</f>
        <v/>
      </c>
      <c r="BY386" t="str">
        <f>""</f>
        <v/>
      </c>
      <c r="BZ386" t="str">
        <f>""</f>
        <v/>
      </c>
      <c r="CA386" t="str">
        <f>""</f>
        <v/>
      </c>
      <c r="CB386" t="str">
        <f>""</f>
        <v/>
      </c>
      <c r="CC386" t="str">
        <f>""</f>
        <v/>
      </c>
      <c r="CD386" t="str">
        <f>""</f>
        <v/>
      </c>
      <c r="CE386" t="str">
        <f>""</f>
        <v/>
      </c>
      <c r="CF386" t="str">
        <f>""</f>
        <v/>
      </c>
      <c r="CG386" t="str">
        <f>""</f>
        <v/>
      </c>
      <c r="CH386" t="str">
        <f>""</f>
        <v/>
      </c>
    </row>
    <row r="387" spans="1:86" x14ac:dyDescent="0.25">
      <c r="A387" t="s">
        <v>79</v>
      </c>
      <c r="B387" t="s">
        <v>80</v>
      </c>
      <c r="C387" t="s">
        <v>1991</v>
      </c>
      <c r="D387" t="s">
        <v>2010</v>
      </c>
      <c r="E387" t="s">
        <v>81</v>
      </c>
      <c r="H387" t="s">
        <v>13</v>
      </c>
      <c r="I387" t="s">
        <v>2352</v>
      </c>
      <c r="J387" t="str">
        <f>"49201"</f>
        <v>49201</v>
      </c>
      <c r="K387" t="s">
        <v>1998</v>
      </c>
      <c r="L387" t="s">
        <v>1999</v>
      </c>
      <c r="M387" t="s">
        <v>82</v>
      </c>
      <c r="N387" t="s">
        <v>1991</v>
      </c>
      <c r="O387" t="s">
        <v>1992</v>
      </c>
      <c r="P387" t="s">
        <v>1992</v>
      </c>
      <c r="Q387" t="s">
        <v>1992</v>
      </c>
      <c r="R387" t="s">
        <v>1992</v>
      </c>
      <c r="S387" t="s">
        <v>1992</v>
      </c>
      <c r="T387" t="s">
        <v>1992</v>
      </c>
      <c r="U387" t="s">
        <v>1991</v>
      </c>
      <c r="V387" t="s">
        <v>1991</v>
      </c>
      <c r="W387" t="s">
        <v>1991</v>
      </c>
      <c r="X387" t="s">
        <v>1992</v>
      </c>
      <c r="Y387" t="s">
        <v>1992</v>
      </c>
      <c r="Z387" t="s">
        <v>1992</v>
      </c>
      <c r="AA387" t="s">
        <v>1992</v>
      </c>
      <c r="AE387" t="s">
        <v>296</v>
      </c>
      <c r="AF387" t="s">
        <v>2016</v>
      </c>
      <c r="AG387" t="s">
        <v>1991</v>
      </c>
      <c r="AH387">
        <v>45</v>
      </c>
      <c r="AI387">
        <v>30</v>
      </c>
      <c r="AJ387" t="s">
        <v>83</v>
      </c>
      <c r="AK387">
        <v>931</v>
      </c>
      <c r="AL387">
        <v>39569</v>
      </c>
      <c r="AM387" t="s">
        <v>84</v>
      </c>
      <c r="AO387" t="s">
        <v>1053</v>
      </c>
      <c r="AP387" t="s">
        <v>2069</v>
      </c>
      <c r="AQ387" t="s">
        <v>1053</v>
      </c>
      <c r="AR387" t="s">
        <v>2069</v>
      </c>
      <c r="AS387" t="s">
        <v>79</v>
      </c>
      <c r="AT387" t="s">
        <v>85</v>
      </c>
      <c r="AU387" t="s">
        <v>1053</v>
      </c>
      <c r="AV387" t="s">
        <v>1053</v>
      </c>
      <c r="AW387" t="s">
        <v>2069</v>
      </c>
      <c r="AX387" t="s">
        <v>1053</v>
      </c>
      <c r="AY387" t="s">
        <v>2069</v>
      </c>
      <c r="AZ387" t="s">
        <v>79</v>
      </c>
      <c r="BA387" t="s">
        <v>85</v>
      </c>
      <c r="BB387" t="s">
        <v>1053</v>
      </c>
      <c r="BC387" t="s">
        <v>2069</v>
      </c>
      <c r="BD387" t="s">
        <v>1053</v>
      </c>
      <c r="BE387" t="s">
        <v>2069</v>
      </c>
      <c r="BF387" t="s">
        <v>1053</v>
      </c>
      <c r="BG387" t="s">
        <v>300</v>
      </c>
      <c r="BH387" t="s">
        <v>2312</v>
      </c>
      <c r="BI387" t="s">
        <v>1053</v>
      </c>
      <c r="BJ387" t="s">
        <v>2069</v>
      </c>
      <c r="BK387" t="s">
        <v>1053</v>
      </c>
      <c r="BL387" t="s">
        <v>2069</v>
      </c>
      <c r="BM387" t="s">
        <v>2313</v>
      </c>
      <c r="BN387" t="s">
        <v>2314</v>
      </c>
      <c r="BO387" t="s">
        <v>1053</v>
      </c>
      <c r="BP387" t="s">
        <v>301</v>
      </c>
      <c r="BQ387" t="s">
        <v>2316</v>
      </c>
      <c r="BR387" t="s">
        <v>1053</v>
      </c>
      <c r="BT387" t="s">
        <v>1053</v>
      </c>
      <c r="BX387" t="str">
        <f>"SMTWTFS 0730-1500"</f>
        <v>SMTWTFS 0730-1500</v>
      </c>
      <c r="BY387" t="str">
        <f>""</f>
        <v/>
      </c>
      <c r="BZ387" t="str">
        <f>"SMTWTFS 0730-1500"</f>
        <v>SMTWTFS 0730-1500</v>
      </c>
      <c r="CA387" t="str">
        <f>"SMTWTFS 0730-1500"</f>
        <v>SMTWTFS 0730-1500</v>
      </c>
      <c r="CB387" t="str">
        <f>""</f>
        <v/>
      </c>
      <c r="CC387" t="str">
        <f>""</f>
        <v/>
      </c>
      <c r="CD387" t="str">
        <f>""</f>
        <v/>
      </c>
      <c r="CE387" t="str">
        <f>""</f>
        <v/>
      </c>
      <c r="CF387" t="str">
        <f>""</f>
        <v/>
      </c>
      <c r="CG387" t="str">
        <f>""</f>
        <v/>
      </c>
      <c r="CH387" t="str">
        <f>""</f>
        <v/>
      </c>
    </row>
    <row r="388" spans="1:86" x14ac:dyDescent="0.25">
      <c r="A388" t="s">
        <v>86</v>
      </c>
      <c r="B388" t="s">
        <v>87</v>
      </c>
      <c r="C388" t="s">
        <v>1991</v>
      </c>
      <c r="D388" t="s">
        <v>2010</v>
      </c>
      <c r="E388" t="s">
        <v>88</v>
      </c>
      <c r="H388" t="s">
        <v>89</v>
      </c>
      <c r="I388" t="s">
        <v>2352</v>
      </c>
      <c r="J388" t="str">
        <f>"49007-3669"</f>
        <v>49007-3669</v>
      </c>
      <c r="K388" t="s">
        <v>1998</v>
      </c>
      <c r="L388" t="s">
        <v>1999</v>
      </c>
      <c r="M388" t="s">
        <v>90</v>
      </c>
      <c r="N388" t="s">
        <v>1991</v>
      </c>
      <c r="O388" t="s">
        <v>1991</v>
      </c>
      <c r="P388" t="s">
        <v>1992</v>
      </c>
      <c r="Q388" t="s">
        <v>1992</v>
      </c>
      <c r="R388" t="s">
        <v>1992</v>
      </c>
      <c r="S388" t="s">
        <v>1992</v>
      </c>
      <c r="T388" t="s">
        <v>1992</v>
      </c>
      <c r="U388" t="s">
        <v>1991</v>
      </c>
      <c r="V388" t="s">
        <v>1991</v>
      </c>
      <c r="W388" t="s">
        <v>1991</v>
      </c>
      <c r="X388" t="s">
        <v>1992</v>
      </c>
      <c r="Y388" t="s">
        <v>1992</v>
      </c>
      <c r="Z388" t="s">
        <v>1991</v>
      </c>
      <c r="AA388" t="s">
        <v>1991</v>
      </c>
      <c r="AE388" t="s">
        <v>2047</v>
      </c>
      <c r="AF388" t="s">
        <v>2016</v>
      </c>
      <c r="AG388" t="s">
        <v>1991</v>
      </c>
      <c r="AH388">
        <v>45</v>
      </c>
      <c r="AI388">
        <v>30</v>
      </c>
      <c r="AJ388" t="s">
        <v>91</v>
      </c>
      <c r="AK388">
        <v>778</v>
      </c>
      <c r="AL388">
        <v>218241</v>
      </c>
      <c r="AM388" t="s">
        <v>92</v>
      </c>
      <c r="AN388" t="s">
        <v>1053</v>
      </c>
      <c r="AO388" t="s">
        <v>1053</v>
      </c>
      <c r="AP388" t="s">
        <v>2069</v>
      </c>
      <c r="AQ388" t="s">
        <v>1053</v>
      </c>
      <c r="AR388" t="s">
        <v>2069</v>
      </c>
      <c r="AS388" t="s">
        <v>86</v>
      </c>
      <c r="AT388" t="s">
        <v>93</v>
      </c>
      <c r="AU388" t="s">
        <v>1053</v>
      </c>
      <c r="AV388" t="s">
        <v>1053</v>
      </c>
      <c r="AW388" t="s">
        <v>2069</v>
      </c>
      <c r="AX388" t="s">
        <v>1053</v>
      </c>
      <c r="AY388" t="s">
        <v>2069</v>
      </c>
      <c r="AZ388" t="s">
        <v>86</v>
      </c>
      <c r="BA388" t="s">
        <v>93</v>
      </c>
      <c r="BB388" t="s">
        <v>1053</v>
      </c>
      <c r="BC388" t="s">
        <v>2069</v>
      </c>
      <c r="BD388" t="s">
        <v>1053</v>
      </c>
      <c r="BE388" t="s">
        <v>2069</v>
      </c>
      <c r="BF388" t="s">
        <v>1053</v>
      </c>
      <c r="BG388" t="s">
        <v>467</v>
      </c>
      <c r="BH388" t="s">
        <v>2312</v>
      </c>
      <c r="BI388" t="s">
        <v>1053</v>
      </c>
      <c r="BJ388" t="s">
        <v>2069</v>
      </c>
      <c r="BK388" t="s">
        <v>1053</v>
      </c>
      <c r="BL388" t="s">
        <v>2069</v>
      </c>
      <c r="BM388" t="s">
        <v>2313</v>
      </c>
      <c r="BN388" t="s">
        <v>2314</v>
      </c>
      <c r="BO388" t="s">
        <v>1053</v>
      </c>
      <c r="BP388" t="s">
        <v>301</v>
      </c>
      <c r="BQ388" t="s">
        <v>2316</v>
      </c>
      <c r="BR388" t="s">
        <v>1053</v>
      </c>
      <c r="BT388" t="s">
        <v>1053</v>
      </c>
      <c r="BX388" t="str">
        <f>"SMTWTFS 0830-2200"</f>
        <v>SMTWTFS 0830-2200</v>
      </c>
      <c r="BY388" t="str">
        <f>""</f>
        <v/>
      </c>
      <c r="BZ388" t="str">
        <f>"SMTWTFS 0830-2130"</f>
        <v>SMTWTFS 0830-2130</v>
      </c>
      <c r="CA388" t="str">
        <f>"SMTWTFS 0830-2130"</f>
        <v>SMTWTFS 0830-2130</v>
      </c>
      <c r="CB388" t="str">
        <f>""</f>
        <v/>
      </c>
      <c r="CC388" t="str">
        <f>"SMTWTFS 0830-2200"</f>
        <v>SMTWTFS 0830-2200</v>
      </c>
      <c r="CD388" t="str">
        <f>""</f>
        <v/>
      </c>
      <c r="CE388" t="str">
        <f>""</f>
        <v/>
      </c>
      <c r="CF388" t="str">
        <f>""</f>
        <v/>
      </c>
      <c r="CG388" t="str">
        <f>""</f>
        <v/>
      </c>
      <c r="CH388" t="str">
        <f>""</f>
        <v/>
      </c>
    </row>
    <row r="389" spans="1:86" x14ac:dyDescent="0.25">
      <c r="A389" t="s">
        <v>94</v>
      </c>
      <c r="B389" t="s">
        <v>95</v>
      </c>
      <c r="C389" t="s">
        <v>1992</v>
      </c>
      <c r="D389" t="s">
        <v>2010</v>
      </c>
      <c r="E389" t="s">
        <v>96</v>
      </c>
      <c r="H389" t="s">
        <v>97</v>
      </c>
      <c r="I389" t="s">
        <v>700</v>
      </c>
      <c r="J389" t="str">
        <f>"28081"</f>
        <v>28081</v>
      </c>
      <c r="K389" t="s">
        <v>1998</v>
      </c>
      <c r="L389" t="s">
        <v>408</v>
      </c>
      <c r="M389" t="s">
        <v>2000</v>
      </c>
      <c r="N389" t="s">
        <v>1992</v>
      </c>
      <c r="O389" t="s">
        <v>1991</v>
      </c>
      <c r="P389" t="s">
        <v>1992</v>
      </c>
      <c r="Q389" t="s">
        <v>1992</v>
      </c>
      <c r="R389" t="s">
        <v>1992</v>
      </c>
      <c r="S389" t="s">
        <v>1992</v>
      </c>
      <c r="T389" t="s">
        <v>1992</v>
      </c>
      <c r="U389" t="s">
        <v>1992</v>
      </c>
      <c r="V389" t="s">
        <v>1991</v>
      </c>
      <c r="W389" t="s">
        <v>1991</v>
      </c>
      <c r="X389" t="s">
        <v>1992</v>
      </c>
      <c r="Y389" t="s">
        <v>1992</v>
      </c>
      <c r="Z389" t="s">
        <v>1992</v>
      </c>
      <c r="AF389" t="s">
        <v>2016</v>
      </c>
      <c r="AG389" t="s">
        <v>1991</v>
      </c>
      <c r="AH389">
        <v>30</v>
      </c>
      <c r="AI389">
        <v>30</v>
      </c>
      <c r="AJ389" t="s">
        <v>98</v>
      </c>
      <c r="AK389">
        <v>825</v>
      </c>
      <c r="AL389">
        <v>40223</v>
      </c>
      <c r="AM389" t="s">
        <v>702</v>
      </c>
      <c r="AN389" t="s">
        <v>702</v>
      </c>
      <c r="AU389" t="s">
        <v>702</v>
      </c>
      <c r="AV389" t="s">
        <v>1053</v>
      </c>
      <c r="AX389" t="s">
        <v>1053</v>
      </c>
      <c r="BF389" t="s">
        <v>1053</v>
      </c>
      <c r="BG389" t="s">
        <v>703</v>
      </c>
      <c r="BH389" t="s">
        <v>3569</v>
      </c>
      <c r="BI389" t="s">
        <v>1053</v>
      </c>
      <c r="BJ389" t="s">
        <v>1053</v>
      </c>
      <c r="BK389" t="s">
        <v>1053</v>
      </c>
      <c r="BL389" t="s">
        <v>1053</v>
      </c>
      <c r="BM389" t="s">
        <v>705</v>
      </c>
      <c r="BO389" t="s">
        <v>1053</v>
      </c>
      <c r="BP389" t="s">
        <v>2375</v>
      </c>
      <c r="BQ389" t="s">
        <v>427</v>
      </c>
      <c r="BR389" t="s">
        <v>1053</v>
      </c>
      <c r="BS389" t="s">
        <v>1053</v>
      </c>
      <c r="BT389" t="s">
        <v>1053</v>
      </c>
      <c r="BU389" t="s">
        <v>1053</v>
      </c>
      <c r="BV389" t="s">
        <v>416</v>
      </c>
      <c r="BW389" t="s">
        <v>417</v>
      </c>
      <c r="BX389" t="str">
        <f>"SMTWTFS 0630-1000 1130-1500 1700-2030"</f>
        <v>SMTWTFS 0630-1000 1130-1500 1700-2030</v>
      </c>
      <c r="BY389" t="str">
        <f>""</f>
        <v/>
      </c>
      <c r="BZ389" t="str">
        <f>""</f>
        <v/>
      </c>
      <c r="CA389" t="str">
        <f>""</f>
        <v/>
      </c>
      <c r="CB389" t="str">
        <f>""</f>
        <v/>
      </c>
      <c r="CC389" t="str">
        <f>"SMTWTFS 0700-1000 1200-1500 1700-2030"</f>
        <v>SMTWTFS 0700-1000 1200-1500 1700-2030</v>
      </c>
      <c r="CD389" t="str">
        <f>""</f>
        <v/>
      </c>
      <c r="CE389" t="str">
        <f>""</f>
        <v/>
      </c>
      <c r="CF389" t="str">
        <f>""</f>
        <v/>
      </c>
      <c r="CG389" t="str">
        <f>""</f>
        <v/>
      </c>
      <c r="CH389" t="str">
        <f>""</f>
        <v/>
      </c>
    </row>
    <row r="390" spans="1:86" x14ac:dyDescent="0.25">
      <c r="A390" t="s">
        <v>99</v>
      </c>
      <c r="B390" t="s">
        <v>100</v>
      </c>
      <c r="C390" t="s">
        <v>1991</v>
      </c>
      <c r="D390" t="s">
        <v>2010</v>
      </c>
      <c r="E390" t="s">
        <v>101</v>
      </c>
      <c r="F390" t="s">
        <v>102</v>
      </c>
      <c r="H390" t="s">
        <v>103</v>
      </c>
      <c r="I390" t="s">
        <v>5524</v>
      </c>
      <c r="J390" t="str">
        <f>"64108-2410"</f>
        <v>64108-2410</v>
      </c>
      <c r="K390" t="s">
        <v>1998</v>
      </c>
      <c r="L390" t="s">
        <v>1999</v>
      </c>
      <c r="M390" t="s">
        <v>104</v>
      </c>
      <c r="N390" t="s">
        <v>1991</v>
      </c>
      <c r="O390" t="s">
        <v>1991</v>
      </c>
      <c r="P390" t="s">
        <v>1992</v>
      </c>
      <c r="Q390" t="s">
        <v>1991</v>
      </c>
      <c r="R390" t="s">
        <v>1991</v>
      </c>
      <c r="S390" t="s">
        <v>1992</v>
      </c>
      <c r="T390" t="s">
        <v>1992</v>
      </c>
      <c r="U390" t="s">
        <v>1991</v>
      </c>
      <c r="V390" t="s">
        <v>1991</v>
      </c>
      <c r="W390" t="s">
        <v>1991</v>
      </c>
      <c r="X390" t="s">
        <v>1992</v>
      </c>
      <c r="Y390" t="s">
        <v>1992</v>
      </c>
      <c r="Z390" t="s">
        <v>1992</v>
      </c>
      <c r="AA390" t="s">
        <v>1992</v>
      </c>
      <c r="AE390" t="s">
        <v>2047</v>
      </c>
      <c r="AF390" t="s">
        <v>2001</v>
      </c>
      <c r="AG390" t="s">
        <v>1991</v>
      </c>
      <c r="AH390">
        <v>60</v>
      </c>
      <c r="AI390">
        <v>30</v>
      </c>
      <c r="AJ390" t="s">
        <v>105</v>
      </c>
      <c r="AK390">
        <v>804</v>
      </c>
      <c r="AL390">
        <v>451572</v>
      </c>
      <c r="AM390" t="s">
        <v>1016</v>
      </c>
      <c r="AN390" t="s">
        <v>1053</v>
      </c>
      <c r="AO390" t="s">
        <v>1053</v>
      </c>
      <c r="AP390" t="s">
        <v>2069</v>
      </c>
      <c r="AQ390" t="s">
        <v>1053</v>
      </c>
      <c r="AR390" t="s">
        <v>2069</v>
      </c>
      <c r="AS390" t="s">
        <v>99</v>
      </c>
      <c r="AT390" t="s">
        <v>106</v>
      </c>
      <c r="AU390" t="s">
        <v>1053</v>
      </c>
      <c r="AV390" t="s">
        <v>1053</v>
      </c>
      <c r="AW390" t="s">
        <v>2069</v>
      </c>
      <c r="AX390" t="s">
        <v>1053</v>
      </c>
      <c r="AY390" t="s">
        <v>2069</v>
      </c>
      <c r="AZ390" t="s">
        <v>99</v>
      </c>
      <c r="BA390" t="s">
        <v>106</v>
      </c>
      <c r="BB390" t="s">
        <v>1053</v>
      </c>
      <c r="BC390" t="s">
        <v>2069</v>
      </c>
      <c r="BD390" t="s">
        <v>1053</v>
      </c>
      <c r="BE390" t="s">
        <v>2069</v>
      </c>
      <c r="BF390" t="s">
        <v>1053</v>
      </c>
      <c r="BG390" t="s">
        <v>2371</v>
      </c>
      <c r="BH390" t="s">
        <v>985</v>
      </c>
      <c r="BI390" t="s">
        <v>1053</v>
      </c>
      <c r="BJ390" t="s">
        <v>1053</v>
      </c>
      <c r="BK390" t="s">
        <v>1053</v>
      </c>
      <c r="BL390" t="s">
        <v>1053</v>
      </c>
      <c r="BM390" t="s">
        <v>2373</v>
      </c>
      <c r="BN390" t="s">
        <v>2374</v>
      </c>
      <c r="BO390" t="s">
        <v>1053</v>
      </c>
      <c r="BP390" t="s">
        <v>107</v>
      </c>
      <c r="BQ390" t="s">
        <v>2679</v>
      </c>
      <c r="BR390" t="s">
        <v>1053</v>
      </c>
      <c r="BX390" t="str">
        <f>"SMTWTFS 0630-2300"</f>
        <v>SMTWTFS 0630-2300</v>
      </c>
      <c r="BY390" t="str">
        <f>"SMTWTFS 0630-2200"</f>
        <v>SMTWTFS 0630-2200</v>
      </c>
      <c r="BZ390" t="str">
        <f>"SMTWTFS 0630-2245"</f>
        <v>SMTWTFS 0630-2245</v>
      </c>
      <c r="CA390" t="str">
        <f>"SMTWTFS 0630-2245"</f>
        <v>SMTWTFS 0630-2245</v>
      </c>
      <c r="CB390" t="str">
        <f>""</f>
        <v/>
      </c>
      <c r="CC390" t="str">
        <f>"SMTWTFS 0630-2359"</f>
        <v>SMTWTFS 0630-2359</v>
      </c>
      <c r="CD390" t="str">
        <f>""</f>
        <v/>
      </c>
      <c r="CE390" t="str">
        <f>""</f>
        <v/>
      </c>
      <c r="CF390" t="str">
        <f>"SMTWTFS 0630-2200"</f>
        <v>SMTWTFS 0630-2200</v>
      </c>
      <c r="CG390" t="str">
        <f>""</f>
        <v/>
      </c>
      <c r="CH390" t="str">
        <f>""</f>
        <v/>
      </c>
    </row>
    <row r="391" spans="1:86" x14ac:dyDescent="0.25">
      <c r="A391" t="s">
        <v>108</v>
      </c>
      <c r="B391" t="s">
        <v>109</v>
      </c>
      <c r="C391" t="s">
        <v>1992</v>
      </c>
      <c r="D391" t="s">
        <v>2028</v>
      </c>
      <c r="E391" t="s">
        <v>110</v>
      </c>
      <c r="F391" t="s">
        <v>111</v>
      </c>
      <c r="H391" t="s">
        <v>112</v>
      </c>
      <c r="I391" t="s">
        <v>2367</v>
      </c>
      <c r="J391" t="str">
        <f>"61443"</f>
        <v>61443</v>
      </c>
      <c r="K391" t="s">
        <v>1998</v>
      </c>
      <c r="L391" t="s">
        <v>1999</v>
      </c>
      <c r="M391" t="s">
        <v>2063</v>
      </c>
      <c r="N391" t="s">
        <v>1992</v>
      </c>
      <c r="O391" t="s">
        <v>1992</v>
      </c>
      <c r="P391" t="s">
        <v>1992</v>
      </c>
      <c r="Q391" t="s">
        <v>1992</v>
      </c>
      <c r="R391" t="s">
        <v>1992</v>
      </c>
      <c r="S391" t="s">
        <v>1992</v>
      </c>
      <c r="T391" t="s">
        <v>1992</v>
      </c>
      <c r="U391" t="s">
        <v>1992</v>
      </c>
      <c r="V391" t="s">
        <v>1991</v>
      </c>
      <c r="W391" t="s">
        <v>1991</v>
      </c>
      <c r="X391" t="s">
        <v>1992</v>
      </c>
      <c r="Y391" t="s">
        <v>1992</v>
      </c>
      <c r="Z391" t="s">
        <v>1992</v>
      </c>
      <c r="AF391" t="s">
        <v>2001</v>
      </c>
      <c r="AG391" t="s">
        <v>1991</v>
      </c>
      <c r="AH391">
        <v>30</v>
      </c>
      <c r="AI391">
        <v>30</v>
      </c>
      <c r="AJ391" t="s">
        <v>113</v>
      </c>
      <c r="AK391">
        <v>851</v>
      </c>
      <c r="AL391">
        <v>16000</v>
      </c>
      <c r="AN391" t="s">
        <v>2066</v>
      </c>
      <c r="AO391" t="s">
        <v>2063</v>
      </c>
      <c r="BF391" t="s">
        <v>1053</v>
      </c>
      <c r="BG391" t="s">
        <v>1640</v>
      </c>
      <c r="BH391" t="s">
        <v>798</v>
      </c>
      <c r="BI391" t="s">
        <v>1053</v>
      </c>
      <c r="BK391" t="s">
        <v>1053</v>
      </c>
      <c r="BL391" t="s">
        <v>1053</v>
      </c>
      <c r="BO391" t="s">
        <v>1053</v>
      </c>
      <c r="BP391" t="s">
        <v>653</v>
      </c>
      <c r="BQ391" t="s">
        <v>2376</v>
      </c>
      <c r="BR391" t="s">
        <v>1053</v>
      </c>
      <c r="BS391" t="s">
        <v>1053</v>
      </c>
      <c r="BT391" t="s">
        <v>1053</v>
      </c>
      <c r="BV391" t="s">
        <v>987</v>
      </c>
      <c r="BX391" t="str">
        <f>""</f>
        <v/>
      </c>
      <c r="BY391" t="str">
        <f>""</f>
        <v/>
      </c>
      <c r="BZ391" t="str">
        <f>""</f>
        <v/>
      </c>
      <c r="CA391" t="str">
        <f>""</f>
        <v/>
      </c>
      <c r="CB391" t="str">
        <f>""</f>
        <v/>
      </c>
      <c r="CC391" t="str">
        <f>""</f>
        <v/>
      </c>
      <c r="CD391" t="str">
        <f>""</f>
        <v/>
      </c>
      <c r="CE391" t="str">
        <f>""</f>
        <v/>
      </c>
      <c r="CF391" t="str">
        <f>""</f>
        <v/>
      </c>
      <c r="CG391" t="str">
        <f>""</f>
        <v/>
      </c>
      <c r="CH391" t="str">
        <f>""</f>
        <v/>
      </c>
    </row>
    <row r="392" spans="1:86" x14ac:dyDescent="0.25">
      <c r="A392" t="s">
        <v>114</v>
      </c>
      <c r="B392" t="s">
        <v>115</v>
      </c>
      <c r="C392" t="s">
        <v>1992</v>
      </c>
      <c r="D392" t="s">
        <v>2010</v>
      </c>
      <c r="E392" t="s">
        <v>116</v>
      </c>
      <c r="H392" t="s">
        <v>117</v>
      </c>
      <c r="I392" t="s">
        <v>576</v>
      </c>
      <c r="J392" t="str">
        <f>"98626"</f>
        <v>98626</v>
      </c>
      <c r="K392" t="s">
        <v>1998</v>
      </c>
      <c r="L392" t="s">
        <v>231</v>
      </c>
      <c r="M392" t="s">
        <v>2063</v>
      </c>
      <c r="N392" t="s">
        <v>1992</v>
      </c>
      <c r="O392" t="s">
        <v>1991</v>
      </c>
      <c r="P392" t="s">
        <v>1992</v>
      </c>
      <c r="Q392" t="s">
        <v>1992</v>
      </c>
      <c r="R392" t="s">
        <v>1992</v>
      </c>
      <c r="S392" t="s">
        <v>1992</v>
      </c>
      <c r="T392" t="s">
        <v>1992</v>
      </c>
      <c r="U392" t="s">
        <v>1992</v>
      </c>
      <c r="V392" t="s">
        <v>1991</v>
      </c>
      <c r="W392" t="s">
        <v>1991</v>
      </c>
      <c r="X392" t="s">
        <v>1992</v>
      </c>
      <c r="Y392" t="s">
        <v>1992</v>
      </c>
      <c r="Z392" t="s">
        <v>1992</v>
      </c>
      <c r="AA392" t="s">
        <v>1992</v>
      </c>
      <c r="AF392" t="s">
        <v>2064</v>
      </c>
      <c r="AG392" t="s">
        <v>1991</v>
      </c>
      <c r="AH392">
        <v>30</v>
      </c>
      <c r="AI392">
        <v>30</v>
      </c>
      <c r="AJ392" t="s">
        <v>118</v>
      </c>
      <c r="AK392">
        <v>23</v>
      </c>
      <c r="AL392">
        <v>22000</v>
      </c>
      <c r="AN392" t="s">
        <v>2066</v>
      </c>
      <c r="AO392" t="s">
        <v>2063</v>
      </c>
      <c r="BF392" t="s">
        <v>1053</v>
      </c>
      <c r="BG392" t="s">
        <v>119</v>
      </c>
      <c r="BH392" t="s">
        <v>236</v>
      </c>
      <c r="BI392" t="s">
        <v>1053</v>
      </c>
      <c r="BJ392" t="s">
        <v>1053</v>
      </c>
      <c r="BK392" t="s">
        <v>1053</v>
      </c>
      <c r="BL392" t="s">
        <v>1053</v>
      </c>
      <c r="BM392" t="s">
        <v>237</v>
      </c>
      <c r="BN392" t="s">
        <v>238</v>
      </c>
      <c r="BO392" t="s">
        <v>1053</v>
      </c>
      <c r="BP392" t="s">
        <v>239</v>
      </c>
      <c r="BQ392" t="s">
        <v>240</v>
      </c>
      <c r="BR392" t="s">
        <v>1053</v>
      </c>
      <c r="BS392" t="s">
        <v>1053</v>
      </c>
      <c r="BT392" t="s">
        <v>1053</v>
      </c>
      <c r="BU392" t="s">
        <v>1053</v>
      </c>
      <c r="BV392" t="s">
        <v>241</v>
      </c>
      <c r="BW392" t="s">
        <v>242</v>
      </c>
      <c r="BX392" t="str">
        <f>"SMTWTFS 0800-2100"</f>
        <v>SMTWTFS 0800-2100</v>
      </c>
      <c r="BY392" t="str">
        <f>""</f>
        <v/>
      </c>
      <c r="BZ392" t="str">
        <f>""</f>
        <v/>
      </c>
      <c r="CA392" t="str">
        <f>""</f>
        <v/>
      </c>
      <c r="CB392" t="str">
        <f>""</f>
        <v/>
      </c>
      <c r="CC392" t="str">
        <f>"SMTWTFS 0800-2100"</f>
        <v>SMTWTFS 0800-2100</v>
      </c>
      <c r="CD392" t="str">
        <f>""</f>
        <v/>
      </c>
      <c r="CE392" t="str">
        <f>""</f>
        <v/>
      </c>
      <c r="CF392" t="str">
        <f>""</f>
        <v/>
      </c>
      <c r="CG392" t="str">
        <f>""</f>
        <v/>
      </c>
      <c r="CH392" t="str">
        <f>""</f>
        <v/>
      </c>
    </row>
    <row r="393" spans="1:86" x14ac:dyDescent="0.25">
      <c r="A393" t="s">
        <v>120</v>
      </c>
      <c r="B393" t="s">
        <v>121</v>
      </c>
      <c r="C393" t="s">
        <v>1991</v>
      </c>
      <c r="D393" t="s">
        <v>2010</v>
      </c>
      <c r="E393" t="s">
        <v>122</v>
      </c>
      <c r="H393" t="s">
        <v>123</v>
      </c>
      <c r="I393" t="s">
        <v>2295</v>
      </c>
      <c r="J393" t="str">
        <f>"97601-3286"</f>
        <v>97601-3286</v>
      </c>
      <c r="K393" t="s">
        <v>1998</v>
      </c>
      <c r="L393" t="s">
        <v>231</v>
      </c>
      <c r="M393" t="s">
        <v>124</v>
      </c>
      <c r="N393" t="s">
        <v>1991</v>
      </c>
      <c r="O393" t="s">
        <v>1991</v>
      </c>
      <c r="P393" t="s">
        <v>1992</v>
      </c>
      <c r="Q393" t="s">
        <v>1991</v>
      </c>
      <c r="R393" t="s">
        <v>1991</v>
      </c>
      <c r="S393" t="s">
        <v>1992</v>
      </c>
      <c r="T393" t="s">
        <v>1992</v>
      </c>
      <c r="U393" t="s">
        <v>1991</v>
      </c>
      <c r="V393" t="s">
        <v>1991</v>
      </c>
      <c r="W393" t="s">
        <v>1991</v>
      </c>
      <c r="X393" t="s">
        <v>1992</v>
      </c>
      <c r="Y393" t="s">
        <v>1992</v>
      </c>
      <c r="Z393" t="s">
        <v>1991</v>
      </c>
      <c r="AA393" t="s">
        <v>1992</v>
      </c>
      <c r="AE393" t="s">
        <v>2047</v>
      </c>
      <c r="AF393" t="s">
        <v>2064</v>
      </c>
      <c r="AG393" t="s">
        <v>1991</v>
      </c>
      <c r="AH393">
        <v>60</v>
      </c>
      <c r="AI393">
        <v>30</v>
      </c>
      <c r="AJ393" t="s">
        <v>125</v>
      </c>
      <c r="AK393">
        <v>4104</v>
      </c>
      <c r="AL393">
        <v>19462</v>
      </c>
      <c r="AM393" t="s">
        <v>126</v>
      </c>
      <c r="AN393" t="s">
        <v>1053</v>
      </c>
      <c r="AO393" t="s">
        <v>1053</v>
      </c>
      <c r="AP393" t="s">
        <v>2069</v>
      </c>
      <c r="AQ393" t="s">
        <v>1053</v>
      </c>
      <c r="AR393" t="s">
        <v>2069</v>
      </c>
      <c r="AS393" t="s">
        <v>120</v>
      </c>
      <c r="AT393" t="s">
        <v>127</v>
      </c>
      <c r="AU393" t="s">
        <v>1053</v>
      </c>
      <c r="AV393" t="s">
        <v>1053</v>
      </c>
      <c r="AW393" t="s">
        <v>2069</v>
      </c>
      <c r="AX393" t="s">
        <v>1053</v>
      </c>
      <c r="AY393" t="s">
        <v>2069</v>
      </c>
      <c r="AZ393" t="s">
        <v>120</v>
      </c>
      <c r="BA393" t="s">
        <v>127</v>
      </c>
      <c r="BB393" t="s">
        <v>1053</v>
      </c>
      <c r="BC393" t="s">
        <v>2069</v>
      </c>
      <c r="BD393" t="s">
        <v>1053</v>
      </c>
      <c r="BE393" t="s">
        <v>2069</v>
      </c>
      <c r="BF393" t="s">
        <v>1053</v>
      </c>
      <c r="BG393" t="s">
        <v>235</v>
      </c>
      <c r="BH393" t="s">
        <v>128</v>
      </c>
      <c r="BI393" t="s">
        <v>1053</v>
      </c>
      <c r="BJ393" t="s">
        <v>1053</v>
      </c>
      <c r="BK393" t="s">
        <v>1053</v>
      </c>
      <c r="BL393" t="s">
        <v>1053</v>
      </c>
      <c r="BM393" t="s">
        <v>237</v>
      </c>
      <c r="BN393" t="s">
        <v>238</v>
      </c>
      <c r="BO393" t="s">
        <v>1053</v>
      </c>
      <c r="BP393" t="s">
        <v>358</v>
      </c>
      <c r="BQ393" t="s">
        <v>129</v>
      </c>
      <c r="BR393" t="s">
        <v>1053</v>
      </c>
      <c r="BS393" t="s">
        <v>1053</v>
      </c>
      <c r="BT393" t="s">
        <v>1053</v>
      </c>
      <c r="BU393" t="s">
        <v>1053</v>
      </c>
      <c r="BV393" t="s">
        <v>241</v>
      </c>
      <c r="BW393" t="s">
        <v>242</v>
      </c>
      <c r="BX393" t="str">
        <f>"SMTWTFS 0700-1030 2030-2245"</f>
        <v>SMTWTFS 0700-1030 2030-2245</v>
      </c>
      <c r="BY393" t="str">
        <f>"SMTWTFS 0700-1030 2030-2245"</f>
        <v>SMTWTFS 0700-1030 2030-2245</v>
      </c>
      <c r="BZ393" t="str">
        <f>"SMTWTFS 0700-1030 2030-2245"</f>
        <v>SMTWTFS 0700-1030 2030-2245</v>
      </c>
      <c r="CA393" t="str">
        <f>"SMTWTFS 0700-1030 2030-2245"</f>
        <v>SMTWTFS 0700-1030 2030-2245</v>
      </c>
      <c r="CB393" t="str">
        <f>""</f>
        <v/>
      </c>
      <c r="CC393" t="str">
        <f>"SMTWTFS 0700-1030 2030-2245"</f>
        <v>SMTWTFS 0700-1030 2030-2245</v>
      </c>
      <c r="CD393" t="str">
        <f>""</f>
        <v/>
      </c>
      <c r="CE393" t="str">
        <f>""</f>
        <v/>
      </c>
      <c r="CF393" t="str">
        <f>"SMTWTFS 0730-1100 2030-2200"</f>
        <v>SMTWTFS 0730-1100 2030-2200</v>
      </c>
      <c r="CG393" t="str">
        <f>""</f>
        <v/>
      </c>
      <c r="CH393" t="str">
        <f>"SMTWTFS 0000-2359"</f>
        <v>SMTWTFS 0000-2359</v>
      </c>
    </row>
    <row r="394" spans="1:86" x14ac:dyDescent="0.25">
      <c r="A394" t="s">
        <v>130</v>
      </c>
      <c r="B394" t="s">
        <v>131</v>
      </c>
      <c r="C394" t="s">
        <v>1992</v>
      </c>
      <c r="D394" t="s">
        <v>1993</v>
      </c>
      <c r="E394" t="s">
        <v>132</v>
      </c>
      <c r="F394" t="s">
        <v>133</v>
      </c>
      <c r="H394" t="s">
        <v>134</v>
      </c>
      <c r="I394" t="s">
        <v>2061</v>
      </c>
      <c r="J394" t="str">
        <f>"93930-3446"</f>
        <v>93930-3446</v>
      </c>
      <c r="K394" t="s">
        <v>1998</v>
      </c>
      <c r="L394" t="s">
        <v>2062</v>
      </c>
      <c r="M394" t="s">
        <v>2063</v>
      </c>
      <c r="N394" t="s">
        <v>1992</v>
      </c>
      <c r="O394" t="s">
        <v>1992</v>
      </c>
      <c r="P394" t="s">
        <v>1992</v>
      </c>
      <c r="Q394" t="s">
        <v>1992</v>
      </c>
      <c r="R394" t="s">
        <v>1992</v>
      </c>
      <c r="S394" t="s">
        <v>1992</v>
      </c>
      <c r="T394" t="s">
        <v>1992</v>
      </c>
      <c r="U394" t="s">
        <v>1992</v>
      </c>
      <c r="V394" t="s">
        <v>1991</v>
      </c>
      <c r="W394" t="s">
        <v>1992</v>
      </c>
      <c r="X394" t="s">
        <v>1992</v>
      </c>
      <c r="Y394" t="s">
        <v>1991</v>
      </c>
      <c r="Z394" t="s">
        <v>1992</v>
      </c>
      <c r="AA394" t="s">
        <v>1991</v>
      </c>
      <c r="AF394" t="s">
        <v>2064</v>
      </c>
      <c r="AG394" t="s">
        <v>1991</v>
      </c>
      <c r="AH394">
        <v>30</v>
      </c>
      <c r="AI394">
        <v>30</v>
      </c>
      <c r="AJ394" t="s">
        <v>135</v>
      </c>
      <c r="AK394">
        <v>304</v>
      </c>
      <c r="AL394">
        <v>5495</v>
      </c>
      <c r="AM394" t="s">
        <v>2298</v>
      </c>
      <c r="AN394" t="s">
        <v>136</v>
      </c>
      <c r="AO394" t="s">
        <v>2063</v>
      </c>
      <c r="BF394" t="s">
        <v>1053</v>
      </c>
      <c r="BG394" t="s">
        <v>309</v>
      </c>
      <c r="BH394" t="s">
        <v>2301</v>
      </c>
      <c r="BI394" t="s">
        <v>1053</v>
      </c>
      <c r="BK394" t="s">
        <v>1053</v>
      </c>
      <c r="BO394" t="s">
        <v>1053</v>
      </c>
      <c r="BP394" t="s">
        <v>518</v>
      </c>
      <c r="BQ394" t="s">
        <v>137</v>
      </c>
      <c r="BR394" t="s">
        <v>1053</v>
      </c>
      <c r="BT394" t="s">
        <v>1053</v>
      </c>
      <c r="BV394" t="s">
        <v>2070</v>
      </c>
      <c r="BX394" t="str">
        <f>""</f>
        <v/>
      </c>
      <c r="BY394" t="str">
        <f>""</f>
        <v/>
      </c>
      <c r="BZ394" t="str">
        <f>""</f>
        <v/>
      </c>
      <c r="CA394" t="str">
        <f>""</f>
        <v/>
      </c>
      <c r="CB394" t="str">
        <f>""</f>
        <v/>
      </c>
      <c r="CC394" t="str">
        <f>""</f>
        <v/>
      </c>
      <c r="CD394" t="str">
        <f>""</f>
        <v/>
      </c>
      <c r="CE394" t="str">
        <f>""</f>
        <v/>
      </c>
      <c r="CF394" t="str">
        <f>""</f>
        <v/>
      </c>
      <c r="CG394" t="str">
        <f>""</f>
        <v/>
      </c>
      <c r="CH394" t="str">
        <f>""</f>
        <v/>
      </c>
    </row>
    <row r="395" spans="1:86" x14ac:dyDescent="0.25">
      <c r="A395" t="s">
        <v>138</v>
      </c>
      <c r="B395" t="s">
        <v>139</v>
      </c>
      <c r="C395" t="s">
        <v>1992</v>
      </c>
      <c r="D395" t="s">
        <v>1993</v>
      </c>
      <c r="E395" t="s">
        <v>140</v>
      </c>
      <c r="F395" t="s">
        <v>141</v>
      </c>
      <c r="H395" t="s">
        <v>142</v>
      </c>
      <c r="I395" t="s">
        <v>2352</v>
      </c>
      <c r="J395" t="str">
        <f>"49649"</f>
        <v>49649</v>
      </c>
      <c r="K395" t="s">
        <v>1998</v>
      </c>
      <c r="L395" t="s">
        <v>1999</v>
      </c>
      <c r="M395" t="s">
        <v>2063</v>
      </c>
      <c r="N395" t="s">
        <v>1992</v>
      </c>
      <c r="O395" t="s">
        <v>1992</v>
      </c>
      <c r="P395" t="s">
        <v>1992</v>
      </c>
      <c r="Q395" t="s">
        <v>1992</v>
      </c>
      <c r="R395" t="s">
        <v>1992</v>
      </c>
      <c r="S395" t="s">
        <v>1992</v>
      </c>
      <c r="T395" t="s">
        <v>1992</v>
      </c>
      <c r="U395" t="s">
        <v>1992</v>
      </c>
      <c r="V395" t="s">
        <v>1991</v>
      </c>
      <c r="Z395" t="s">
        <v>1991</v>
      </c>
      <c r="AF395" t="s">
        <v>2016</v>
      </c>
      <c r="AG395" t="s">
        <v>1991</v>
      </c>
      <c r="AH395">
        <v>30</v>
      </c>
      <c r="AI395">
        <v>30</v>
      </c>
      <c r="AJ395" t="s">
        <v>143</v>
      </c>
      <c r="AK395">
        <v>971</v>
      </c>
      <c r="BF395" t="s">
        <v>1053</v>
      </c>
      <c r="BG395" t="s">
        <v>643</v>
      </c>
      <c r="BH395" t="s">
        <v>2312</v>
      </c>
      <c r="BI395" t="s">
        <v>1053</v>
      </c>
      <c r="BK395" t="s">
        <v>1053</v>
      </c>
      <c r="BM395" t="s">
        <v>2313</v>
      </c>
      <c r="BN395" t="s">
        <v>2314</v>
      </c>
      <c r="BO395" t="s">
        <v>1053</v>
      </c>
      <c r="BP395" t="s">
        <v>2356</v>
      </c>
      <c r="BQ395" t="s">
        <v>2316</v>
      </c>
      <c r="BR395" t="s">
        <v>1053</v>
      </c>
      <c r="BT395" t="s">
        <v>1053</v>
      </c>
      <c r="BX395" t="str">
        <f>""</f>
        <v/>
      </c>
      <c r="BY395" t="str">
        <f>""</f>
        <v/>
      </c>
      <c r="BZ395" t="str">
        <f>""</f>
        <v/>
      </c>
      <c r="CA395" t="str">
        <f>""</f>
        <v/>
      </c>
      <c r="CB395" t="str">
        <f>""</f>
        <v/>
      </c>
      <c r="CC395" t="str">
        <f>""</f>
        <v/>
      </c>
      <c r="CD395" t="str">
        <f>""</f>
        <v/>
      </c>
      <c r="CE395" t="str">
        <f>""</f>
        <v/>
      </c>
      <c r="CF395" t="str">
        <f>""</f>
        <v/>
      </c>
      <c r="CG395" t="str">
        <f>""</f>
        <v/>
      </c>
      <c r="CH395" t="str">
        <f>""</f>
        <v/>
      </c>
    </row>
    <row r="396" spans="1:86" x14ac:dyDescent="0.25">
      <c r="A396" t="s">
        <v>144</v>
      </c>
      <c r="B396" t="s">
        <v>145</v>
      </c>
      <c r="C396" t="s">
        <v>1992</v>
      </c>
      <c r="D396" t="s">
        <v>2010</v>
      </c>
      <c r="E396" t="s">
        <v>146</v>
      </c>
      <c r="F396" t="s">
        <v>147</v>
      </c>
      <c r="H396" t="s">
        <v>148</v>
      </c>
      <c r="I396" t="s">
        <v>2381</v>
      </c>
      <c r="J396" t="str">
        <f>"76541-5231"</f>
        <v>76541-5231</v>
      </c>
      <c r="K396" t="s">
        <v>1998</v>
      </c>
      <c r="L396" t="s">
        <v>2045</v>
      </c>
      <c r="M396" t="s">
        <v>2000</v>
      </c>
      <c r="N396" t="s">
        <v>1992</v>
      </c>
      <c r="O396" t="s">
        <v>1992</v>
      </c>
      <c r="P396" t="s">
        <v>1992</v>
      </c>
      <c r="Q396" t="s">
        <v>1992</v>
      </c>
      <c r="R396" t="s">
        <v>1992</v>
      </c>
      <c r="S396" t="s">
        <v>1992</v>
      </c>
      <c r="T396" t="s">
        <v>1992</v>
      </c>
      <c r="U396" t="s">
        <v>1992</v>
      </c>
      <c r="V396" t="s">
        <v>1991</v>
      </c>
      <c r="W396" t="s">
        <v>1992</v>
      </c>
      <c r="X396" t="s">
        <v>1992</v>
      </c>
      <c r="Y396" t="s">
        <v>1992</v>
      </c>
      <c r="Z396" t="s">
        <v>1991</v>
      </c>
      <c r="AF396" t="s">
        <v>2001</v>
      </c>
      <c r="AG396" t="s">
        <v>1991</v>
      </c>
      <c r="AH396">
        <v>30</v>
      </c>
      <c r="AI396">
        <v>30</v>
      </c>
      <c r="AJ396" t="s">
        <v>149</v>
      </c>
      <c r="AK396">
        <v>846</v>
      </c>
      <c r="AL396">
        <v>83716</v>
      </c>
      <c r="BX396" t="str">
        <f>""</f>
        <v/>
      </c>
      <c r="BY396" t="str">
        <f>""</f>
        <v/>
      </c>
      <c r="BZ396" t="str">
        <f>""</f>
        <v/>
      </c>
      <c r="CA396" t="str">
        <f>""</f>
        <v/>
      </c>
      <c r="CB396" t="str">
        <f>""</f>
        <v/>
      </c>
      <c r="CC396" t="str">
        <f>""</f>
        <v/>
      </c>
      <c r="CD396" t="str">
        <f>""</f>
        <v/>
      </c>
      <c r="CE396" t="str">
        <f>""</f>
        <v/>
      </c>
      <c r="CF396" t="str">
        <f>""</f>
        <v/>
      </c>
      <c r="CG396" t="str">
        <f>""</f>
        <v/>
      </c>
      <c r="CH396" t="str">
        <f>""</f>
        <v/>
      </c>
    </row>
    <row r="397" spans="1:86" x14ac:dyDescent="0.25">
      <c r="A397" t="s">
        <v>150</v>
      </c>
      <c r="B397" t="s">
        <v>151</v>
      </c>
      <c r="C397" t="s">
        <v>1991</v>
      </c>
      <c r="D397" t="s">
        <v>2010</v>
      </c>
      <c r="E397" t="s">
        <v>152</v>
      </c>
      <c r="H397" t="s">
        <v>153</v>
      </c>
      <c r="I397" t="s">
        <v>154</v>
      </c>
      <c r="J397" t="str">
        <f>"02892-1508"</f>
        <v>02892-1508</v>
      </c>
      <c r="K397" t="s">
        <v>1998</v>
      </c>
      <c r="L397" t="s">
        <v>2033</v>
      </c>
      <c r="M397" t="s">
        <v>155</v>
      </c>
      <c r="N397" t="s">
        <v>1991</v>
      </c>
      <c r="O397" t="s">
        <v>1991</v>
      </c>
      <c r="P397" t="s">
        <v>1992</v>
      </c>
      <c r="Q397" t="s">
        <v>1992</v>
      </c>
      <c r="R397" t="s">
        <v>1992</v>
      </c>
      <c r="S397" t="s">
        <v>1992</v>
      </c>
      <c r="T397" t="s">
        <v>1992</v>
      </c>
      <c r="U397" t="s">
        <v>1991</v>
      </c>
      <c r="V397" t="s">
        <v>1991</v>
      </c>
      <c r="W397" t="s">
        <v>1991</v>
      </c>
      <c r="X397" t="s">
        <v>1992</v>
      </c>
      <c r="Y397" t="s">
        <v>1992</v>
      </c>
      <c r="Z397" t="s">
        <v>1992</v>
      </c>
      <c r="AA397" t="s">
        <v>1992</v>
      </c>
      <c r="AE397" t="s">
        <v>2047</v>
      </c>
      <c r="AF397" t="s">
        <v>2016</v>
      </c>
      <c r="AG397" t="s">
        <v>1991</v>
      </c>
      <c r="AH397">
        <v>45</v>
      </c>
      <c r="AI397">
        <v>30</v>
      </c>
      <c r="AJ397" t="s">
        <v>156</v>
      </c>
      <c r="AK397">
        <v>117</v>
      </c>
      <c r="AL397">
        <v>50000</v>
      </c>
      <c r="AM397" t="s">
        <v>157</v>
      </c>
      <c r="AN397" t="s">
        <v>1053</v>
      </c>
      <c r="AO397" t="s">
        <v>1053</v>
      </c>
      <c r="AP397" t="s">
        <v>1053</v>
      </c>
      <c r="AQ397" t="s">
        <v>1053</v>
      </c>
      <c r="AR397" t="s">
        <v>1053</v>
      </c>
      <c r="AS397" t="s">
        <v>150</v>
      </c>
      <c r="AT397" t="s">
        <v>158</v>
      </c>
      <c r="AU397" t="s">
        <v>1053</v>
      </c>
      <c r="AV397" t="s">
        <v>1053</v>
      </c>
      <c r="AW397" t="s">
        <v>1053</v>
      </c>
      <c r="AX397" t="s">
        <v>1053</v>
      </c>
      <c r="AY397" t="s">
        <v>1053</v>
      </c>
      <c r="AZ397" t="s">
        <v>159</v>
      </c>
      <c r="BA397" t="s">
        <v>160</v>
      </c>
      <c r="BB397" t="s">
        <v>1053</v>
      </c>
      <c r="BC397" t="s">
        <v>1053</v>
      </c>
      <c r="BD397" t="s">
        <v>1053</v>
      </c>
      <c r="BE397" t="s">
        <v>1053</v>
      </c>
      <c r="BF397" t="s">
        <v>1053</v>
      </c>
      <c r="BG397" t="s">
        <v>703</v>
      </c>
      <c r="BH397" t="s">
        <v>2140</v>
      </c>
      <c r="BI397" t="s">
        <v>1053</v>
      </c>
      <c r="BJ397" t="s">
        <v>1053</v>
      </c>
      <c r="BK397" t="s">
        <v>1053</v>
      </c>
      <c r="BL397" t="s">
        <v>1053</v>
      </c>
      <c r="BM397" t="s">
        <v>520</v>
      </c>
      <c r="BN397" t="s">
        <v>517</v>
      </c>
      <c r="BO397" t="s">
        <v>1053</v>
      </c>
      <c r="BP397" t="s">
        <v>986</v>
      </c>
      <c r="BQ397" t="s">
        <v>2140</v>
      </c>
      <c r="BR397" t="s">
        <v>1053</v>
      </c>
      <c r="BS397" t="s">
        <v>1053</v>
      </c>
      <c r="BT397" t="s">
        <v>1053</v>
      </c>
      <c r="BU397" t="s">
        <v>1053</v>
      </c>
      <c r="BV397" t="s">
        <v>520</v>
      </c>
      <c r="BW397" t="s">
        <v>523</v>
      </c>
      <c r="BX397" t="str">
        <f>"SMTWTFS 0600-2300"</f>
        <v>SMTWTFS 0600-2300</v>
      </c>
      <c r="BY397" t="str">
        <f>""</f>
        <v/>
      </c>
      <c r="BZ397" t="str">
        <f>"SMTWTFS 0600-2245"</f>
        <v>SMTWTFS 0600-2245</v>
      </c>
      <c r="CA397" t="str">
        <f>"SMTWTFS 0600-2300"</f>
        <v>SMTWTFS 0600-2300</v>
      </c>
      <c r="CB397" t="str">
        <f>""</f>
        <v/>
      </c>
      <c r="CC397" t="str">
        <f>"SMTWTFS 0600-2300"</f>
        <v>SMTWTFS 0600-2300</v>
      </c>
      <c r="CD397" t="str">
        <f>""</f>
        <v/>
      </c>
      <c r="CE397" t="str">
        <f>""</f>
        <v/>
      </c>
      <c r="CF397" t="str">
        <f>""</f>
        <v/>
      </c>
      <c r="CG397" t="str">
        <f>""</f>
        <v/>
      </c>
      <c r="CH397" t="str">
        <f>""</f>
        <v/>
      </c>
    </row>
    <row r="398" spans="1:86" x14ac:dyDescent="0.25">
      <c r="A398" t="s">
        <v>162</v>
      </c>
      <c r="B398" t="s">
        <v>163</v>
      </c>
      <c r="C398" t="s">
        <v>1991</v>
      </c>
      <c r="D398" t="s">
        <v>2010</v>
      </c>
      <c r="E398" t="s">
        <v>164</v>
      </c>
      <c r="H398" t="s">
        <v>165</v>
      </c>
      <c r="I398" t="s">
        <v>558</v>
      </c>
      <c r="J398" t="str">
        <f>"34741-5723"</f>
        <v>34741-5723</v>
      </c>
      <c r="K398" t="s">
        <v>1998</v>
      </c>
      <c r="L398" t="s">
        <v>408</v>
      </c>
      <c r="M398" t="s">
        <v>166</v>
      </c>
      <c r="N398" t="s">
        <v>1991</v>
      </c>
      <c r="O398" t="s">
        <v>1991</v>
      </c>
      <c r="P398" t="s">
        <v>1992</v>
      </c>
      <c r="Q398" t="s">
        <v>1991</v>
      </c>
      <c r="R398" t="s">
        <v>1991</v>
      </c>
      <c r="S398" t="s">
        <v>1992</v>
      </c>
      <c r="T398" t="s">
        <v>1992</v>
      </c>
      <c r="U398" t="s">
        <v>1991</v>
      </c>
      <c r="V398" t="s">
        <v>1991</v>
      </c>
      <c r="W398" t="s">
        <v>1991</v>
      </c>
      <c r="X398" t="s">
        <v>1992</v>
      </c>
      <c r="Y398" t="s">
        <v>1992</v>
      </c>
      <c r="Z398" t="s">
        <v>1992</v>
      </c>
      <c r="AA398" t="s">
        <v>1992</v>
      </c>
      <c r="AE398" t="s">
        <v>2047</v>
      </c>
      <c r="AF398" t="s">
        <v>2016</v>
      </c>
      <c r="AG398" t="s">
        <v>1991</v>
      </c>
      <c r="AH398">
        <v>60</v>
      </c>
      <c r="AI398">
        <v>30</v>
      </c>
      <c r="AJ398" t="s">
        <v>167</v>
      </c>
      <c r="AK398">
        <v>64</v>
      </c>
      <c r="AL398">
        <v>60900</v>
      </c>
      <c r="AN398" t="s">
        <v>1053</v>
      </c>
      <c r="AO398" t="s">
        <v>1053</v>
      </c>
      <c r="AP398" t="s">
        <v>2069</v>
      </c>
      <c r="AQ398" t="s">
        <v>1053</v>
      </c>
      <c r="AR398" t="s">
        <v>2069</v>
      </c>
      <c r="AS398" t="s">
        <v>162</v>
      </c>
      <c r="AT398" t="s">
        <v>168</v>
      </c>
      <c r="AU398" t="s">
        <v>1053</v>
      </c>
      <c r="AV398" t="s">
        <v>1053</v>
      </c>
      <c r="AW398" t="s">
        <v>2069</v>
      </c>
      <c r="AX398" t="s">
        <v>1053</v>
      </c>
      <c r="AY398" t="s">
        <v>2069</v>
      </c>
      <c r="AZ398" t="s">
        <v>162</v>
      </c>
      <c r="BA398" t="s">
        <v>168</v>
      </c>
      <c r="BB398" t="s">
        <v>1053</v>
      </c>
      <c r="BC398" t="s">
        <v>2069</v>
      </c>
      <c r="BD398" t="s">
        <v>1053</v>
      </c>
      <c r="BE398" t="s">
        <v>2069</v>
      </c>
      <c r="BF398" t="s">
        <v>1053</v>
      </c>
      <c r="BG398" t="s">
        <v>2019</v>
      </c>
      <c r="BH398" t="s">
        <v>169</v>
      </c>
      <c r="BI398" t="s">
        <v>1053</v>
      </c>
      <c r="BJ398" t="s">
        <v>2069</v>
      </c>
      <c r="BK398" t="s">
        <v>1053</v>
      </c>
      <c r="BL398" t="s">
        <v>2069</v>
      </c>
      <c r="BM398" t="s">
        <v>1138</v>
      </c>
      <c r="BN398" t="s">
        <v>562</v>
      </c>
      <c r="BO398" t="s">
        <v>1053</v>
      </c>
      <c r="BP398" t="s">
        <v>653</v>
      </c>
      <c r="BQ398" t="s">
        <v>2127</v>
      </c>
      <c r="BR398" t="s">
        <v>1053</v>
      </c>
      <c r="BS398" t="s">
        <v>1053</v>
      </c>
      <c r="BT398" t="s">
        <v>1053</v>
      </c>
      <c r="BU398" t="s">
        <v>1053</v>
      </c>
      <c r="BV398" t="s">
        <v>1052</v>
      </c>
      <c r="BW398" t="s">
        <v>170</v>
      </c>
      <c r="BX398" t="str">
        <f>"SMTWTFS 0930-1900"</f>
        <v>SMTWTFS 0930-1900</v>
      </c>
      <c r="BY398" t="str">
        <f>"SMTWTFS 0930-1815"</f>
        <v>SMTWTFS 0930-1815</v>
      </c>
      <c r="BZ398" t="str">
        <f>"SMTWTFS 1100-1900"</f>
        <v>SMTWTFS 1100-1900</v>
      </c>
      <c r="CA398" t="str">
        <f>"SMTWTFS 0930-1900"</f>
        <v>SMTWTFS 0930-1900</v>
      </c>
      <c r="CB398" t="str">
        <f>""</f>
        <v/>
      </c>
      <c r="CC398" t="str">
        <f>"SMTWTFS 0930-1900"</f>
        <v>SMTWTFS 0930-1900</v>
      </c>
      <c r="CD398" t="str">
        <f>""</f>
        <v/>
      </c>
      <c r="CE398" t="str">
        <f>""</f>
        <v/>
      </c>
      <c r="CF398" t="str">
        <f>"SMTWTFS 0930-1815"</f>
        <v>SMTWTFS 0930-1815</v>
      </c>
      <c r="CG398" t="str">
        <f>""</f>
        <v/>
      </c>
      <c r="CH398" t="str">
        <f>""</f>
        <v/>
      </c>
    </row>
    <row r="399" spans="1:86" x14ac:dyDescent="0.25">
      <c r="A399" t="s">
        <v>171</v>
      </c>
      <c r="B399" t="s">
        <v>172</v>
      </c>
      <c r="C399" t="s">
        <v>1992</v>
      </c>
      <c r="D399" t="s">
        <v>2010</v>
      </c>
      <c r="E399" t="s">
        <v>173</v>
      </c>
      <c r="H399" t="s">
        <v>174</v>
      </c>
      <c r="I399" t="s">
        <v>2367</v>
      </c>
      <c r="J399" t="str">
        <f>"60901-3834"</f>
        <v>60901-3834</v>
      </c>
      <c r="K399" t="s">
        <v>1998</v>
      </c>
      <c r="L399" t="s">
        <v>1999</v>
      </c>
      <c r="M399" t="s">
        <v>2063</v>
      </c>
      <c r="N399" t="s">
        <v>1992</v>
      </c>
      <c r="O399" t="s">
        <v>1992</v>
      </c>
      <c r="P399" t="s">
        <v>1992</v>
      </c>
      <c r="Q399" t="s">
        <v>1992</v>
      </c>
      <c r="R399" t="s">
        <v>1992</v>
      </c>
      <c r="S399" t="s">
        <v>1992</v>
      </c>
      <c r="T399" t="s">
        <v>1992</v>
      </c>
      <c r="U399" t="s">
        <v>1992</v>
      </c>
      <c r="V399" t="s">
        <v>1991</v>
      </c>
      <c r="W399" t="s">
        <v>1991</v>
      </c>
      <c r="X399" t="s">
        <v>1992</v>
      </c>
      <c r="Y399" t="s">
        <v>1992</v>
      </c>
      <c r="Z399" t="s">
        <v>1992</v>
      </c>
      <c r="AF399" t="s">
        <v>2001</v>
      </c>
      <c r="AG399" t="s">
        <v>1991</v>
      </c>
      <c r="AH399">
        <v>30</v>
      </c>
      <c r="AI399">
        <v>30</v>
      </c>
      <c r="AJ399" t="s">
        <v>175</v>
      </c>
      <c r="AK399">
        <v>629</v>
      </c>
      <c r="AL399">
        <v>101300</v>
      </c>
      <c r="AN399" t="s">
        <v>2066</v>
      </c>
      <c r="AO399" t="s">
        <v>2063</v>
      </c>
      <c r="BF399" t="s">
        <v>1053</v>
      </c>
      <c r="BG399" t="s">
        <v>2548</v>
      </c>
      <c r="BH399" t="s">
        <v>176</v>
      </c>
      <c r="BI399" t="s">
        <v>1053</v>
      </c>
      <c r="BJ399" t="s">
        <v>1053</v>
      </c>
      <c r="BK399" t="s">
        <v>1053</v>
      </c>
      <c r="BL399" t="s">
        <v>1053</v>
      </c>
      <c r="BM399" t="s">
        <v>2373</v>
      </c>
      <c r="BN399" t="s">
        <v>2374</v>
      </c>
      <c r="BO399" t="s">
        <v>1053</v>
      </c>
      <c r="BP399" t="s">
        <v>986</v>
      </c>
      <c r="BQ399" t="s">
        <v>2376</v>
      </c>
      <c r="BR399" t="s">
        <v>1053</v>
      </c>
      <c r="BS399" t="s">
        <v>1053</v>
      </c>
      <c r="BT399" t="s">
        <v>1053</v>
      </c>
      <c r="BU399" t="s">
        <v>1053</v>
      </c>
      <c r="BV399" t="s">
        <v>987</v>
      </c>
      <c r="BX399" t="str">
        <f>"SMTWTFS 0001-2359"</f>
        <v>SMTWTFS 0001-2359</v>
      </c>
      <c r="BY399" t="str">
        <f>""</f>
        <v/>
      </c>
      <c r="BZ399" t="str">
        <f>""</f>
        <v/>
      </c>
      <c r="CA399" t="str">
        <f>""</f>
        <v/>
      </c>
      <c r="CB399" t="str">
        <f>""</f>
        <v/>
      </c>
      <c r="CC399" t="str">
        <f>""</f>
        <v/>
      </c>
      <c r="CD399" t="str">
        <f>""</f>
        <v/>
      </c>
      <c r="CE399" t="str">
        <f>""</f>
        <v/>
      </c>
      <c r="CF399" t="str">
        <f>""</f>
        <v/>
      </c>
      <c r="CG399" t="str">
        <f>""</f>
        <v/>
      </c>
      <c r="CH399" t="str">
        <f>""</f>
        <v/>
      </c>
    </row>
    <row r="400" spans="1:86" x14ac:dyDescent="0.25">
      <c r="A400" t="s">
        <v>177</v>
      </c>
      <c r="B400" t="s">
        <v>178</v>
      </c>
      <c r="C400" t="s">
        <v>1992</v>
      </c>
      <c r="D400" t="s">
        <v>1993</v>
      </c>
      <c r="E400" t="s">
        <v>179</v>
      </c>
      <c r="F400" t="s">
        <v>180</v>
      </c>
      <c r="H400" t="s">
        <v>181</v>
      </c>
      <c r="I400" t="s">
        <v>2352</v>
      </c>
      <c r="J400" t="str">
        <f>"49646-8473"</f>
        <v>49646-8473</v>
      </c>
      <c r="K400" t="s">
        <v>1998</v>
      </c>
      <c r="L400" t="s">
        <v>1999</v>
      </c>
      <c r="M400" t="s">
        <v>899</v>
      </c>
      <c r="N400" t="s">
        <v>1992</v>
      </c>
      <c r="O400" t="s">
        <v>1992</v>
      </c>
      <c r="P400" t="s">
        <v>1992</v>
      </c>
      <c r="Q400" t="s">
        <v>1992</v>
      </c>
      <c r="R400" t="s">
        <v>1992</v>
      </c>
      <c r="S400" t="s">
        <v>1992</v>
      </c>
      <c r="T400" t="s">
        <v>1992</v>
      </c>
      <c r="U400" t="s">
        <v>1992</v>
      </c>
      <c r="V400" t="s">
        <v>1991</v>
      </c>
      <c r="W400" t="s">
        <v>1992</v>
      </c>
      <c r="X400" t="s">
        <v>1992</v>
      </c>
      <c r="Y400" t="s">
        <v>1992</v>
      </c>
      <c r="Z400" t="s">
        <v>1991</v>
      </c>
      <c r="AF400" t="s">
        <v>2016</v>
      </c>
      <c r="AG400" t="s">
        <v>1991</v>
      </c>
      <c r="AH400">
        <v>30</v>
      </c>
      <c r="AI400">
        <v>30</v>
      </c>
      <c r="AJ400" t="s">
        <v>182</v>
      </c>
      <c r="AK400">
        <v>1041</v>
      </c>
      <c r="AL400">
        <v>13497</v>
      </c>
      <c r="AM400" t="s">
        <v>183</v>
      </c>
      <c r="AN400" t="s">
        <v>445</v>
      </c>
      <c r="AO400" t="s">
        <v>2311</v>
      </c>
      <c r="BF400" t="s">
        <v>1053</v>
      </c>
      <c r="BG400" t="s">
        <v>643</v>
      </c>
      <c r="BH400" t="s">
        <v>644</v>
      </c>
      <c r="BI400" t="s">
        <v>1053</v>
      </c>
      <c r="BK400" t="s">
        <v>1053</v>
      </c>
      <c r="BM400" t="s">
        <v>2313</v>
      </c>
      <c r="BN400" t="s">
        <v>2314</v>
      </c>
      <c r="BO400" t="s">
        <v>1053</v>
      </c>
      <c r="BP400" t="s">
        <v>2356</v>
      </c>
      <c r="BQ400" t="s">
        <v>2316</v>
      </c>
      <c r="BR400" t="s">
        <v>1053</v>
      </c>
      <c r="BT400" t="s">
        <v>1053</v>
      </c>
      <c r="BX400" t="str">
        <f>""</f>
        <v/>
      </c>
      <c r="BY400" t="str">
        <f>""</f>
        <v/>
      </c>
      <c r="BZ400" t="str">
        <f>""</f>
        <v/>
      </c>
      <c r="CA400" t="str">
        <f>""</f>
        <v/>
      </c>
      <c r="CB400" t="str">
        <f>""</f>
        <v/>
      </c>
      <c r="CC400" t="str">
        <f>""</f>
        <v/>
      </c>
      <c r="CD400" t="str">
        <f>""</f>
        <v/>
      </c>
      <c r="CE400" t="str">
        <f>""</f>
        <v/>
      </c>
      <c r="CF400" t="str">
        <f>""</f>
        <v/>
      </c>
      <c r="CG400" t="str">
        <f>""</f>
        <v/>
      </c>
      <c r="CH400" t="str">
        <f>""</f>
        <v/>
      </c>
    </row>
    <row r="401" spans="1:86" x14ac:dyDescent="0.25">
      <c r="A401" t="s">
        <v>184</v>
      </c>
      <c r="B401" t="s">
        <v>185</v>
      </c>
      <c r="C401" t="s">
        <v>1992</v>
      </c>
      <c r="D401" t="s">
        <v>2010</v>
      </c>
      <c r="E401" t="s">
        <v>186</v>
      </c>
      <c r="H401" t="s">
        <v>187</v>
      </c>
      <c r="I401" t="s">
        <v>586</v>
      </c>
      <c r="J401" t="str">
        <f>"86401"</f>
        <v>86401</v>
      </c>
      <c r="K401" t="s">
        <v>1998</v>
      </c>
      <c r="L401" t="s">
        <v>2045</v>
      </c>
      <c r="M401" t="s">
        <v>2000</v>
      </c>
      <c r="N401" t="s">
        <v>1992</v>
      </c>
      <c r="O401" t="s">
        <v>1992</v>
      </c>
      <c r="P401" t="s">
        <v>1992</v>
      </c>
      <c r="Q401" t="s">
        <v>1992</v>
      </c>
      <c r="R401" t="s">
        <v>1992</v>
      </c>
      <c r="S401" t="s">
        <v>1992</v>
      </c>
      <c r="T401" t="s">
        <v>1992</v>
      </c>
      <c r="U401" t="s">
        <v>1992</v>
      </c>
      <c r="V401" t="s">
        <v>1991</v>
      </c>
      <c r="W401" t="s">
        <v>1991</v>
      </c>
      <c r="X401" t="s">
        <v>1992</v>
      </c>
      <c r="Y401" t="s">
        <v>1991</v>
      </c>
      <c r="Z401" t="s">
        <v>1992</v>
      </c>
      <c r="AB401" t="s">
        <v>188</v>
      </c>
      <c r="AF401" t="s">
        <v>2048</v>
      </c>
      <c r="AG401" t="s">
        <v>1992</v>
      </c>
      <c r="AH401">
        <v>30</v>
      </c>
      <c r="AI401">
        <v>30</v>
      </c>
      <c r="AJ401" t="s">
        <v>189</v>
      </c>
      <c r="AK401">
        <v>3339</v>
      </c>
      <c r="AL401">
        <v>10500</v>
      </c>
      <c r="AN401" t="s">
        <v>2066</v>
      </c>
      <c r="BF401" t="s">
        <v>1053</v>
      </c>
      <c r="BG401" t="s">
        <v>2019</v>
      </c>
      <c r="BH401" t="s">
        <v>2053</v>
      </c>
      <c r="BI401" t="s">
        <v>1053</v>
      </c>
      <c r="BO401" t="s">
        <v>1053</v>
      </c>
      <c r="BP401" t="s">
        <v>542</v>
      </c>
      <c r="BQ401" t="s">
        <v>2055</v>
      </c>
      <c r="BR401" t="s">
        <v>1053</v>
      </c>
      <c r="BS401" t="s">
        <v>1053</v>
      </c>
      <c r="BV401" t="s">
        <v>485</v>
      </c>
      <c r="BX401" t="str">
        <f>"SMTWTFS 0001-0530 2200-2359"</f>
        <v>SMTWTFS 0001-0530 2200-2359</v>
      </c>
      <c r="BY401" t="str">
        <f>""</f>
        <v/>
      </c>
      <c r="BZ401" t="str">
        <f>""</f>
        <v/>
      </c>
      <c r="CA401" t="str">
        <f>""</f>
        <v/>
      </c>
      <c r="CB401" t="str">
        <f>""</f>
        <v/>
      </c>
      <c r="CC401" t="str">
        <f>""</f>
        <v/>
      </c>
      <c r="CD401" t="str">
        <f>""</f>
        <v/>
      </c>
      <c r="CE401" t="str">
        <f>""</f>
        <v/>
      </c>
      <c r="CF401" t="str">
        <f>""</f>
        <v/>
      </c>
      <c r="CG401" t="str">
        <f>""</f>
        <v/>
      </c>
      <c r="CH401" t="str">
        <f>""</f>
        <v/>
      </c>
    </row>
    <row r="402" spans="1:86" x14ac:dyDescent="0.25">
      <c r="A402" t="s">
        <v>190</v>
      </c>
      <c r="B402" t="s">
        <v>191</v>
      </c>
      <c r="C402" t="s">
        <v>1992</v>
      </c>
      <c r="D402" t="s">
        <v>1993</v>
      </c>
      <c r="E402" t="s">
        <v>192</v>
      </c>
      <c r="F402" t="s">
        <v>193</v>
      </c>
      <c r="H402" t="s">
        <v>194</v>
      </c>
      <c r="I402" t="s">
        <v>2014</v>
      </c>
      <c r="J402" t="str">
        <f>"21638-1030"</f>
        <v>21638-1030</v>
      </c>
      <c r="K402" t="s">
        <v>1998</v>
      </c>
      <c r="L402" t="s">
        <v>2015</v>
      </c>
      <c r="M402" t="s">
        <v>2000</v>
      </c>
      <c r="N402" t="s">
        <v>1992</v>
      </c>
      <c r="O402" t="s">
        <v>1992</v>
      </c>
      <c r="P402" t="s">
        <v>1992</v>
      </c>
      <c r="Q402" t="s">
        <v>1992</v>
      </c>
      <c r="R402" t="s">
        <v>1992</v>
      </c>
      <c r="S402" t="s">
        <v>1992</v>
      </c>
      <c r="T402" t="s">
        <v>1992</v>
      </c>
      <c r="U402" t="s">
        <v>1992</v>
      </c>
      <c r="V402" t="s">
        <v>1991</v>
      </c>
      <c r="W402" t="s">
        <v>1992</v>
      </c>
      <c r="X402" t="s">
        <v>1992</v>
      </c>
      <c r="Y402" t="s">
        <v>1992</v>
      </c>
      <c r="Z402" t="s">
        <v>1991</v>
      </c>
      <c r="AA402" t="s">
        <v>1992</v>
      </c>
      <c r="AF402" t="s">
        <v>2016</v>
      </c>
      <c r="AG402" t="s">
        <v>1991</v>
      </c>
      <c r="AH402">
        <v>15</v>
      </c>
      <c r="AI402">
        <v>15</v>
      </c>
      <c r="AJ402" t="s">
        <v>195</v>
      </c>
      <c r="AK402">
        <v>4</v>
      </c>
      <c r="BX402" t="str">
        <f>""</f>
        <v/>
      </c>
      <c r="BY402" t="str">
        <f>""</f>
        <v/>
      </c>
      <c r="BZ402" t="str">
        <f>""</f>
        <v/>
      </c>
      <c r="CA402" t="str">
        <f>""</f>
        <v/>
      </c>
      <c r="CB402" t="str">
        <f>""</f>
        <v/>
      </c>
      <c r="CC402" t="str">
        <f>""</f>
        <v/>
      </c>
      <c r="CD402" t="str">
        <f>""</f>
        <v/>
      </c>
      <c r="CE402" t="str">
        <f>""</f>
        <v/>
      </c>
      <c r="CF402" t="str">
        <f>""</f>
        <v/>
      </c>
      <c r="CG402" t="str">
        <f>""</f>
        <v/>
      </c>
      <c r="CH402" t="str">
        <f>""</f>
        <v/>
      </c>
    </row>
    <row r="403" spans="1:86" x14ac:dyDescent="0.25">
      <c r="A403" t="s">
        <v>196</v>
      </c>
      <c r="B403" t="s">
        <v>197</v>
      </c>
      <c r="D403" t="s">
        <v>2089</v>
      </c>
      <c r="E403" t="s">
        <v>198</v>
      </c>
      <c r="F403" t="s">
        <v>497</v>
      </c>
      <c r="H403" t="s">
        <v>591</v>
      </c>
      <c r="I403" t="s">
        <v>2014</v>
      </c>
      <c r="J403" t="str">
        <f>"20895"</f>
        <v>20895</v>
      </c>
      <c r="K403" t="s">
        <v>1998</v>
      </c>
      <c r="L403" t="s">
        <v>499</v>
      </c>
      <c r="M403" t="s">
        <v>500</v>
      </c>
      <c r="O403" t="s">
        <v>1991</v>
      </c>
      <c r="AF403" t="s">
        <v>2016</v>
      </c>
      <c r="AG403" t="s">
        <v>1991</v>
      </c>
      <c r="AJ403" t="s">
        <v>2090</v>
      </c>
      <c r="AM403" t="s">
        <v>501</v>
      </c>
      <c r="BX403" t="str">
        <f>""</f>
        <v/>
      </c>
      <c r="BY403" t="str">
        <f>""</f>
        <v/>
      </c>
      <c r="BZ403" t="str">
        <f>""</f>
        <v/>
      </c>
      <c r="CA403" t="str">
        <f>""</f>
        <v/>
      </c>
      <c r="CB403" t="str">
        <f>""</f>
        <v/>
      </c>
      <c r="CC403" t="str">
        <f>""</f>
        <v/>
      </c>
      <c r="CD403" t="str">
        <f>""</f>
        <v/>
      </c>
      <c r="CE403" t="str">
        <f>""</f>
        <v/>
      </c>
      <c r="CF403" t="str">
        <f>""</f>
        <v/>
      </c>
      <c r="CG403" t="str">
        <f>""</f>
        <v/>
      </c>
      <c r="CH403" t="str">
        <f>""</f>
        <v/>
      </c>
    </row>
    <row r="404" spans="1:86" x14ac:dyDescent="0.25">
      <c r="A404" t="s">
        <v>199</v>
      </c>
      <c r="B404" t="s">
        <v>200</v>
      </c>
      <c r="C404" t="s">
        <v>1992</v>
      </c>
      <c r="D404" t="s">
        <v>1993</v>
      </c>
      <c r="E404" t="s">
        <v>201</v>
      </c>
      <c r="F404" t="s">
        <v>202</v>
      </c>
      <c r="H404" t="s">
        <v>203</v>
      </c>
      <c r="I404" t="s">
        <v>2061</v>
      </c>
      <c r="J404" t="str">
        <f>"93239"</f>
        <v>93239</v>
      </c>
      <c r="K404" t="s">
        <v>1998</v>
      </c>
      <c r="L404" t="s">
        <v>2062</v>
      </c>
      <c r="M404" t="s">
        <v>2063</v>
      </c>
      <c r="N404" t="s">
        <v>1992</v>
      </c>
      <c r="O404" t="s">
        <v>1992</v>
      </c>
      <c r="P404" t="s">
        <v>1992</v>
      </c>
      <c r="Q404" t="s">
        <v>1992</v>
      </c>
      <c r="R404" t="s">
        <v>1992</v>
      </c>
      <c r="S404" t="s">
        <v>1992</v>
      </c>
      <c r="T404" t="s">
        <v>1992</v>
      </c>
      <c r="U404" t="s">
        <v>1992</v>
      </c>
      <c r="V404" t="s">
        <v>1991</v>
      </c>
      <c r="W404" t="s">
        <v>1992</v>
      </c>
      <c r="X404" t="s">
        <v>1992</v>
      </c>
      <c r="Y404" t="s">
        <v>1992</v>
      </c>
      <c r="Z404" t="s">
        <v>1991</v>
      </c>
      <c r="AF404" t="s">
        <v>2064</v>
      </c>
      <c r="AG404" t="s">
        <v>1991</v>
      </c>
      <c r="AH404">
        <v>30</v>
      </c>
      <c r="AI404">
        <v>30</v>
      </c>
      <c r="AJ404" t="s">
        <v>204</v>
      </c>
      <c r="AK404">
        <v>355</v>
      </c>
      <c r="AM404" t="s">
        <v>2298</v>
      </c>
      <c r="AN404" t="s">
        <v>308</v>
      </c>
      <c r="AO404" t="s">
        <v>2063</v>
      </c>
      <c r="BF404" t="s">
        <v>1053</v>
      </c>
      <c r="BG404" t="s">
        <v>309</v>
      </c>
      <c r="BH404" t="s">
        <v>2301</v>
      </c>
      <c r="BI404" t="s">
        <v>1053</v>
      </c>
      <c r="BK404" t="s">
        <v>1053</v>
      </c>
      <c r="BO404" t="s">
        <v>1053</v>
      </c>
      <c r="BP404" t="s">
        <v>518</v>
      </c>
      <c r="BQ404" t="s">
        <v>3820</v>
      </c>
      <c r="BR404" t="s">
        <v>1053</v>
      </c>
      <c r="BT404" t="s">
        <v>1053</v>
      </c>
      <c r="BV404" t="s">
        <v>2070</v>
      </c>
      <c r="BW404">
        <v>0</v>
      </c>
      <c r="BX404" t="str">
        <f>""</f>
        <v/>
      </c>
      <c r="BY404" t="str">
        <f>""</f>
        <v/>
      </c>
      <c r="BZ404" t="str">
        <f>""</f>
        <v/>
      </c>
      <c r="CA404" t="str">
        <f>""</f>
        <v/>
      </c>
      <c r="CB404" t="str">
        <f>""</f>
        <v/>
      </c>
      <c r="CC404" t="str">
        <f>""</f>
        <v/>
      </c>
      <c r="CD404" t="str">
        <f>""</f>
        <v/>
      </c>
      <c r="CE404" t="str">
        <f>""</f>
        <v/>
      </c>
      <c r="CF404" t="str">
        <f>""</f>
        <v/>
      </c>
      <c r="CG404" t="str">
        <f>""</f>
        <v/>
      </c>
      <c r="CH404" t="str">
        <f>""</f>
        <v/>
      </c>
    </row>
    <row r="405" spans="1:86" x14ac:dyDescent="0.25">
      <c r="A405" t="s">
        <v>205</v>
      </c>
      <c r="B405" t="s">
        <v>206</v>
      </c>
      <c r="C405" t="s">
        <v>1992</v>
      </c>
      <c r="D405" t="s">
        <v>1993</v>
      </c>
      <c r="E405" t="s">
        <v>207</v>
      </c>
      <c r="H405" t="s">
        <v>208</v>
      </c>
      <c r="I405" t="s">
        <v>576</v>
      </c>
      <c r="J405" t="str">
        <f>"99141"</f>
        <v>99141</v>
      </c>
      <c r="K405" t="s">
        <v>1998</v>
      </c>
      <c r="L405" t="s">
        <v>231</v>
      </c>
      <c r="M405" t="s">
        <v>2000</v>
      </c>
      <c r="N405" t="s">
        <v>1992</v>
      </c>
      <c r="O405" t="s">
        <v>1992</v>
      </c>
      <c r="P405" t="s">
        <v>1992</v>
      </c>
      <c r="Q405" t="s">
        <v>1992</v>
      </c>
      <c r="R405" t="s">
        <v>1992</v>
      </c>
      <c r="S405" t="s">
        <v>1992</v>
      </c>
      <c r="T405" t="s">
        <v>1992</v>
      </c>
      <c r="U405" t="s">
        <v>1992</v>
      </c>
      <c r="V405" t="s">
        <v>1991</v>
      </c>
      <c r="Z405" t="s">
        <v>1991</v>
      </c>
      <c r="AF405" t="s">
        <v>2064</v>
      </c>
      <c r="AG405" t="s">
        <v>1991</v>
      </c>
      <c r="AH405">
        <v>15</v>
      </c>
      <c r="AI405">
        <v>15</v>
      </c>
      <c r="AJ405" t="s">
        <v>209</v>
      </c>
      <c r="AK405">
        <v>1636</v>
      </c>
      <c r="BX405" t="str">
        <f>""</f>
        <v/>
      </c>
      <c r="BY405" t="str">
        <f>""</f>
        <v/>
      </c>
      <c r="BZ405" t="str">
        <f>""</f>
        <v/>
      </c>
      <c r="CA405" t="str">
        <f>""</f>
        <v/>
      </c>
      <c r="CB405" t="str">
        <f>""</f>
        <v/>
      </c>
      <c r="CC405" t="str">
        <f>""</f>
        <v/>
      </c>
      <c r="CD405" t="str">
        <f>""</f>
        <v/>
      </c>
      <c r="CE405" t="str">
        <f>""</f>
        <v/>
      </c>
      <c r="CF405" t="str">
        <f>""</f>
        <v/>
      </c>
      <c r="CG405" t="str">
        <f>""</f>
        <v/>
      </c>
      <c r="CH405" t="str">
        <f>""</f>
        <v/>
      </c>
    </row>
    <row r="406" spans="1:86" x14ac:dyDescent="0.25">
      <c r="A406" t="s">
        <v>210</v>
      </c>
      <c r="B406" t="s">
        <v>211</v>
      </c>
      <c r="C406" t="s">
        <v>1992</v>
      </c>
      <c r="D406" t="s">
        <v>2010</v>
      </c>
      <c r="E406" t="s">
        <v>212</v>
      </c>
      <c r="H406" t="s">
        <v>213</v>
      </c>
      <c r="I406" t="s">
        <v>914</v>
      </c>
      <c r="J406" t="str">
        <f>"29556-3425"</f>
        <v>29556-3425</v>
      </c>
      <c r="K406" t="s">
        <v>1998</v>
      </c>
      <c r="L406" t="s">
        <v>408</v>
      </c>
      <c r="M406" t="s">
        <v>2063</v>
      </c>
      <c r="N406" t="s">
        <v>1992</v>
      </c>
      <c r="O406" t="s">
        <v>1992</v>
      </c>
      <c r="P406" t="s">
        <v>1992</v>
      </c>
      <c r="Q406" t="s">
        <v>1992</v>
      </c>
      <c r="R406" t="s">
        <v>1992</v>
      </c>
      <c r="S406" t="s">
        <v>1992</v>
      </c>
      <c r="T406" t="s">
        <v>1992</v>
      </c>
      <c r="U406" t="s">
        <v>1992</v>
      </c>
      <c r="V406" t="s">
        <v>1991</v>
      </c>
      <c r="W406" t="s">
        <v>1991</v>
      </c>
      <c r="X406" t="s">
        <v>1992</v>
      </c>
      <c r="Y406" t="s">
        <v>1992</v>
      </c>
      <c r="Z406" t="s">
        <v>1992</v>
      </c>
      <c r="AF406" t="s">
        <v>2016</v>
      </c>
      <c r="AG406" t="s">
        <v>1991</v>
      </c>
      <c r="AH406">
        <v>30</v>
      </c>
      <c r="AI406">
        <v>30</v>
      </c>
      <c r="AJ406" t="s">
        <v>214</v>
      </c>
      <c r="AK406">
        <v>48</v>
      </c>
      <c r="AL406">
        <v>4200</v>
      </c>
      <c r="BF406" t="s">
        <v>1053</v>
      </c>
      <c r="BG406" t="s">
        <v>703</v>
      </c>
      <c r="BH406" t="s">
        <v>215</v>
      </c>
      <c r="BI406" t="s">
        <v>1053</v>
      </c>
      <c r="BJ406" t="s">
        <v>1053</v>
      </c>
      <c r="BK406" t="s">
        <v>1053</v>
      </c>
      <c r="BL406" t="s">
        <v>1053</v>
      </c>
      <c r="BM406" t="s">
        <v>1049</v>
      </c>
      <c r="BN406" t="s">
        <v>1050</v>
      </c>
      <c r="BO406" t="s">
        <v>1053</v>
      </c>
      <c r="BP406" t="s">
        <v>653</v>
      </c>
      <c r="BQ406" t="s">
        <v>2127</v>
      </c>
      <c r="BR406" t="s">
        <v>1053</v>
      </c>
      <c r="BS406" t="s">
        <v>1053</v>
      </c>
      <c r="BT406" t="s">
        <v>1053</v>
      </c>
      <c r="BU406" t="s">
        <v>1053</v>
      </c>
      <c r="BV406" t="s">
        <v>1052</v>
      </c>
      <c r="BW406" t="s">
        <v>3470</v>
      </c>
      <c r="BX406" t="str">
        <f>""</f>
        <v/>
      </c>
      <c r="BY406" t="str">
        <f>""</f>
        <v/>
      </c>
      <c r="BZ406" t="str">
        <f>""</f>
        <v/>
      </c>
      <c r="CA406" t="str">
        <f>""</f>
        <v/>
      </c>
      <c r="CB406" t="str">
        <f>""</f>
        <v/>
      </c>
      <c r="CC406" t="str">
        <f>""</f>
        <v/>
      </c>
      <c r="CD406" t="str">
        <f>""</f>
        <v/>
      </c>
      <c r="CE406" t="str">
        <f>""</f>
        <v/>
      </c>
      <c r="CF406" t="str">
        <f>""</f>
        <v/>
      </c>
      <c r="CG406" t="str">
        <f>""</f>
        <v/>
      </c>
      <c r="CH406" t="str">
        <f>""</f>
        <v/>
      </c>
    </row>
    <row r="407" spans="1:86" x14ac:dyDescent="0.25">
      <c r="A407" t="s">
        <v>216</v>
      </c>
      <c r="B407" t="s">
        <v>217</v>
      </c>
      <c r="C407" t="s">
        <v>1992</v>
      </c>
      <c r="D407" t="s">
        <v>2010</v>
      </c>
      <c r="E407" t="s">
        <v>218</v>
      </c>
      <c r="H407" t="s">
        <v>219</v>
      </c>
      <c r="I407" t="s">
        <v>5524</v>
      </c>
      <c r="J407" t="str">
        <f>"63122-4202"</f>
        <v>63122-4202</v>
      </c>
      <c r="K407" t="s">
        <v>1998</v>
      </c>
      <c r="L407" t="s">
        <v>1999</v>
      </c>
      <c r="M407" t="s">
        <v>2063</v>
      </c>
      <c r="N407" t="s">
        <v>1992</v>
      </c>
      <c r="O407" t="s">
        <v>1991</v>
      </c>
      <c r="P407" t="s">
        <v>1992</v>
      </c>
      <c r="Q407" t="s">
        <v>1992</v>
      </c>
      <c r="R407" t="s">
        <v>1992</v>
      </c>
      <c r="S407" t="s">
        <v>1992</v>
      </c>
      <c r="T407" t="s">
        <v>1992</v>
      </c>
      <c r="U407" t="s">
        <v>1992</v>
      </c>
      <c r="V407" t="s">
        <v>1991</v>
      </c>
      <c r="W407" t="s">
        <v>1991</v>
      </c>
      <c r="X407" t="s">
        <v>1992</v>
      </c>
      <c r="Y407" t="s">
        <v>1992</v>
      </c>
      <c r="Z407" t="s">
        <v>1992</v>
      </c>
      <c r="AF407" t="s">
        <v>2001</v>
      </c>
      <c r="AG407" t="s">
        <v>1991</v>
      </c>
      <c r="AH407">
        <v>30</v>
      </c>
      <c r="AI407">
        <v>30</v>
      </c>
      <c r="AJ407" t="s">
        <v>2953</v>
      </c>
      <c r="AK407">
        <v>637</v>
      </c>
      <c r="AL407">
        <v>33000</v>
      </c>
      <c r="AM407" t="s">
        <v>2954</v>
      </c>
      <c r="AU407" t="s">
        <v>2955</v>
      </c>
      <c r="AV407" t="s">
        <v>1053</v>
      </c>
      <c r="BF407" t="s">
        <v>1053</v>
      </c>
      <c r="BG407" t="s">
        <v>2371</v>
      </c>
      <c r="BH407" t="s">
        <v>2372</v>
      </c>
      <c r="BI407" t="s">
        <v>1053</v>
      </c>
      <c r="BJ407" t="s">
        <v>1053</v>
      </c>
      <c r="BK407" t="s">
        <v>1053</v>
      </c>
      <c r="BL407" t="s">
        <v>1053</v>
      </c>
      <c r="BM407" t="s">
        <v>2373</v>
      </c>
      <c r="BN407" t="s">
        <v>2374</v>
      </c>
      <c r="BO407" t="s">
        <v>1053</v>
      </c>
      <c r="BP407" t="s">
        <v>653</v>
      </c>
      <c r="BQ407" t="s">
        <v>2376</v>
      </c>
      <c r="BR407" t="s">
        <v>2007</v>
      </c>
      <c r="BX407" t="str">
        <f>"SMTWTFS 0800-1700 2000-2100"</f>
        <v>SMTWTFS 0800-1700 2000-2100</v>
      </c>
      <c r="BY407" t="str">
        <f>""</f>
        <v/>
      </c>
      <c r="BZ407" t="str">
        <f>""</f>
        <v/>
      </c>
      <c r="CA407" t="str">
        <f>""</f>
        <v/>
      </c>
      <c r="CB407" t="str">
        <f>""</f>
        <v/>
      </c>
      <c r="CC407" t="str">
        <f>"SMTWTFS 0600-2200"</f>
        <v>SMTWTFS 0600-2200</v>
      </c>
      <c r="CD407" t="str">
        <f>""</f>
        <v/>
      </c>
      <c r="CE407" t="str">
        <f>""</f>
        <v/>
      </c>
      <c r="CF407" t="str">
        <f>""</f>
        <v/>
      </c>
      <c r="CG407" t="str">
        <f>""</f>
        <v/>
      </c>
      <c r="CH407" t="str">
        <f>""</f>
        <v/>
      </c>
    </row>
    <row r="408" spans="1:86" x14ac:dyDescent="0.25">
      <c r="A408" t="s">
        <v>2956</v>
      </c>
      <c r="B408" t="s">
        <v>2957</v>
      </c>
      <c r="C408" t="s">
        <v>1992</v>
      </c>
      <c r="D408" t="s">
        <v>2028</v>
      </c>
      <c r="E408" t="s">
        <v>2958</v>
      </c>
      <c r="H408" t="s">
        <v>2959</v>
      </c>
      <c r="I408" t="s">
        <v>2388</v>
      </c>
      <c r="J408" t="str">
        <f>"15650"</f>
        <v>15650</v>
      </c>
      <c r="K408" t="s">
        <v>1998</v>
      </c>
      <c r="L408" t="s">
        <v>2015</v>
      </c>
      <c r="M408" t="s">
        <v>2063</v>
      </c>
      <c r="N408" t="s">
        <v>1992</v>
      </c>
      <c r="O408" t="s">
        <v>1992</v>
      </c>
      <c r="P408" t="s">
        <v>1992</v>
      </c>
      <c r="Q408" t="s">
        <v>1992</v>
      </c>
      <c r="R408" t="s">
        <v>1992</v>
      </c>
      <c r="S408" t="s">
        <v>1992</v>
      </c>
      <c r="T408" t="s">
        <v>1992</v>
      </c>
      <c r="U408" t="s">
        <v>1992</v>
      </c>
      <c r="V408" t="s">
        <v>1991</v>
      </c>
      <c r="W408" t="s">
        <v>1991</v>
      </c>
      <c r="X408" t="s">
        <v>1991</v>
      </c>
      <c r="Y408" t="s">
        <v>1992</v>
      </c>
      <c r="Z408" t="s">
        <v>1992</v>
      </c>
      <c r="AF408" t="s">
        <v>2016</v>
      </c>
      <c r="AG408" t="s">
        <v>1991</v>
      </c>
      <c r="AH408">
        <v>30</v>
      </c>
      <c r="AI408">
        <v>30</v>
      </c>
      <c r="AJ408" t="s">
        <v>2960</v>
      </c>
      <c r="AK408">
        <v>1005</v>
      </c>
      <c r="AL408">
        <v>11800</v>
      </c>
      <c r="AN408" t="s">
        <v>425</v>
      </c>
      <c r="AO408" t="s">
        <v>2063</v>
      </c>
      <c r="BF408" t="s">
        <v>1053</v>
      </c>
      <c r="BG408" t="s">
        <v>2393</v>
      </c>
      <c r="BH408" t="s">
        <v>2394</v>
      </c>
      <c r="BI408" t="s">
        <v>1053</v>
      </c>
      <c r="BJ408" t="s">
        <v>1053</v>
      </c>
      <c r="BK408" t="s">
        <v>1053</v>
      </c>
      <c r="BL408" t="s">
        <v>1053</v>
      </c>
      <c r="BM408" t="s">
        <v>2395</v>
      </c>
      <c r="BN408" t="s">
        <v>2396</v>
      </c>
      <c r="BO408" t="s">
        <v>1053</v>
      </c>
      <c r="BP408" t="s">
        <v>2397</v>
      </c>
      <c r="BQ408" t="s">
        <v>2398</v>
      </c>
      <c r="BR408" t="s">
        <v>1053</v>
      </c>
      <c r="BS408" t="s">
        <v>1053</v>
      </c>
      <c r="BT408" t="s">
        <v>1053</v>
      </c>
      <c r="BU408" t="s">
        <v>1053</v>
      </c>
      <c r="BV408" t="s">
        <v>2399</v>
      </c>
      <c r="BW408" t="s">
        <v>2400</v>
      </c>
      <c r="BX408" t="str">
        <f>"S------ 1345-1445 1815-1915; -MTWTFS 0740-0840 1815-1915"</f>
        <v>S------ 1345-1445 1815-1915; -MTWTFS 0740-0840 1815-1915</v>
      </c>
      <c r="BY408" t="str">
        <f>""</f>
        <v/>
      </c>
      <c r="BZ408" t="str">
        <f>""</f>
        <v/>
      </c>
      <c r="CA408" t="str">
        <f>""</f>
        <v/>
      </c>
      <c r="CB408" t="str">
        <f>""</f>
        <v/>
      </c>
      <c r="CC408" t="str">
        <f>""</f>
        <v/>
      </c>
      <c r="CD408" t="str">
        <f>""</f>
        <v/>
      </c>
      <c r="CE408" t="str">
        <f>""</f>
        <v/>
      </c>
      <c r="CF408" t="str">
        <f>""</f>
        <v/>
      </c>
      <c r="CG408" t="str">
        <f>""</f>
        <v/>
      </c>
      <c r="CH408" t="str">
        <f>""</f>
        <v/>
      </c>
    </row>
    <row r="409" spans="1:86" x14ac:dyDescent="0.25">
      <c r="A409" t="s">
        <v>2961</v>
      </c>
      <c r="B409" t="s">
        <v>2962</v>
      </c>
      <c r="C409" t="s">
        <v>1992</v>
      </c>
      <c r="D409" t="s">
        <v>2010</v>
      </c>
      <c r="E409" t="s">
        <v>2963</v>
      </c>
      <c r="F409" t="s">
        <v>828</v>
      </c>
      <c r="G409" t="s">
        <v>2964</v>
      </c>
      <c r="H409" t="s">
        <v>2965</v>
      </c>
      <c r="I409" t="s">
        <v>2295</v>
      </c>
      <c r="J409" t="str">
        <f>"97850"</f>
        <v>97850</v>
      </c>
      <c r="K409" t="s">
        <v>1998</v>
      </c>
      <c r="L409" t="s">
        <v>231</v>
      </c>
      <c r="M409" t="s">
        <v>2966</v>
      </c>
      <c r="N409" t="s">
        <v>1992</v>
      </c>
      <c r="O409" t="s">
        <v>1992</v>
      </c>
      <c r="P409" t="s">
        <v>1992</v>
      </c>
      <c r="Q409" t="s">
        <v>1992</v>
      </c>
      <c r="R409" t="s">
        <v>1992</v>
      </c>
      <c r="S409" t="s">
        <v>1992</v>
      </c>
      <c r="T409" t="s">
        <v>1992</v>
      </c>
      <c r="U409" t="s">
        <v>1992</v>
      </c>
      <c r="V409" t="s">
        <v>1991</v>
      </c>
      <c r="W409" t="s">
        <v>1992</v>
      </c>
      <c r="X409" t="s">
        <v>1992</v>
      </c>
      <c r="Y409" t="s">
        <v>1992</v>
      </c>
      <c r="Z409" t="s">
        <v>1991</v>
      </c>
      <c r="AE409" t="s">
        <v>448</v>
      </c>
      <c r="AF409" t="s">
        <v>2064</v>
      </c>
      <c r="AG409" t="s">
        <v>1991</v>
      </c>
      <c r="AH409">
        <v>30</v>
      </c>
      <c r="AI409">
        <v>30</v>
      </c>
      <c r="AJ409" t="s">
        <v>2967</v>
      </c>
      <c r="AK409">
        <v>2766</v>
      </c>
      <c r="AL409">
        <v>10000</v>
      </c>
      <c r="AM409" t="s">
        <v>2298</v>
      </c>
      <c r="AN409" t="s">
        <v>3819</v>
      </c>
      <c r="AO409" t="s">
        <v>2063</v>
      </c>
      <c r="AU409" t="s">
        <v>2968</v>
      </c>
      <c r="AV409" t="s">
        <v>1053</v>
      </c>
      <c r="BF409" t="s">
        <v>1053</v>
      </c>
      <c r="BG409" t="s">
        <v>394</v>
      </c>
      <c r="BH409" t="s">
        <v>311</v>
      </c>
      <c r="BI409" t="s">
        <v>1053</v>
      </c>
      <c r="BJ409" t="s">
        <v>1053</v>
      </c>
      <c r="BK409" t="s">
        <v>1053</v>
      </c>
      <c r="BL409" t="s">
        <v>1053</v>
      </c>
      <c r="BO409" t="s">
        <v>1053</v>
      </c>
      <c r="BP409" t="s">
        <v>357</v>
      </c>
      <c r="BQ409" t="s">
        <v>357</v>
      </c>
      <c r="BR409" t="s">
        <v>2063</v>
      </c>
      <c r="BX409" t="str">
        <f>"-MTWTFS 0830-1100 1600-1800"</f>
        <v>-MTWTFS 0830-1100 1600-1800</v>
      </c>
      <c r="BY409" t="str">
        <f>""</f>
        <v/>
      </c>
      <c r="BZ409" t="str">
        <f>""</f>
        <v/>
      </c>
      <c r="CA409" t="str">
        <f>""</f>
        <v/>
      </c>
      <c r="CB409" t="str">
        <f>""</f>
        <v/>
      </c>
      <c r="CC409" t="str">
        <f>""</f>
        <v/>
      </c>
      <c r="CD409" t="str">
        <f>""</f>
        <v/>
      </c>
      <c r="CE409" t="str">
        <f>""</f>
        <v/>
      </c>
      <c r="CF409" t="str">
        <f>""</f>
        <v/>
      </c>
      <c r="CG409" t="str">
        <f>""</f>
        <v/>
      </c>
      <c r="CH409" t="str">
        <f>""</f>
        <v/>
      </c>
    </row>
    <row r="410" spans="1:86" x14ac:dyDescent="0.25">
      <c r="A410" t="s">
        <v>2969</v>
      </c>
      <c r="B410" t="s">
        <v>2970</v>
      </c>
      <c r="C410" t="s">
        <v>1992</v>
      </c>
      <c r="D410" t="s">
        <v>2010</v>
      </c>
      <c r="E410" t="s">
        <v>2971</v>
      </c>
      <c r="H410" t="s">
        <v>2972</v>
      </c>
      <c r="I410" t="s">
        <v>3623</v>
      </c>
      <c r="J410" t="str">
        <f>"47901-1238"</f>
        <v>47901-1238</v>
      </c>
      <c r="K410" t="s">
        <v>1998</v>
      </c>
      <c r="L410" t="s">
        <v>1999</v>
      </c>
      <c r="M410" t="s">
        <v>2063</v>
      </c>
      <c r="N410" t="s">
        <v>1992</v>
      </c>
      <c r="O410" t="s">
        <v>1991</v>
      </c>
      <c r="P410" t="s">
        <v>1992</v>
      </c>
      <c r="Q410" t="s">
        <v>1992</v>
      </c>
      <c r="R410" t="s">
        <v>1992</v>
      </c>
      <c r="S410" t="s">
        <v>1992</v>
      </c>
      <c r="T410" t="s">
        <v>1992</v>
      </c>
      <c r="U410" t="s">
        <v>1992</v>
      </c>
      <c r="V410" t="s">
        <v>1991</v>
      </c>
      <c r="W410" t="s">
        <v>1991</v>
      </c>
      <c r="X410" t="s">
        <v>1992</v>
      </c>
      <c r="Y410" t="s">
        <v>1992</v>
      </c>
      <c r="Z410" t="s">
        <v>1992</v>
      </c>
      <c r="AA410" t="s">
        <v>1991</v>
      </c>
      <c r="AF410" t="s">
        <v>2016</v>
      </c>
      <c r="AG410" t="s">
        <v>1991</v>
      </c>
      <c r="AH410">
        <v>30</v>
      </c>
      <c r="AI410">
        <v>30</v>
      </c>
      <c r="AJ410" t="s">
        <v>2973</v>
      </c>
      <c r="AK410">
        <v>541</v>
      </c>
      <c r="AL410">
        <v>43764</v>
      </c>
      <c r="AN410" t="s">
        <v>2066</v>
      </c>
      <c r="AO410" t="s">
        <v>2311</v>
      </c>
      <c r="BF410" t="s">
        <v>1053</v>
      </c>
      <c r="BG410" t="s">
        <v>2097</v>
      </c>
      <c r="BH410" t="s">
        <v>2312</v>
      </c>
      <c r="BI410" t="s">
        <v>1053</v>
      </c>
      <c r="BJ410" t="s">
        <v>2069</v>
      </c>
      <c r="BK410" t="s">
        <v>1053</v>
      </c>
      <c r="BL410" t="s">
        <v>2069</v>
      </c>
      <c r="BM410" t="s">
        <v>2313</v>
      </c>
      <c r="BN410" t="s">
        <v>2314</v>
      </c>
      <c r="BO410" t="s">
        <v>1053</v>
      </c>
      <c r="BP410" t="s">
        <v>301</v>
      </c>
      <c r="BQ410" t="s">
        <v>2316</v>
      </c>
      <c r="BR410" t="s">
        <v>1053</v>
      </c>
      <c r="BT410" t="s">
        <v>1053</v>
      </c>
      <c r="BX410" t="str">
        <f>"SMTWTFS 0600-2200"</f>
        <v>SMTWTFS 0600-2200</v>
      </c>
      <c r="BY410" t="str">
        <f>""</f>
        <v/>
      </c>
      <c r="BZ410" t="str">
        <f>""</f>
        <v/>
      </c>
      <c r="CA410" t="str">
        <f>""</f>
        <v/>
      </c>
      <c r="CB410" t="str">
        <f>""</f>
        <v/>
      </c>
      <c r="CC410" t="str">
        <f>"SMTWTFS 0600-2200"</f>
        <v>SMTWTFS 0600-2200</v>
      </c>
      <c r="CD410" t="str">
        <f>""</f>
        <v/>
      </c>
      <c r="CE410" t="str">
        <f>""</f>
        <v/>
      </c>
      <c r="CF410" t="str">
        <f>""</f>
        <v/>
      </c>
      <c r="CG410" t="str">
        <f>""</f>
        <v/>
      </c>
      <c r="CH410" t="str">
        <f>""</f>
        <v/>
      </c>
    </row>
    <row r="411" spans="1:86" x14ac:dyDescent="0.25">
      <c r="A411" t="s">
        <v>2974</v>
      </c>
      <c r="B411" t="s">
        <v>2975</v>
      </c>
      <c r="C411" t="s">
        <v>1992</v>
      </c>
      <c r="D411" t="s">
        <v>2028</v>
      </c>
      <c r="E411" t="s">
        <v>2976</v>
      </c>
      <c r="H411" t="s">
        <v>2977</v>
      </c>
      <c r="I411" t="s">
        <v>2367</v>
      </c>
      <c r="J411" t="str">
        <f>"60525"</f>
        <v>60525</v>
      </c>
      <c r="K411" t="s">
        <v>1998</v>
      </c>
      <c r="L411" t="s">
        <v>1999</v>
      </c>
      <c r="M411" t="s">
        <v>2000</v>
      </c>
      <c r="N411" t="s">
        <v>1992</v>
      </c>
      <c r="O411" t="s">
        <v>1992</v>
      </c>
      <c r="P411" t="s">
        <v>1992</v>
      </c>
      <c r="Q411" t="s">
        <v>1992</v>
      </c>
      <c r="R411" t="s">
        <v>1992</v>
      </c>
      <c r="S411" t="s">
        <v>1992</v>
      </c>
      <c r="T411" t="s">
        <v>1992</v>
      </c>
      <c r="U411" t="s">
        <v>1992</v>
      </c>
      <c r="V411" t="s">
        <v>1991</v>
      </c>
      <c r="W411" t="s">
        <v>1991</v>
      </c>
      <c r="X411" t="s">
        <v>1991</v>
      </c>
      <c r="Y411" t="s">
        <v>1992</v>
      </c>
      <c r="Z411" t="s">
        <v>1992</v>
      </c>
      <c r="AF411" t="s">
        <v>2001</v>
      </c>
      <c r="AG411" t="s">
        <v>1991</v>
      </c>
      <c r="AH411">
        <v>30</v>
      </c>
      <c r="AI411">
        <v>30</v>
      </c>
      <c r="AJ411" t="s">
        <v>2978</v>
      </c>
      <c r="AK411">
        <v>640</v>
      </c>
      <c r="AL411">
        <v>100000</v>
      </c>
      <c r="BF411" t="s">
        <v>1053</v>
      </c>
      <c r="BG411" t="s">
        <v>2097</v>
      </c>
      <c r="BH411" t="s">
        <v>798</v>
      </c>
      <c r="BI411" t="s">
        <v>1053</v>
      </c>
      <c r="BK411" t="s">
        <v>1053</v>
      </c>
      <c r="BL411" t="s">
        <v>1053</v>
      </c>
      <c r="BO411" t="s">
        <v>1053</v>
      </c>
      <c r="BP411" t="s">
        <v>653</v>
      </c>
      <c r="BQ411" t="s">
        <v>2979</v>
      </c>
      <c r="BR411" t="s">
        <v>1053</v>
      </c>
      <c r="BT411" t="s">
        <v>1053</v>
      </c>
      <c r="BX411" t="str">
        <f>""</f>
        <v/>
      </c>
      <c r="BY411" t="str">
        <f>""</f>
        <v/>
      </c>
      <c r="BZ411" t="str">
        <f>""</f>
        <v/>
      </c>
      <c r="CA411" t="str">
        <f>""</f>
        <v/>
      </c>
      <c r="CB411" t="str">
        <f>""</f>
        <v/>
      </c>
      <c r="CC411" t="str">
        <f>""</f>
        <v/>
      </c>
      <c r="CD411" t="str">
        <f>""</f>
        <v/>
      </c>
      <c r="CE411" t="str">
        <f>""</f>
        <v/>
      </c>
      <c r="CF411" t="str">
        <f>""</f>
        <v/>
      </c>
      <c r="CG411" t="str">
        <f>""</f>
        <v/>
      </c>
      <c r="CH411" t="str">
        <f>""</f>
        <v/>
      </c>
    </row>
    <row r="412" spans="1:86" x14ac:dyDescent="0.25">
      <c r="A412" t="s">
        <v>2980</v>
      </c>
      <c r="B412" t="s">
        <v>2981</v>
      </c>
      <c r="C412" t="s">
        <v>1991</v>
      </c>
      <c r="D412" t="s">
        <v>2010</v>
      </c>
      <c r="E412" t="s">
        <v>2982</v>
      </c>
      <c r="H412" t="s">
        <v>2983</v>
      </c>
      <c r="I412" t="s">
        <v>3629</v>
      </c>
      <c r="J412" t="str">
        <f>"81050"</f>
        <v>81050</v>
      </c>
      <c r="K412" t="s">
        <v>1998</v>
      </c>
      <c r="L412" t="s">
        <v>2045</v>
      </c>
      <c r="M412" t="s">
        <v>2984</v>
      </c>
      <c r="N412" t="s">
        <v>1991</v>
      </c>
      <c r="O412" t="s">
        <v>1992</v>
      </c>
      <c r="P412" t="s">
        <v>1992</v>
      </c>
      <c r="Q412" t="s">
        <v>1991</v>
      </c>
      <c r="R412" t="s">
        <v>1991</v>
      </c>
      <c r="S412" t="s">
        <v>1992</v>
      </c>
      <c r="T412" t="s">
        <v>1992</v>
      </c>
      <c r="U412" t="s">
        <v>1991</v>
      </c>
      <c r="V412" t="s">
        <v>1991</v>
      </c>
      <c r="W412" t="s">
        <v>1991</v>
      </c>
      <c r="X412" t="s">
        <v>1992</v>
      </c>
      <c r="Y412" t="s">
        <v>1992</v>
      </c>
      <c r="Z412" t="s">
        <v>1992</v>
      </c>
      <c r="AE412" t="s">
        <v>2047</v>
      </c>
      <c r="AF412" t="s">
        <v>2048</v>
      </c>
      <c r="AG412" t="s">
        <v>1991</v>
      </c>
      <c r="AH412">
        <v>60</v>
      </c>
      <c r="AI412">
        <v>30</v>
      </c>
      <c r="AJ412" t="s">
        <v>2985</v>
      </c>
      <c r="AK412">
        <v>4068</v>
      </c>
      <c r="AL412">
        <v>10000</v>
      </c>
      <c r="AN412" t="s">
        <v>1053</v>
      </c>
      <c r="AO412" t="s">
        <v>1053</v>
      </c>
      <c r="AQ412" t="s">
        <v>1053</v>
      </c>
      <c r="AS412" t="s">
        <v>2980</v>
      </c>
      <c r="AT412" t="s">
        <v>2986</v>
      </c>
      <c r="BF412" t="s">
        <v>1053</v>
      </c>
      <c r="BG412" t="s">
        <v>2019</v>
      </c>
      <c r="BH412" t="s">
        <v>2053</v>
      </c>
      <c r="BI412" t="s">
        <v>1053</v>
      </c>
      <c r="BO412" t="s">
        <v>1053</v>
      </c>
      <c r="BP412" t="s">
        <v>2054</v>
      </c>
      <c r="BQ412" t="s">
        <v>2055</v>
      </c>
      <c r="BR412" t="s">
        <v>1053</v>
      </c>
      <c r="BS412" t="s">
        <v>1053</v>
      </c>
      <c r="BV412" t="s">
        <v>2056</v>
      </c>
      <c r="BX412" t="str">
        <f>"S---TFS 0700-1000 1800-2100; -MTW--- 0700-1300 1500-2100"</f>
        <v>S---TFS 0700-1000 1800-2100; -MTW--- 0700-1300 1500-2100</v>
      </c>
      <c r="BY412" t="str">
        <f>"S---TFS 0700-1000 1800-2100; -MTW--- 0700-1300 1500-2100"</f>
        <v>S---TFS 0700-1000 1800-2100; -MTW--- 0700-1300 1500-2100</v>
      </c>
      <c r="BZ412" t="str">
        <f>"S---TFS 0700-1000 1800-2100; -MTW--- 0700-1300 1500-2100"</f>
        <v>S---TFS 0700-1000 1800-2100; -MTW--- 0700-1300 1500-2100</v>
      </c>
      <c r="CA412" t="str">
        <f>"S---TFS 0700-1000 1800-2100; -MTW--- 0700-1300 1500-2100"</f>
        <v>S---TFS 0700-1000 1800-2100; -MTW--- 0700-1300 1500-2100</v>
      </c>
      <c r="CB412" t="str">
        <f>""</f>
        <v/>
      </c>
      <c r="CC412" t="str">
        <f>""</f>
        <v/>
      </c>
      <c r="CD412" t="str">
        <f>""</f>
        <v/>
      </c>
      <c r="CE412" t="str">
        <f>""</f>
        <v/>
      </c>
      <c r="CF412" t="str">
        <f>"S---TFS 0700-1000 1800-2100; -MTW--- 0700-1300 1500-2100"</f>
        <v>S---TFS 0700-1000 1800-2100; -MTW--- 0700-1300 1500-2100</v>
      </c>
      <c r="CG412" t="str">
        <f>""</f>
        <v/>
      </c>
      <c r="CH412" t="str">
        <f>""</f>
        <v/>
      </c>
    </row>
    <row r="413" spans="1:86" x14ac:dyDescent="0.25">
      <c r="A413" t="s">
        <v>2987</v>
      </c>
      <c r="B413" t="s">
        <v>2988</v>
      </c>
      <c r="C413" t="s">
        <v>1991</v>
      </c>
      <c r="D413" t="s">
        <v>2010</v>
      </c>
      <c r="E413" t="s">
        <v>2989</v>
      </c>
      <c r="H413" t="s">
        <v>2990</v>
      </c>
      <c r="I413" t="s">
        <v>558</v>
      </c>
      <c r="J413" t="str">
        <f>"33801-5036"</f>
        <v>33801-5036</v>
      </c>
      <c r="K413" t="s">
        <v>1998</v>
      </c>
      <c r="L413" t="s">
        <v>408</v>
      </c>
      <c r="M413" t="s">
        <v>2991</v>
      </c>
      <c r="N413" t="s">
        <v>1991</v>
      </c>
      <c r="O413" t="s">
        <v>1992</v>
      </c>
      <c r="P413" t="s">
        <v>1992</v>
      </c>
      <c r="Q413" t="s">
        <v>1991</v>
      </c>
      <c r="R413" t="s">
        <v>1992</v>
      </c>
      <c r="S413" t="s">
        <v>1992</v>
      </c>
      <c r="T413" t="s">
        <v>1992</v>
      </c>
      <c r="U413" t="s">
        <v>1991</v>
      </c>
      <c r="V413" t="s">
        <v>1991</v>
      </c>
      <c r="W413" t="s">
        <v>1991</v>
      </c>
      <c r="X413" t="s">
        <v>1992</v>
      </c>
      <c r="Y413" t="s">
        <v>1991</v>
      </c>
      <c r="Z413" t="s">
        <v>1992</v>
      </c>
      <c r="AA413" t="s">
        <v>1992</v>
      </c>
      <c r="AB413" t="s">
        <v>2992</v>
      </c>
      <c r="AE413" t="s">
        <v>2047</v>
      </c>
      <c r="AF413" t="s">
        <v>2016</v>
      </c>
      <c r="AG413" t="s">
        <v>1991</v>
      </c>
      <c r="AH413">
        <v>60</v>
      </c>
      <c r="AI413">
        <v>30</v>
      </c>
      <c r="AJ413" t="s">
        <v>2993</v>
      </c>
      <c r="AK413">
        <v>183</v>
      </c>
      <c r="AL413">
        <v>90207</v>
      </c>
      <c r="AN413" t="s">
        <v>1053</v>
      </c>
      <c r="AO413" t="s">
        <v>1053</v>
      </c>
      <c r="AP413" t="s">
        <v>2069</v>
      </c>
      <c r="AQ413" t="s">
        <v>1053</v>
      </c>
      <c r="AR413" t="s">
        <v>2069</v>
      </c>
      <c r="AS413" t="s">
        <v>2987</v>
      </c>
      <c r="AT413" t="s">
        <v>2994</v>
      </c>
      <c r="AU413" t="s">
        <v>1053</v>
      </c>
      <c r="AV413" t="s">
        <v>1053</v>
      </c>
      <c r="AW413" t="s">
        <v>2069</v>
      </c>
      <c r="AX413" t="s">
        <v>1053</v>
      </c>
      <c r="AY413" t="s">
        <v>2069</v>
      </c>
      <c r="AZ413" t="s">
        <v>2987</v>
      </c>
      <c r="BA413" t="s">
        <v>2994</v>
      </c>
      <c r="BB413" t="s">
        <v>1053</v>
      </c>
      <c r="BC413" t="s">
        <v>2069</v>
      </c>
      <c r="BD413" t="s">
        <v>1053</v>
      </c>
      <c r="BE413" t="s">
        <v>2069</v>
      </c>
      <c r="BF413" t="s">
        <v>1053</v>
      </c>
      <c r="BG413" t="s">
        <v>2995</v>
      </c>
      <c r="BH413" t="s">
        <v>2996</v>
      </c>
      <c r="BI413" t="s">
        <v>1053</v>
      </c>
      <c r="BJ413" t="s">
        <v>2069</v>
      </c>
      <c r="BK413" t="s">
        <v>1053</v>
      </c>
      <c r="BL413" t="s">
        <v>2069</v>
      </c>
      <c r="BM413" t="s">
        <v>1138</v>
      </c>
      <c r="BN413" t="s">
        <v>562</v>
      </c>
      <c r="BO413" t="s">
        <v>1053</v>
      </c>
      <c r="BP413" t="s">
        <v>653</v>
      </c>
      <c r="BQ413" t="s">
        <v>564</v>
      </c>
      <c r="BR413" t="s">
        <v>1053</v>
      </c>
      <c r="BS413" t="s">
        <v>1053</v>
      </c>
      <c r="BT413" t="s">
        <v>1053</v>
      </c>
      <c r="BU413" t="s">
        <v>1053</v>
      </c>
      <c r="BV413" t="s">
        <v>1052</v>
      </c>
      <c r="BW413" t="s">
        <v>170</v>
      </c>
      <c r="BX413" t="str">
        <f>"SMTWTFS 1000-1800"</f>
        <v>SMTWTFS 1000-1800</v>
      </c>
      <c r="BY413" t="str">
        <f>"SMTWTFS 1000-1800"</f>
        <v>SMTWTFS 1000-1800</v>
      </c>
      <c r="BZ413" t="str">
        <f>"SMTWTFS 1000-1800"</f>
        <v>SMTWTFS 1000-1800</v>
      </c>
      <c r="CA413" t="str">
        <f>"SMTWTFS 1015-1800"</f>
        <v>SMTWTFS 1015-1800</v>
      </c>
      <c r="CB413" t="str">
        <f>""</f>
        <v/>
      </c>
      <c r="CC413" t="str">
        <f>""</f>
        <v/>
      </c>
      <c r="CD413" t="str">
        <f>""</f>
        <v/>
      </c>
      <c r="CE413" t="str">
        <f>""</f>
        <v/>
      </c>
      <c r="CF413" t="str">
        <f>""</f>
        <v/>
      </c>
      <c r="CG413" t="str">
        <f>""</f>
        <v/>
      </c>
      <c r="CH413" t="str">
        <f>""</f>
        <v/>
      </c>
    </row>
    <row r="414" spans="1:86" x14ac:dyDescent="0.25">
      <c r="A414" t="s">
        <v>2997</v>
      </c>
      <c r="B414" t="s">
        <v>2998</v>
      </c>
      <c r="C414" t="s">
        <v>1992</v>
      </c>
      <c r="D414" t="s">
        <v>1993</v>
      </c>
      <c r="E414" t="s">
        <v>2999</v>
      </c>
      <c r="F414" t="s">
        <v>3000</v>
      </c>
      <c r="H414" t="s">
        <v>3001</v>
      </c>
      <c r="I414" t="s">
        <v>2352</v>
      </c>
      <c r="J414" t="str">
        <f>"49946"</f>
        <v>49946</v>
      </c>
      <c r="K414" t="s">
        <v>1998</v>
      </c>
      <c r="L414" t="s">
        <v>1999</v>
      </c>
      <c r="M414" t="s">
        <v>2063</v>
      </c>
      <c r="N414" t="s">
        <v>1992</v>
      </c>
      <c r="O414" t="s">
        <v>1992</v>
      </c>
      <c r="P414" t="s">
        <v>1992</v>
      </c>
      <c r="Q414" t="s">
        <v>1992</v>
      </c>
      <c r="R414" t="s">
        <v>1992</v>
      </c>
      <c r="S414" t="s">
        <v>1992</v>
      </c>
      <c r="T414" t="s">
        <v>1992</v>
      </c>
      <c r="U414" t="s">
        <v>1992</v>
      </c>
      <c r="V414" t="s">
        <v>1991</v>
      </c>
      <c r="Z414" t="s">
        <v>1991</v>
      </c>
      <c r="AF414" t="s">
        <v>2016</v>
      </c>
      <c r="AG414" t="s">
        <v>1991</v>
      </c>
      <c r="AH414">
        <v>15</v>
      </c>
      <c r="AI414">
        <v>15</v>
      </c>
      <c r="AJ414" t="s">
        <v>3002</v>
      </c>
      <c r="AK414">
        <v>613</v>
      </c>
      <c r="BF414" t="s">
        <v>1053</v>
      </c>
      <c r="BG414" t="s">
        <v>2003</v>
      </c>
      <c r="BH414" t="s">
        <v>2004</v>
      </c>
      <c r="BI414" t="s">
        <v>1053</v>
      </c>
      <c r="BK414" t="s">
        <v>1053</v>
      </c>
      <c r="BM414" t="s">
        <v>287</v>
      </c>
      <c r="BO414" t="s">
        <v>1053</v>
      </c>
      <c r="BP414" t="s">
        <v>3003</v>
      </c>
      <c r="BQ414" t="s">
        <v>2006</v>
      </c>
      <c r="BR414" t="s">
        <v>1053</v>
      </c>
      <c r="BS414" t="s">
        <v>1053</v>
      </c>
      <c r="BT414" t="s">
        <v>1053</v>
      </c>
      <c r="BU414" t="s">
        <v>1053</v>
      </c>
      <c r="BX414" t="str">
        <f>""</f>
        <v/>
      </c>
      <c r="BY414" t="str">
        <f>""</f>
        <v/>
      </c>
      <c r="BZ414" t="str">
        <f>""</f>
        <v/>
      </c>
      <c r="CA414" t="str">
        <f>""</f>
        <v/>
      </c>
      <c r="CB414" t="str">
        <f>""</f>
        <v/>
      </c>
      <c r="CC414" t="str">
        <f>""</f>
        <v/>
      </c>
      <c r="CD414" t="str">
        <f>""</f>
        <v/>
      </c>
      <c r="CE414" t="str">
        <f>""</f>
        <v/>
      </c>
      <c r="CF414" t="str">
        <f>""</f>
        <v/>
      </c>
      <c r="CG414" t="str">
        <f>""</f>
        <v/>
      </c>
      <c r="CH414" t="str">
        <f>""</f>
        <v/>
      </c>
    </row>
    <row r="415" spans="1:86" x14ac:dyDescent="0.25">
      <c r="A415" t="s">
        <v>3004</v>
      </c>
      <c r="B415" t="s">
        <v>3005</v>
      </c>
      <c r="C415" t="s">
        <v>1992</v>
      </c>
      <c r="D415" t="s">
        <v>2010</v>
      </c>
      <c r="E415" t="s">
        <v>3006</v>
      </c>
      <c r="F415" t="s">
        <v>3007</v>
      </c>
      <c r="G415" t="s">
        <v>3008</v>
      </c>
      <c r="H415" t="s">
        <v>3009</v>
      </c>
      <c r="I415" t="s">
        <v>5524</v>
      </c>
      <c r="J415" t="str">
        <f>"63549"</f>
        <v>63549</v>
      </c>
      <c r="K415" t="s">
        <v>1998</v>
      </c>
      <c r="L415" t="s">
        <v>1999</v>
      </c>
      <c r="M415" t="s">
        <v>3010</v>
      </c>
      <c r="N415" t="s">
        <v>1992</v>
      </c>
      <c r="O415" t="s">
        <v>1992</v>
      </c>
      <c r="P415" t="s">
        <v>1992</v>
      </c>
      <c r="Q415" t="s">
        <v>1992</v>
      </c>
      <c r="R415" t="s">
        <v>1992</v>
      </c>
      <c r="S415" t="s">
        <v>1992</v>
      </c>
      <c r="T415" t="s">
        <v>1992</v>
      </c>
      <c r="U415" t="s">
        <v>1992</v>
      </c>
      <c r="V415" t="s">
        <v>1991</v>
      </c>
      <c r="W415" t="s">
        <v>1991</v>
      </c>
      <c r="X415" t="s">
        <v>1992</v>
      </c>
      <c r="Y415" t="s">
        <v>1992</v>
      </c>
      <c r="Z415" t="s">
        <v>1992</v>
      </c>
      <c r="AF415" t="s">
        <v>2001</v>
      </c>
      <c r="AG415" t="s">
        <v>1991</v>
      </c>
      <c r="AH415">
        <v>30</v>
      </c>
      <c r="AI415">
        <v>30</v>
      </c>
      <c r="AJ415" t="s">
        <v>3011</v>
      </c>
      <c r="AK415">
        <v>917</v>
      </c>
      <c r="AL415">
        <v>1445</v>
      </c>
      <c r="AM415" t="s">
        <v>3012</v>
      </c>
      <c r="AN415" t="s">
        <v>2066</v>
      </c>
      <c r="AO415" t="s">
        <v>2063</v>
      </c>
      <c r="AU415" t="s">
        <v>3013</v>
      </c>
      <c r="AV415" t="s">
        <v>1053</v>
      </c>
      <c r="BF415" t="s">
        <v>1053</v>
      </c>
      <c r="BG415" t="s">
        <v>1640</v>
      </c>
      <c r="BH415" t="s">
        <v>798</v>
      </c>
      <c r="BI415" t="s">
        <v>1053</v>
      </c>
      <c r="BK415" t="s">
        <v>1053</v>
      </c>
      <c r="BL415" t="s">
        <v>1053</v>
      </c>
      <c r="BO415" t="s">
        <v>1053</v>
      </c>
      <c r="BP415" t="s">
        <v>2456</v>
      </c>
      <c r="BQ415" t="s">
        <v>2523</v>
      </c>
      <c r="BR415" t="s">
        <v>1053</v>
      </c>
      <c r="BX415" t="str">
        <f>"SMTWTFS 0900-1100 1900-2100"</f>
        <v>SMTWTFS 0900-1100 1900-2100</v>
      </c>
      <c r="BY415" t="str">
        <f>""</f>
        <v/>
      </c>
      <c r="BZ415" t="str">
        <f>""</f>
        <v/>
      </c>
      <c r="CA415" t="str">
        <f>""</f>
        <v/>
      </c>
      <c r="CB415" t="str">
        <f>""</f>
        <v/>
      </c>
      <c r="CC415" t="str">
        <f>""</f>
        <v/>
      </c>
      <c r="CD415" t="str">
        <f>""</f>
        <v/>
      </c>
      <c r="CE415" t="str">
        <f>""</f>
        <v/>
      </c>
      <c r="CF415" t="str">
        <f>""</f>
        <v/>
      </c>
      <c r="CG415" t="str">
        <f>""</f>
        <v/>
      </c>
      <c r="CH415" t="str">
        <f>""</f>
        <v/>
      </c>
    </row>
    <row r="416" spans="1:86" x14ac:dyDescent="0.25">
      <c r="A416" t="s">
        <v>3014</v>
      </c>
      <c r="B416" t="s">
        <v>3015</v>
      </c>
      <c r="C416" t="s">
        <v>1992</v>
      </c>
      <c r="D416" t="s">
        <v>1993</v>
      </c>
      <c r="E416" t="s">
        <v>3016</v>
      </c>
      <c r="F416" t="s">
        <v>3017</v>
      </c>
      <c r="G416" t="s">
        <v>3018</v>
      </c>
      <c r="H416" t="s">
        <v>3019</v>
      </c>
      <c r="I416" t="s">
        <v>1371</v>
      </c>
      <c r="J416" t="str">
        <f>"89111-5000"</f>
        <v>89111-5000</v>
      </c>
      <c r="K416" t="s">
        <v>1998</v>
      </c>
      <c r="L416" t="s">
        <v>2045</v>
      </c>
      <c r="M416" t="s">
        <v>2063</v>
      </c>
      <c r="N416" t="s">
        <v>1992</v>
      </c>
      <c r="O416" t="s">
        <v>1992</v>
      </c>
      <c r="P416" t="s">
        <v>1992</v>
      </c>
      <c r="Q416" t="s">
        <v>1992</v>
      </c>
      <c r="R416" t="s">
        <v>1992</v>
      </c>
      <c r="S416" t="s">
        <v>1992</v>
      </c>
      <c r="T416" t="s">
        <v>1992</v>
      </c>
      <c r="U416" t="s">
        <v>1992</v>
      </c>
      <c r="V416" t="s">
        <v>1991</v>
      </c>
      <c r="W416" t="s">
        <v>1992</v>
      </c>
      <c r="Z416" t="s">
        <v>1991</v>
      </c>
      <c r="AB416" t="s">
        <v>3020</v>
      </c>
      <c r="AF416" t="s">
        <v>2064</v>
      </c>
      <c r="AG416" t="s">
        <v>1991</v>
      </c>
      <c r="AH416">
        <v>30</v>
      </c>
      <c r="AI416">
        <v>30</v>
      </c>
      <c r="AJ416" t="s">
        <v>3021</v>
      </c>
      <c r="AK416">
        <v>2087</v>
      </c>
      <c r="AM416" t="s">
        <v>2298</v>
      </c>
      <c r="AN416" t="s">
        <v>3022</v>
      </c>
      <c r="AO416" t="s">
        <v>2063</v>
      </c>
      <c r="BF416" t="s">
        <v>1053</v>
      </c>
      <c r="BG416" t="s">
        <v>3023</v>
      </c>
      <c r="BH416" t="s">
        <v>3024</v>
      </c>
      <c r="BI416" t="s">
        <v>1053</v>
      </c>
      <c r="BK416" t="s">
        <v>1053</v>
      </c>
      <c r="BM416" t="s">
        <v>3025</v>
      </c>
      <c r="BN416" t="s">
        <v>3026</v>
      </c>
      <c r="BO416" t="s">
        <v>1053</v>
      </c>
      <c r="BP416" t="s">
        <v>3027</v>
      </c>
      <c r="BQ416" t="s">
        <v>3028</v>
      </c>
      <c r="BR416" t="s">
        <v>1053</v>
      </c>
      <c r="BT416" t="s">
        <v>1053</v>
      </c>
      <c r="BV416" t="s">
        <v>3029</v>
      </c>
      <c r="BX416" t="str">
        <f>""</f>
        <v/>
      </c>
      <c r="BY416" t="str">
        <f>""</f>
        <v/>
      </c>
      <c r="BZ416" t="str">
        <f>""</f>
        <v/>
      </c>
      <c r="CA416" t="str">
        <f>""</f>
        <v/>
      </c>
      <c r="CB416" t="str">
        <f>""</f>
        <v/>
      </c>
      <c r="CC416" t="str">
        <f>""</f>
        <v/>
      </c>
      <c r="CD416" t="str">
        <f>""</f>
        <v/>
      </c>
      <c r="CE416" t="str">
        <f>""</f>
        <v/>
      </c>
      <c r="CF416" t="str">
        <f>""</f>
        <v/>
      </c>
      <c r="CG416" t="str">
        <f>""</f>
        <v/>
      </c>
      <c r="CH416" t="str">
        <f>""</f>
        <v/>
      </c>
    </row>
    <row r="417" spans="1:86" x14ac:dyDescent="0.25">
      <c r="A417" t="s">
        <v>3030</v>
      </c>
      <c r="B417" t="s">
        <v>3031</v>
      </c>
      <c r="C417" t="s">
        <v>1992</v>
      </c>
      <c r="D417" t="s">
        <v>2010</v>
      </c>
      <c r="E417" t="s">
        <v>3032</v>
      </c>
      <c r="H417" t="s">
        <v>3033</v>
      </c>
      <c r="I417" t="s">
        <v>779</v>
      </c>
      <c r="J417" t="str">
        <f>"39440"</f>
        <v>39440</v>
      </c>
      <c r="K417" t="s">
        <v>1998</v>
      </c>
      <c r="L417" t="s">
        <v>408</v>
      </c>
      <c r="M417" t="s">
        <v>2000</v>
      </c>
      <c r="N417" t="s">
        <v>1992</v>
      </c>
      <c r="O417" t="s">
        <v>1992</v>
      </c>
      <c r="P417" t="s">
        <v>1992</v>
      </c>
      <c r="Q417" t="s">
        <v>1992</v>
      </c>
      <c r="R417" t="s">
        <v>1992</v>
      </c>
      <c r="S417" t="s">
        <v>1992</v>
      </c>
      <c r="T417" t="s">
        <v>1992</v>
      </c>
      <c r="U417" t="s">
        <v>1992</v>
      </c>
      <c r="V417" t="s">
        <v>1991</v>
      </c>
      <c r="W417" t="s">
        <v>1991</v>
      </c>
      <c r="X417" t="s">
        <v>1992</v>
      </c>
      <c r="Y417" t="s">
        <v>1992</v>
      </c>
      <c r="Z417" t="s">
        <v>1992</v>
      </c>
      <c r="AF417" t="s">
        <v>2001</v>
      </c>
      <c r="AG417" t="s">
        <v>1991</v>
      </c>
      <c r="AH417">
        <v>30</v>
      </c>
      <c r="AI417">
        <v>30</v>
      </c>
      <c r="AJ417" t="s">
        <v>3034</v>
      </c>
      <c r="AK417">
        <v>245</v>
      </c>
      <c r="AL417">
        <v>18450</v>
      </c>
      <c r="AN417" t="s">
        <v>3560</v>
      </c>
      <c r="AU417" t="s">
        <v>1053</v>
      </c>
      <c r="AV417" t="s">
        <v>1053</v>
      </c>
      <c r="BF417" t="s">
        <v>1053</v>
      </c>
      <c r="BG417" t="s">
        <v>703</v>
      </c>
      <c r="BH417" t="s">
        <v>3035</v>
      </c>
      <c r="BI417" t="s">
        <v>1053</v>
      </c>
      <c r="BJ417" t="s">
        <v>1053</v>
      </c>
      <c r="BK417" t="s">
        <v>1053</v>
      </c>
      <c r="BL417" t="s">
        <v>1053</v>
      </c>
      <c r="BM417" t="s">
        <v>416</v>
      </c>
      <c r="BN417" t="s">
        <v>417</v>
      </c>
      <c r="BO417" t="s">
        <v>1053</v>
      </c>
      <c r="BP417" t="s">
        <v>653</v>
      </c>
      <c r="BQ417" t="s">
        <v>427</v>
      </c>
      <c r="BR417" t="s">
        <v>1053</v>
      </c>
      <c r="BS417" t="s">
        <v>1053</v>
      </c>
      <c r="BT417" t="s">
        <v>1053</v>
      </c>
      <c r="BU417" t="s">
        <v>1053</v>
      </c>
      <c r="BV417" t="s">
        <v>416</v>
      </c>
      <c r="BW417" t="s">
        <v>417</v>
      </c>
      <c r="BX417" t="str">
        <f>""</f>
        <v/>
      </c>
      <c r="BY417" t="str">
        <f>""</f>
        <v/>
      </c>
      <c r="BZ417" t="str">
        <f>""</f>
        <v/>
      </c>
      <c r="CA417" t="str">
        <f>""</f>
        <v/>
      </c>
      <c r="CB417" t="str">
        <f>""</f>
        <v/>
      </c>
      <c r="CC417" t="str">
        <f>""</f>
        <v/>
      </c>
      <c r="CD417" t="str">
        <f>""</f>
        <v/>
      </c>
      <c r="CE417" t="str">
        <f>""</f>
        <v/>
      </c>
      <c r="CF417" t="str">
        <f>""</f>
        <v/>
      </c>
      <c r="CG417" t="str">
        <f>""</f>
        <v/>
      </c>
      <c r="CH417" t="str">
        <f>""</f>
        <v/>
      </c>
    </row>
    <row r="418" spans="1:86" x14ac:dyDescent="0.25">
      <c r="A418" t="s">
        <v>3036</v>
      </c>
      <c r="B418" t="s">
        <v>311</v>
      </c>
      <c r="C418" t="s">
        <v>1991</v>
      </c>
      <c r="D418" t="s">
        <v>2010</v>
      </c>
      <c r="E418" t="s">
        <v>3037</v>
      </c>
      <c r="F418" t="s">
        <v>3038</v>
      </c>
      <c r="H418" t="s">
        <v>2303</v>
      </c>
      <c r="I418" t="s">
        <v>2061</v>
      </c>
      <c r="J418" t="str">
        <f>"90012-2902"</f>
        <v>90012-2902</v>
      </c>
      <c r="K418" t="s">
        <v>1998</v>
      </c>
      <c r="L418" t="s">
        <v>2045</v>
      </c>
      <c r="M418" t="s">
        <v>3039</v>
      </c>
      <c r="N418" t="s">
        <v>1991</v>
      </c>
      <c r="O418" t="s">
        <v>1991</v>
      </c>
      <c r="P418" t="s">
        <v>1991</v>
      </c>
      <c r="Q418" t="s">
        <v>1991</v>
      </c>
      <c r="R418" t="s">
        <v>1991</v>
      </c>
      <c r="S418" t="s">
        <v>1992</v>
      </c>
      <c r="T418" t="s">
        <v>1992</v>
      </c>
      <c r="U418" t="s">
        <v>1991</v>
      </c>
      <c r="V418" t="s">
        <v>1991</v>
      </c>
      <c r="W418" t="s">
        <v>1991</v>
      </c>
      <c r="X418" t="s">
        <v>1991</v>
      </c>
      <c r="Y418" t="s">
        <v>1991</v>
      </c>
      <c r="Z418" t="s">
        <v>1991</v>
      </c>
      <c r="AA418" t="s">
        <v>1991</v>
      </c>
      <c r="AE418" t="s">
        <v>3040</v>
      </c>
      <c r="AF418" t="s">
        <v>2064</v>
      </c>
      <c r="AG418" t="s">
        <v>1991</v>
      </c>
      <c r="AH418">
        <v>90</v>
      </c>
      <c r="AI418">
        <v>30</v>
      </c>
      <c r="AJ418" t="s">
        <v>3041</v>
      </c>
      <c r="AK418">
        <v>280</v>
      </c>
      <c r="AL418">
        <v>3900000</v>
      </c>
      <c r="AM418" t="s">
        <v>3042</v>
      </c>
      <c r="AN418" t="s">
        <v>1053</v>
      </c>
      <c r="AO418" t="s">
        <v>1053</v>
      </c>
      <c r="AP418" t="s">
        <v>1053</v>
      </c>
      <c r="AQ418" t="s">
        <v>1053</v>
      </c>
      <c r="AR418" t="s">
        <v>1053</v>
      </c>
      <c r="AS418" t="s">
        <v>3036</v>
      </c>
      <c r="AT418" t="s">
        <v>3043</v>
      </c>
      <c r="AU418" t="s">
        <v>3044</v>
      </c>
      <c r="AV418" t="s">
        <v>1053</v>
      </c>
      <c r="AW418" t="s">
        <v>1053</v>
      </c>
      <c r="AX418" t="s">
        <v>1053</v>
      </c>
      <c r="AY418" t="s">
        <v>1053</v>
      </c>
      <c r="AZ418" t="s">
        <v>3036</v>
      </c>
      <c r="BA418" t="s">
        <v>3043</v>
      </c>
      <c r="BB418" t="s">
        <v>1053</v>
      </c>
      <c r="BC418" t="s">
        <v>1053</v>
      </c>
      <c r="BD418" t="s">
        <v>1053</v>
      </c>
      <c r="BE418" t="s">
        <v>1053</v>
      </c>
      <c r="BF418" t="s">
        <v>1053</v>
      </c>
      <c r="BG418" t="s">
        <v>317</v>
      </c>
      <c r="BH418" t="s">
        <v>311</v>
      </c>
      <c r="BI418" t="s">
        <v>1053</v>
      </c>
      <c r="BJ418" t="s">
        <v>1053</v>
      </c>
      <c r="BK418" t="s">
        <v>1053</v>
      </c>
      <c r="BL418" t="s">
        <v>1053</v>
      </c>
      <c r="BM418" t="s">
        <v>485</v>
      </c>
      <c r="BN418" t="s">
        <v>357</v>
      </c>
      <c r="BO418" t="s">
        <v>1053</v>
      </c>
      <c r="BP418" t="s">
        <v>2023</v>
      </c>
      <c r="BQ418" t="s">
        <v>311</v>
      </c>
      <c r="BR418" t="s">
        <v>1053</v>
      </c>
      <c r="BS418" t="s">
        <v>1053</v>
      </c>
      <c r="BT418" t="s">
        <v>1053</v>
      </c>
      <c r="BU418" t="s">
        <v>1053</v>
      </c>
      <c r="BV418" t="s">
        <v>485</v>
      </c>
      <c r="BW418" t="s">
        <v>357</v>
      </c>
      <c r="BX418" t="str">
        <f>"SMTWTFS 0000-2359"</f>
        <v>SMTWTFS 0000-2359</v>
      </c>
      <c r="BY418" t="str">
        <f>"SMTWTFS 0545-2230"</f>
        <v>SMTWTFS 0545-2230</v>
      </c>
      <c r="BZ418" t="str">
        <f>"S-----S 0000-0015 0700-2359; -M----- 0000-0015 0530-2330; --TWT-- 0530-2330; -----F- 0530-2359"</f>
        <v>S-----S 0000-0015 0700-2359; -M----- 0000-0015 0530-2330; --TWT-- 0530-2330; -----F- 0530-2359</v>
      </c>
      <c r="CA418" t="str">
        <f>"SMTWTFS 0000-0125 0145-0220 0240-2359"</f>
        <v>SMTWTFS 0000-0125 0145-0220 0240-2359</v>
      </c>
      <c r="CB418" t="str">
        <f>"SMTWTFS 0000-2359"</f>
        <v>SMTWTFS 0000-2359</v>
      </c>
      <c r="CC418" t="str">
        <f>"SMTWTFS 0000-2359"</f>
        <v>SMTWTFS 0000-2359</v>
      </c>
      <c r="CD418" t="str">
        <f>"SMTWTFS 0000-2359"</f>
        <v>SMTWTFS 0000-2359</v>
      </c>
      <c r="CE418" t="str">
        <f>"SMTWTFS 0845-1000"</f>
        <v>SMTWTFS 0845-1000</v>
      </c>
      <c r="CF418" t="str">
        <f>"SMTWTFS 0630-2230"</f>
        <v>SMTWTFS 0630-2230</v>
      </c>
      <c r="CG418" t="str">
        <f>""</f>
        <v/>
      </c>
      <c r="CH418" t="str">
        <f>"SMTWTFS 0000-2359"</f>
        <v>SMTWTFS 0000-2359</v>
      </c>
    </row>
    <row r="419" spans="1:86" x14ac:dyDescent="0.25">
      <c r="A419" t="s">
        <v>3045</v>
      </c>
      <c r="B419" t="s">
        <v>3046</v>
      </c>
      <c r="C419" t="s">
        <v>1992</v>
      </c>
      <c r="D419" t="s">
        <v>1993</v>
      </c>
      <c r="E419" t="s">
        <v>3047</v>
      </c>
      <c r="F419" t="s">
        <v>3048</v>
      </c>
      <c r="H419" t="s">
        <v>3049</v>
      </c>
      <c r="I419" t="s">
        <v>2061</v>
      </c>
      <c r="J419" t="str">
        <f>"90802-1323"</f>
        <v>90802-1323</v>
      </c>
      <c r="K419" t="s">
        <v>1998</v>
      </c>
      <c r="L419" t="s">
        <v>2045</v>
      </c>
      <c r="M419" t="s">
        <v>2063</v>
      </c>
      <c r="N419" t="s">
        <v>1992</v>
      </c>
      <c r="O419" t="s">
        <v>1992</v>
      </c>
      <c r="P419" t="s">
        <v>1992</v>
      </c>
      <c r="Q419" t="s">
        <v>1992</v>
      </c>
      <c r="R419" t="s">
        <v>1992</v>
      </c>
      <c r="S419" t="s">
        <v>1992</v>
      </c>
      <c r="T419" t="s">
        <v>1992</v>
      </c>
      <c r="U419" t="s">
        <v>1992</v>
      </c>
      <c r="V419" t="s">
        <v>1991</v>
      </c>
      <c r="W419" t="s">
        <v>1992</v>
      </c>
      <c r="X419" t="s">
        <v>1992</v>
      </c>
      <c r="Y419" t="s">
        <v>1991</v>
      </c>
      <c r="Z419" t="s">
        <v>1992</v>
      </c>
      <c r="AB419" t="s">
        <v>3050</v>
      </c>
      <c r="AF419" t="s">
        <v>2064</v>
      </c>
      <c r="AG419" t="s">
        <v>1991</v>
      </c>
      <c r="AH419">
        <v>30</v>
      </c>
      <c r="AI419">
        <v>30</v>
      </c>
      <c r="AJ419" t="s">
        <v>3051</v>
      </c>
      <c r="AK419">
        <v>39</v>
      </c>
      <c r="AL419">
        <v>417400</v>
      </c>
      <c r="AM419" t="s">
        <v>3052</v>
      </c>
      <c r="AN419" t="s">
        <v>1053</v>
      </c>
      <c r="AO419" t="s">
        <v>1053</v>
      </c>
      <c r="BF419" t="s">
        <v>1053</v>
      </c>
      <c r="BG419" t="s">
        <v>309</v>
      </c>
      <c r="BH419" t="s">
        <v>2301</v>
      </c>
      <c r="BI419" t="s">
        <v>1053</v>
      </c>
      <c r="BK419" t="s">
        <v>1053</v>
      </c>
      <c r="BO419" t="s">
        <v>1053</v>
      </c>
      <c r="BP419" t="s">
        <v>310</v>
      </c>
      <c r="BQ419" t="s">
        <v>311</v>
      </c>
      <c r="BR419" t="s">
        <v>1053</v>
      </c>
      <c r="BS419" t="s">
        <v>1053</v>
      </c>
      <c r="BT419" t="s">
        <v>1053</v>
      </c>
      <c r="BU419" t="s">
        <v>1053</v>
      </c>
      <c r="BX419" t="str">
        <f>""</f>
        <v/>
      </c>
      <c r="BY419" t="str">
        <f>""</f>
        <v/>
      </c>
      <c r="BZ419" t="str">
        <f>""</f>
        <v/>
      </c>
      <c r="CA419" t="str">
        <f>""</f>
        <v/>
      </c>
      <c r="CB419" t="str">
        <f>""</f>
        <v/>
      </c>
      <c r="CC419" t="str">
        <f>""</f>
        <v/>
      </c>
      <c r="CD419" t="str">
        <f>""</f>
        <v/>
      </c>
      <c r="CE419" t="str">
        <f>""</f>
        <v/>
      </c>
      <c r="CF419" t="str">
        <f>""</f>
        <v/>
      </c>
      <c r="CG419" t="str">
        <f>""</f>
        <v/>
      </c>
      <c r="CH419" t="str">
        <f>""</f>
        <v/>
      </c>
    </row>
    <row r="420" spans="1:86" x14ac:dyDescent="0.25">
      <c r="A420" t="s">
        <v>3053</v>
      </c>
      <c r="B420" t="s">
        <v>3054</v>
      </c>
      <c r="C420" t="s">
        <v>1992</v>
      </c>
      <c r="D420" t="s">
        <v>1993</v>
      </c>
      <c r="E420" t="s">
        <v>3055</v>
      </c>
      <c r="F420" t="s">
        <v>3056</v>
      </c>
      <c r="H420" t="s">
        <v>3049</v>
      </c>
      <c r="I420" t="s">
        <v>2061</v>
      </c>
      <c r="J420" t="str">
        <f>"90802-6331"</f>
        <v>90802-6331</v>
      </c>
      <c r="K420" t="s">
        <v>1998</v>
      </c>
      <c r="L420" t="s">
        <v>2045</v>
      </c>
      <c r="M420" t="s">
        <v>2063</v>
      </c>
      <c r="N420" t="s">
        <v>1992</v>
      </c>
      <c r="O420" t="s">
        <v>1992</v>
      </c>
      <c r="P420" t="s">
        <v>1992</v>
      </c>
      <c r="Q420" t="s">
        <v>1992</v>
      </c>
      <c r="R420" t="s">
        <v>1992</v>
      </c>
      <c r="S420" t="s">
        <v>1992</v>
      </c>
      <c r="T420" t="s">
        <v>1992</v>
      </c>
      <c r="U420" t="s">
        <v>1992</v>
      </c>
      <c r="V420" t="s">
        <v>1991</v>
      </c>
      <c r="W420" t="s">
        <v>1992</v>
      </c>
      <c r="X420" t="s">
        <v>1992</v>
      </c>
      <c r="Y420" t="s">
        <v>1991</v>
      </c>
      <c r="Z420" t="s">
        <v>1992</v>
      </c>
      <c r="AB420" t="s">
        <v>3050</v>
      </c>
      <c r="AF420" t="s">
        <v>2064</v>
      </c>
      <c r="AG420" t="s">
        <v>1991</v>
      </c>
      <c r="AH420">
        <v>30</v>
      </c>
      <c r="AI420">
        <v>30</v>
      </c>
      <c r="AJ420" t="s">
        <v>3057</v>
      </c>
      <c r="AK420">
        <v>16</v>
      </c>
      <c r="AM420" t="s">
        <v>2298</v>
      </c>
      <c r="AN420" t="s">
        <v>445</v>
      </c>
      <c r="AO420" t="s">
        <v>2000</v>
      </c>
      <c r="AQ420" t="s">
        <v>2063</v>
      </c>
      <c r="AR420" t="s">
        <v>2069</v>
      </c>
      <c r="AS420" t="s">
        <v>393</v>
      </c>
      <c r="AT420" t="s">
        <v>395</v>
      </c>
      <c r="BF420" t="s">
        <v>1053</v>
      </c>
      <c r="BG420" t="s">
        <v>309</v>
      </c>
      <c r="BH420" t="s">
        <v>2301</v>
      </c>
      <c r="BI420" t="s">
        <v>1053</v>
      </c>
      <c r="BK420" t="s">
        <v>1053</v>
      </c>
      <c r="BM420" t="s">
        <v>393</v>
      </c>
      <c r="BN420" t="s">
        <v>395</v>
      </c>
      <c r="BO420" t="s">
        <v>1053</v>
      </c>
      <c r="BP420" t="s">
        <v>310</v>
      </c>
      <c r="BQ420" t="s">
        <v>311</v>
      </c>
      <c r="BR420" t="s">
        <v>1053</v>
      </c>
      <c r="BS420" t="s">
        <v>1053</v>
      </c>
      <c r="BT420" t="s">
        <v>1053</v>
      </c>
      <c r="BU420" t="s">
        <v>1053</v>
      </c>
      <c r="BX420" t="str">
        <f>""</f>
        <v/>
      </c>
      <c r="BY420" t="str">
        <f>""</f>
        <v/>
      </c>
      <c r="BZ420" t="str">
        <f>""</f>
        <v/>
      </c>
      <c r="CA420" t="str">
        <f>""</f>
        <v/>
      </c>
      <c r="CB420" t="str">
        <f>""</f>
        <v/>
      </c>
      <c r="CC420" t="str">
        <f>""</f>
        <v/>
      </c>
      <c r="CD420" t="str">
        <f>""</f>
        <v/>
      </c>
      <c r="CE420" t="str">
        <f>""</f>
        <v/>
      </c>
      <c r="CF420" t="str">
        <f>""</f>
        <v/>
      </c>
      <c r="CG420" t="str">
        <f>""</f>
        <v/>
      </c>
      <c r="CH420" t="str">
        <f>""</f>
        <v/>
      </c>
    </row>
    <row r="421" spans="1:86" x14ac:dyDescent="0.25">
      <c r="A421" t="s">
        <v>3058</v>
      </c>
      <c r="B421" t="s">
        <v>3059</v>
      </c>
      <c r="C421" t="s">
        <v>1992</v>
      </c>
      <c r="D421" t="s">
        <v>1993</v>
      </c>
      <c r="E421" t="s">
        <v>3060</v>
      </c>
      <c r="F421" t="s">
        <v>3061</v>
      </c>
      <c r="G421" t="s">
        <v>3062</v>
      </c>
      <c r="H421" t="s">
        <v>3063</v>
      </c>
      <c r="I421" t="s">
        <v>2061</v>
      </c>
      <c r="J421" t="str">
        <f>"91214"</f>
        <v>91214</v>
      </c>
      <c r="K421" t="s">
        <v>1998</v>
      </c>
      <c r="L421" t="s">
        <v>2045</v>
      </c>
      <c r="M421" t="s">
        <v>2063</v>
      </c>
      <c r="N421" t="s">
        <v>1992</v>
      </c>
      <c r="O421" t="s">
        <v>1992</v>
      </c>
      <c r="P421" t="s">
        <v>1992</v>
      </c>
      <c r="Q421" t="s">
        <v>1992</v>
      </c>
      <c r="R421" t="s">
        <v>1992</v>
      </c>
      <c r="S421" t="s">
        <v>1992</v>
      </c>
      <c r="T421" t="s">
        <v>1992</v>
      </c>
      <c r="U421" t="s">
        <v>1992</v>
      </c>
      <c r="V421" t="s">
        <v>1991</v>
      </c>
      <c r="W421" t="s">
        <v>1992</v>
      </c>
      <c r="X421" t="s">
        <v>1992</v>
      </c>
      <c r="Y421" t="s">
        <v>1991</v>
      </c>
      <c r="Z421" t="s">
        <v>1991</v>
      </c>
      <c r="AF421" t="s">
        <v>2064</v>
      </c>
      <c r="AG421" t="s">
        <v>1991</v>
      </c>
      <c r="AH421">
        <v>30</v>
      </c>
      <c r="AI421">
        <v>30</v>
      </c>
      <c r="AJ421" t="s">
        <v>3064</v>
      </c>
      <c r="AK421">
        <v>1580</v>
      </c>
      <c r="AM421" t="s">
        <v>2298</v>
      </c>
      <c r="AN421" t="s">
        <v>308</v>
      </c>
      <c r="AO421" t="s">
        <v>2063</v>
      </c>
      <c r="BF421" t="s">
        <v>1053</v>
      </c>
      <c r="BG421" t="s">
        <v>309</v>
      </c>
      <c r="BH421" t="s">
        <v>2301</v>
      </c>
      <c r="BI421" t="s">
        <v>1053</v>
      </c>
      <c r="BK421" t="s">
        <v>1053</v>
      </c>
      <c r="BO421" t="s">
        <v>1053</v>
      </c>
      <c r="BP421" t="s">
        <v>310</v>
      </c>
      <c r="BQ421" t="s">
        <v>311</v>
      </c>
      <c r="BR421" t="s">
        <v>1053</v>
      </c>
      <c r="BS421" t="s">
        <v>1053</v>
      </c>
      <c r="BT421" t="s">
        <v>1053</v>
      </c>
      <c r="BU421" t="s">
        <v>1053</v>
      </c>
      <c r="BX421" t="str">
        <f>""</f>
        <v/>
      </c>
      <c r="BY421" t="str">
        <f>""</f>
        <v/>
      </c>
      <c r="BZ421" t="str">
        <f>""</f>
        <v/>
      </c>
      <c r="CA421" t="str">
        <f>""</f>
        <v/>
      </c>
      <c r="CB421" t="str">
        <f>""</f>
        <v/>
      </c>
      <c r="CC421" t="str">
        <f>""</f>
        <v/>
      </c>
      <c r="CD421" t="str">
        <f>""</f>
        <v/>
      </c>
      <c r="CE421" t="str">
        <f>""</f>
        <v/>
      </c>
      <c r="CF421" t="str">
        <f>""</f>
        <v/>
      </c>
      <c r="CG421" t="str">
        <f>""</f>
        <v/>
      </c>
      <c r="CH421" t="str">
        <f>""</f>
        <v/>
      </c>
    </row>
    <row r="422" spans="1:86" x14ac:dyDescent="0.25">
      <c r="A422" t="s">
        <v>3065</v>
      </c>
      <c r="B422" t="s">
        <v>3066</v>
      </c>
      <c r="C422" t="s">
        <v>1992</v>
      </c>
      <c r="D422" t="s">
        <v>2010</v>
      </c>
      <c r="E422" t="s">
        <v>3067</v>
      </c>
      <c r="H422" t="s">
        <v>3068</v>
      </c>
      <c r="I422" t="s">
        <v>830</v>
      </c>
      <c r="J422" t="str">
        <f>"70601-2152"</f>
        <v>70601-2152</v>
      </c>
      <c r="K422" t="s">
        <v>1998</v>
      </c>
      <c r="L422" t="s">
        <v>408</v>
      </c>
      <c r="M422" t="s">
        <v>2063</v>
      </c>
      <c r="N422" t="s">
        <v>1992</v>
      </c>
      <c r="O422" t="s">
        <v>1992</v>
      </c>
      <c r="P422" t="s">
        <v>1992</v>
      </c>
      <c r="Q422" t="s">
        <v>1992</v>
      </c>
      <c r="R422" t="s">
        <v>1992</v>
      </c>
      <c r="S422" t="s">
        <v>1992</v>
      </c>
      <c r="T422" t="s">
        <v>1992</v>
      </c>
      <c r="U422" t="s">
        <v>1992</v>
      </c>
      <c r="V422" t="s">
        <v>1991</v>
      </c>
      <c r="W422" t="s">
        <v>1991</v>
      </c>
      <c r="X422" t="s">
        <v>1992</v>
      </c>
      <c r="Y422" t="s">
        <v>1992</v>
      </c>
      <c r="Z422" t="s">
        <v>1992</v>
      </c>
      <c r="AF422" t="s">
        <v>2001</v>
      </c>
      <c r="AG422" t="s">
        <v>1991</v>
      </c>
      <c r="AH422">
        <v>30</v>
      </c>
      <c r="AI422">
        <v>30</v>
      </c>
      <c r="AJ422" t="s">
        <v>3069</v>
      </c>
      <c r="AK422">
        <v>13</v>
      </c>
      <c r="AL422">
        <v>70224</v>
      </c>
      <c r="AN422" t="s">
        <v>2066</v>
      </c>
      <c r="AO422" t="s">
        <v>2063</v>
      </c>
      <c r="BF422" t="s">
        <v>1053</v>
      </c>
      <c r="BG422" t="s">
        <v>2097</v>
      </c>
      <c r="BH422" t="s">
        <v>783</v>
      </c>
      <c r="BI422" t="s">
        <v>1053</v>
      </c>
      <c r="BJ422" t="s">
        <v>1053</v>
      </c>
      <c r="BL422" t="s">
        <v>2069</v>
      </c>
      <c r="BM422" t="s">
        <v>416</v>
      </c>
      <c r="BN422" t="s">
        <v>3070</v>
      </c>
      <c r="BO422" t="s">
        <v>1053</v>
      </c>
      <c r="BP422" t="s">
        <v>986</v>
      </c>
      <c r="BQ422" t="s">
        <v>783</v>
      </c>
      <c r="BR422" t="s">
        <v>1053</v>
      </c>
      <c r="BS422" t="s">
        <v>1053</v>
      </c>
      <c r="BV422" t="s">
        <v>416</v>
      </c>
      <c r="BW422" t="s">
        <v>782</v>
      </c>
      <c r="BX422" t="str">
        <f>""</f>
        <v/>
      </c>
      <c r="BY422" t="str">
        <f>""</f>
        <v/>
      </c>
      <c r="BZ422" t="str">
        <f>""</f>
        <v/>
      </c>
      <c r="CA422" t="str">
        <f>""</f>
        <v/>
      </c>
      <c r="CB422" t="str">
        <f>""</f>
        <v/>
      </c>
      <c r="CC422" t="str">
        <f>""</f>
        <v/>
      </c>
      <c r="CD422" t="str">
        <f>""</f>
        <v/>
      </c>
      <c r="CE422" t="str">
        <f>""</f>
        <v/>
      </c>
      <c r="CF422" t="str">
        <f>""</f>
        <v/>
      </c>
      <c r="CG422" t="str">
        <f>""</f>
        <v/>
      </c>
      <c r="CH422" t="str">
        <f>""</f>
        <v/>
      </c>
    </row>
    <row r="423" spans="1:86" x14ac:dyDescent="0.25">
      <c r="A423" t="s">
        <v>3071</v>
      </c>
      <c r="B423" t="s">
        <v>3072</v>
      </c>
      <c r="C423" t="s">
        <v>1992</v>
      </c>
      <c r="D423" t="s">
        <v>2028</v>
      </c>
      <c r="E423" t="s">
        <v>3073</v>
      </c>
      <c r="H423" t="s">
        <v>3074</v>
      </c>
      <c r="I423" t="s">
        <v>2367</v>
      </c>
      <c r="J423" t="str">
        <f>"62656"</f>
        <v>62656</v>
      </c>
      <c r="K423" t="s">
        <v>1998</v>
      </c>
      <c r="L423" t="s">
        <v>1999</v>
      </c>
      <c r="M423" t="s">
        <v>2063</v>
      </c>
      <c r="N423" t="s">
        <v>1992</v>
      </c>
      <c r="O423" t="s">
        <v>1992</v>
      </c>
      <c r="P423" t="s">
        <v>1992</v>
      </c>
      <c r="Q423" t="s">
        <v>1992</v>
      </c>
      <c r="R423" t="s">
        <v>1992</v>
      </c>
      <c r="S423" t="s">
        <v>1992</v>
      </c>
      <c r="T423" t="s">
        <v>1992</v>
      </c>
      <c r="U423" t="s">
        <v>1992</v>
      </c>
      <c r="V423" t="s">
        <v>1991</v>
      </c>
      <c r="W423" t="s">
        <v>1991</v>
      </c>
      <c r="X423" t="s">
        <v>1992</v>
      </c>
      <c r="Y423" t="s">
        <v>1992</v>
      </c>
      <c r="Z423" t="s">
        <v>1992</v>
      </c>
      <c r="AF423" t="s">
        <v>2001</v>
      </c>
      <c r="AG423" t="s">
        <v>1991</v>
      </c>
      <c r="AH423">
        <v>30</v>
      </c>
      <c r="AI423">
        <v>30</v>
      </c>
      <c r="AJ423" t="s">
        <v>3075</v>
      </c>
      <c r="AK423">
        <v>585</v>
      </c>
      <c r="AL423">
        <v>14822</v>
      </c>
      <c r="AN423" t="s">
        <v>2066</v>
      </c>
      <c r="AO423" t="s">
        <v>2063</v>
      </c>
      <c r="BF423" t="s">
        <v>1053</v>
      </c>
      <c r="BG423" t="s">
        <v>2371</v>
      </c>
      <c r="BH423" t="s">
        <v>3076</v>
      </c>
      <c r="BI423" t="s">
        <v>1053</v>
      </c>
      <c r="BJ423" t="s">
        <v>1053</v>
      </c>
      <c r="BK423" t="s">
        <v>1053</v>
      </c>
      <c r="BL423" t="s">
        <v>1053</v>
      </c>
      <c r="BM423" t="s">
        <v>2373</v>
      </c>
      <c r="BN423" t="s">
        <v>2374</v>
      </c>
      <c r="BO423" t="s">
        <v>1053</v>
      </c>
      <c r="BP423" t="s">
        <v>653</v>
      </c>
      <c r="BQ423" t="s">
        <v>2376</v>
      </c>
      <c r="BR423" t="s">
        <v>1053</v>
      </c>
      <c r="BX423" t="str">
        <f>"SMTWTFS 0625-0725 1030-1130 1555-2030"</f>
        <v>SMTWTFS 0625-0725 1030-1130 1555-2030</v>
      </c>
      <c r="BY423" t="str">
        <f>""</f>
        <v/>
      </c>
      <c r="BZ423" t="str">
        <f>""</f>
        <v/>
      </c>
      <c r="CA423" t="str">
        <f>""</f>
        <v/>
      </c>
      <c r="CB423" t="str">
        <f>""</f>
        <v/>
      </c>
      <c r="CC423" t="str">
        <f>""</f>
        <v/>
      </c>
      <c r="CD423" t="str">
        <f>""</f>
        <v/>
      </c>
      <c r="CE423" t="str">
        <f>""</f>
        <v/>
      </c>
      <c r="CF423" t="str">
        <f>""</f>
        <v/>
      </c>
      <c r="CG423" t="str">
        <f>""</f>
        <v/>
      </c>
      <c r="CH423" t="str">
        <f>""</f>
        <v/>
      </c>
    </row>
    <row r="424" spans="1:86" x14ac:dyDescent="0.25">
      <c r="A424" t="s">
        <v>3077</v>
      </c>
      <c r="B424" t="s">
        <v>3078</v>
      </c>
      <c r="C424" t="s">
        <v>1992</v>
      </c>
      <c r="D424" t="s">
        <v>2028</v>
      </c>
      <c r="E424" t="s">
        <v>3079</v>
      </c>
      <c r="F424" t="s">
        <v>3548</v>
      </c>
      <c r="H424" t="s">
        <v>3080</v>
      </c>
      <c r="I424" t="s">
        <v>2061</v>
      </c>
      <c r="J424" t="str">
        <f>"93534-3218"</f>
        <v>93534-3218</v>
      </c>
      <c r="K424" t="s">
        <v>1998</v>
      </c>
      <c r="L424" t="s">
        <v>2045</v>
      </c>
      <c r="M424" t="s">
        <v>2063</v>
      </c>
      <c r="N424" t="s">
        <v>1992</v>
      </c>
      <c r="O424" t="s">
        <v>1992</v>
      </c>
      <c r="P424" t="s">
        <v>1991</v>
      </c>
      <c r="Q424" t="s">
        <v>1992</v>
      </c>
      <c r="R424" t="s">
        <v>1992</v>
      </c>
      <c r="S424" t="s">
        <v>1992</v>
      </c>
      <c r="T424" t="s">
        <v>1992</v>
      </c>
      <c r="U424" t="s">
        <v>1992</v>
      </c>
      <c r="V424" t="s">
        <v>1991</v>
      </c>
      <c r="W424" t="s">
        <v>1992</v>
      </c>
      <c r="X424" t="s">
        <v>1991</v>
      </c>
      <c r="Y424" t="s">
        <v>1991</v>
      </c>
      <c r="Z424" t="s">
        <v>1992</v>
      </c>
      <c r="AA424" t="s">
        <v>1991</v>
      </c>
      <c r="AF424" t="s">
        <v>2064</v>
      </c>
      <c r="AG424" t="s">
        <v>1991</v>
      </c>
      <c r="AH424">
        <v>30</v>
      </c>
      <c r="AI424">
        <v>30</v>
      </c>
      <c r="AJ424" t="s">
        <v>3081</v>
      </c>
      <c r="AK424">
        <v>2357</v>
      </c>
      <c r="AL424">
        <v>130000</v>
      </c>
      <c r="AM424" t="s">
        <v>2298</v>
      </c>
      <c r="AN424" t="s">
        <v>308</v>
      </c>
      <c r="AO424" t="s">
        <v>2063</v>
      </c>
      <c r="BF424" t="s">
        <v>1053</v>
      </c>
      <c r="BG424" t="s">
        <v>309</v>
      </c>
      <c r="BH424" t="s">
        <v>2301</v>
      </c>
      <c r="BI424" t="s">
        <v>1053</v>
      </c>
      <c r="BK424" t="s">
        <v>1053</v>
      </c>
      <c r="BO424" t="s">
        <v>1053</v>
      </c>
      <c r="BP424" t="s">
        <v>310</v>
      </c>
      <c r="BQ424" t="s">
        <v>311</v>
      </c>
      <c r="BR424" t="s">
        <v>1053</v>
      </c>
      <c r="BS424" t="s">
        <v>1053</v>
      </c>
      <c r="BT424" t="s">
        <v>1053</v>
      </c>
      <c r="BU424" t="s">
        <v>1053</v>
      </c>
      <c r="BX424" t="str">
        <f>""</f>
        <v/>
      </c>
      <c r="BY424" t="str">
        <f>""</f>
        <v/>
      </c>
      <c r="BZ424" t="str">
        <f>""</f>
        <v/>
      </c>
      <c r="CA424" t="str">
        <f>""</f>
        <v/>
      </c>
      <c r="CB424" t="str">
        <f>""</f>
        <v/>
      </c>
      <c r="CC424" t="str">
        <f>""</f>
        <v/>
      </c>
      <c r="CD424" t="str">
        <f>""</f>
        <v/>
      </c>
      <c r="CE424" t="str">
        <f>""</f>
        <v/>
      </c>
      <c r="CF424" t="str">
        <f>""</f>
        <v/>
      </c>
      <c r="CG424" t="str">
        <f>""</f>
        <v/>
      </c>
      <c r="CH424" t="str">
        <f>""</f>
        <v/>
      </c>
    </row>
    <row r="425" spans="1:86" x14ac:dyDescent="0.25">
      <c r="A425" t="s">
        <v>3082</v>
      </c>
      <c r="B425" t="s">
        <v>3083</v>
      </c>
      <c r="C425" t="s">
        <v>1992</v>
      </c>
      <c r="D425" t="s">
        <v>1993</v>
      </c>
      <c r="E425" t="s">
        <v>3084</v>
      </c>
      <c r="F425" t="s">
        <v>3085</v>
      </c>
      <c r="G425" t="s">
        <v>3086</v>
      </c>
      <c r="H425" t="s">
        <v>3087</v>
      </c>
      <c r="I425" t="s">
        <v>2287</v>
      </c>
      <c r="J425" t="str">
        <f>"04849"</f>
        <v>04849</v>
      </c>
      <c r="K425" t="s">
        <v>1998</v>
      </c>
      <c r="L425" t="s">
        <v>2033</v>
      </c>
      <c r="M425" t="s">
        <v>2063</v>
      </c>
      <c r="N425" t="s">
        <v>1992</v>
      </c>
      <c r="O425" t="s">
        <v>1992</v>
      </c>
      <c r="P425" t="s">
        <v>1992</v>
      </c>
      <c r="Q425" t="s">
        <v>1992</v>
      </c>
      <c r="R425" t="s">
        <v>1992</v>
      </c>
      <c r="S425" t="s">
        <v>1992</v>
      </c>
      <c r="T425" t="s">
        <v>1992</v>
      </c>
      <c r="U425" t="s">
        <v>1992</v>
      </c>
      <c r="V425" t="s">
        <v>1991</v>
      </c>
      <c r="W425" t="s">
        <v>1992</v>
      </c>
      <c r="X425" t="s">
        <v>1991</v>
      </c>
      <c r="Y425" t="s">
        <v>1992</v>
      </c>
      <c r="Z425" t="s">
        <v>1991</v>
      </c>
      <c r="AF425" t="s">
        <v>2016</v>
      </c>
      <c r="AG425" t="s">
        <v>1991</v>
      </c>
      <c r="AH425">
        <v>30</v>
      </c>
      <c r="AI425">
        <v>30</v>
      </c>
      <c r="AJ425" t="s">
        <v>3088</v>
      </c>
      <c r="AK425">
        <v>12</v>
      </c>
      <c r="AM425" t="s">
        <v>2298</v>
      </c>
      <c r="AN425" t="s">
        <v>3089</v>
      </c>
      <c r="AO425" t="s">
        <v>2063</v>
      </c>
      <c r="BF425" t="s">
        <v>1053</v>
      </c>
      <c r="BG425" t="s">
        <v>476</v>
      </c>
      <c r="BH425" t="s">
        <v>477</v>
      </c>
      <c r="BI425" t="s">
        <v>1053</v>
      </c>
      <c r="BK425" t="s">
        <v>1053</v>
      </c>
      <c r="BX425" t="str">
        <f>""</f>
        <v/>
      </c>
      <c r="BY425" t="str">
        <f>""</f>
        <v/>
      </c>
      <c r="BZ425" t="str">
        <f>""</f>
        <v/>
      </c>
      <c r="CA425" t="str">
        <f>""</f>
        <v/>
      </c>
      <c r="CB425" t="str">
        <f>""</f>
        <v/>
      </c>
      <c r="CC425" t="str">
        <f>""</f>
        <v/>
      </c>
      <c r="CD425" t="str">
        <f>""</f>
        <v/>
      </c>
      <c r="CE425" t="str">
        <f>""</f>
        <v/>
      </c>
      <c r="CF425" t="str">
        <f>""</f>
        <v/>
      </c>
      <c r="CG425" t="str">
        <f>""</f>
        <v/>
      </c>
      <c r="CH425" t="str">
        <f>""</f>
        <v/>
      </c>
    </row>
    <row r="426" spans="1:86" x14ac:dyDescent="0.25">
      <c r="A426" t="s">
        <v>3090</v>
      </c>
      <c r="B426" t="s">
        <v>3091</v>
      </c>
      <c r="C426" t="s">
        <v>1992</v>
      </c>
      <c r="D426" t="s">
        <v>2331</v>
      </c>
      <c r="E426" t="s">
        <v>3092</v>
      </c>
      <c r="F426" t="s">
        <v>3093</v>
      </c>
      <c r="H426" t="s">
        <v>3094</v>
      </c>
      <c r="I426" t="s">
        <v>2044</v>
      </c>
      <c r="J426" t="str">
        <f>"88045"</f>
        <v>88045</v>
      </c>
      <c r="K426" t="s">
        <v>1998</v>
      </c>
      <c r="L426" t="s">
        <v>2045</v>
      </c>
      <c r="M426" t="s">
        <v>2063</v>
      </c>
      <c r="N426" t="s">
        <v>1992</v>
      </c>
      <c r="O426" t="s">
        <v>1992</v>
      </c>
      <c r="P426" t="s">
        <v>1992</v>
      </c>
      <c r="Q426" t="s">
        <v>1992</v>
      </c>
      <c r="R426" t="s">
        <v>1992</v>
      </c>
      <c r="S426" t="s">
        <v>1992</v>
      </c>
      <c r="T426" t="s">
        <v>1992</v>
      </c>
      <c r="U426" t="s">
        <v>1992</v>
      </c>
      <c r="V426" t="s">
        <v>1991</v>
      </c>
      <c r="W426" t="s">
        <v>1991</v>
      </c>
      <c r="X426" t="s">
        <v>1992</v>
      </c>
      <c r="Y426" t="s">
        <v>1992</v>
      </c>
      <c r="Z426" t="s">
        <v>1992</v>
      </c>
      <c r="AF426" t="s">
        <v>2048</v>
      </c>
      <c r="AG426" t="s">
        <v>1991</v>
      </c>
      <c r="AH426">
        <v>30</v>
      </c>
      <c r="AI426">
        <v>30</v>
      </c>
      <c r="AJ426" t="s">
        <v>3095</v>
      </c>
      <c r="AK426">
        <v>4250</v>
      </c>
      <c r="AL426">
        <v>2762</v>
      </c>
      <c r="AN426" t="s">
        <v>2066</v>
      </c>
      <c r="BF426" t="s">
        <v>1053</v>
      </c>
      <c r="BG426" t="s">
        <v>2019</v>
      </c>
      <c r="BH426" t="s">
        <v>2053</v>
      </c>
      <c r="BI426" t="s">
        <v>1053</v>
      </c>
      <c r="BO426" t="s">
        <v>1053</v>
      </c>
      <c r="BP426" t="s">
        <v>2101</v>
      </c>
      <c r="BQ426" t="s">
        <v>2055</v>
      </c>
      <c r="BR426" t="s">
        <v>1053</v>
      </c>
      <c r="BS426" t="s">
        <v>1053</v>
      </c>
      <c r="BV426" t="s">
        <v>2056</v>
      </c>
      <c r="BX426" t="str">
        <f>""</f>
        <v/>
      </c>
      <c r="BY426" t="str">
        <f>""</f>
        <v/>
      </c>
      <c r="BZ426" t="str">
        <f>""</f>
        <v/>
      </c>
      <c r="CA426" t="str">
        <f>""</f>
        <v/>
      </c>
      <c r="CB426" t="str">
        <f>""</f>
        <v/>
      </c>
      <c r="CC426" t="str">
        <f>""</f>
        <v/>
      </c>
      <c r="CD426" t="str">
        <f>""</f>
        <v/>
      </c>
      <c r="CE426" t="str">
        <f>""</f>
        <v/>
      </c>
      <c r="CF426" t="str">
        <f>""</f>
        <v/>
      </c>
      <c r="CG426" t="str">
        <f>""</f>
        <v/>
      </c>
      <c r="CH426" t="str">
        <f>""</f>
        <v/>
      </c>
    </row>
    <row r="427" spans="1:86" x14ac:dyDescent="0.25">
      <c r="A427" t="s">
        <v>3096</v>
      </c>
      <c r="B427" t="s">
        <v>3097</v>
      </c>
      <c r="C427" t="s">
        <v>1992</v>
      </c>
      <c r="D427" t="s">
        <v>2010</v>
      </c>
      <c r="E427" t="s">
        <v>3098</v>
      </c>
      <c r="F427" t="s">
        <v>3099</v>
      </c>
      <c r="H427" t="s">
        <v>3100</v>
      </c>
      <c r="I427" t="s">
        <v>2032</v>
      </c>
      <c r="J427" t="str">
        <f>"08083"</f>
        <v>08083</v>
      </c>
      <c r="K427" t="s">
        <v>1998</v>
      </c>
      <c r="L427" t="s">
        <v>2033</v>
      </c>
      <c r="M427" t="s">
        <v>2034</v>
      </c>
      <c r="N427" t="s">
        <v>1992</v>
      </c>
      <c r="O427" t="s">
        <v>1992</v>
      </c>
      <c r="P427" t="s">
        <v>1992</v>
      </c>
      <c r="Q427" t="s">
        <v>1992</v>
      </c>
      <c r="R427" t="s">
        <v>1992</v>
      </c>
      <c r="S427" t="s">
        <v>1992</v>
      </c>
      <c r="T427" t="s">
        <v>1992</v>
      </c>
      <c r="U427" t="s">
        <v>1992</v>
      </c>
      <c r="V427" t="s">
        <v>1991</v>
      </c>
      <c r="W427" t="s">
        <v>1992</v>
      </c>
      <c r="X427" t="s">
        <v>1991</v>
      </c>
      <c r="Y427" t="s">
        <v>1992</v>
      </c>
      <c r="Z427" t="s">
        <v>1992</v>
      </c>
      <c r="AF427" t="s">
        <v>2016</v>
      </c>
      <c r="AG427" t="s">
        <v>1991</v>
      </c>
      <c r="AH427">
        <v>30</v>
      </c>
      <c r="AI427">
        <v>30</v>
      </c>
      <c r="AJ427" t="s">
        <v>3101</v>
      </c>
      <c r="AK427">
        <v>70</v>
      </c>
      <c r="AM427" t="s">
        <v>2036</v>
      </c>
      <c r="BX427" t="str">
        <f>""</f>
        <v/>
      </c>
      <c r="BY427" t="str">
        <f>""</f>
        <v/>
      </c>
      <c r="BZ427" t="str">
        <f>""</f>
        <v/>
      </c>
      <c r="CA427" t="str">
        <f>""</f>
        <v/>
      </c>
      <c r="CB427" t="str">
        <f>""</f>
        <v/>
      </c>
      <c r="CC427" t="str">
        <f>""</f>
        <v/>
      </c>
      <c r="CD427" t="str">
        <f>""</f>
        <v/>
      </c>
      <c r="CE427" t="str">
        <f>""</f>
        <v/>
      </c>
      <c r="CF427" t="str">
        <f>""</f>
        <v/>
      </c>
      <c r="CG427" t="str">
        <f>""</f>
        <v/>
      </c>
      <c r="CH427" t="str">
        <f>""</f>
        <v/>
      </c>
    </row>
    <row r="428" spans="1:86" x14ac:dyDescent="0.25">
      <c r="A428" t="s">
        <v>3102</v>
      </c>
      <c r="B428" t="s">
        <v>3103</v>
      </c>
      <c r="C428" t="s">
        <v>1992</v>
      </c>
      <c r="D428" t="s">
        <v>2028</v>
      </c>
      <c r="E428" t="s">
        <v>3104</v>
      </c>
      <c r="H428" t="s">
        <v>3105</v>
      </c>
      <c r="I428" t="s">
        <v>5524</v>
      </c>
      <c r="J428" t="str">
        <f>"64063-2332"</f>
        <v>64063-2332</v>
      </c>
      <c r="K428" t="s">
        <v>1998</v>
      </c>
      <c r="L428" t="s">
        <v>1999</v>
      </c>
      <c r="M428" t="s">
        <v>2063</v>
      </c>
      <c r="N428" t="s">
        <v>1992</v>
      </c>
      <c r="O428" t="s">
        <v>1992</v>
      </c>
      <c r="P428" t="s">
        <v>1992</v>
      </c>
      <c r="Q428" t="s">
        <v>1992</v>
      </c>
      <c r="R428" t="s">
        <v>1992</v>
      </c>
      <c r="S428" t="s">
        <v>1992</v>
      </c>
      <c r="T428" t="s">
        <v>1992</v>
      </c>
      <c r="U428" t="s">
        <v>1992</v>
      </c>
      <c r="V428" t="s">
        <v>1991</v>
      </c>
      <c r="W428" t="s">
        <v>1991</v>
      </c>
      <c r="X428" t="s">
        <v>1992</v>
      </c>
      <c r="Y428" t="s">
        <v>1992</v>
      </c>
      <c r="Z428" t="s">
        <v>1992</v>
      </c>
      <c r="AF428" t="s">
        <v>2001</v>
      </c>
      <c r="AG428" t="s">
        <v>1991</v>
      </c>
      <c r="AH428">
        <v>30</v>
      </c>
      <c r="AI428">
        <v>30</v>
      </c>
      <c r="AJ428" t="s">
        <v>3106</v>
      </c>
      <c r="AK428">
        <v>1039</v>
      </c>
      <c r="AL428">
        <v>28000</v>
      </c>
      <c r="AN428" t="s">
        <v>2066</v>
      </c>
      <c r="AO428" t="s">
        <v>2063</v>
      </c>
      <c r="BF428" t="s">
        <v>1053</v>
      </c>
      <c r="BG428" t="s">
        <v>2371</v>
      </c>
      <c r="BH428" t="s">
        <v>3076</v>
      </c>
      <c r="BI428" t="s">
        <v>1053</v>
      </c>
      <c r="BJ428" t="s">
        <v>1053</v>
      </c>
      <c r="BK428" t="s">
        <v>1053</v>
      </c>
      <c r="BL428" t="s">
        <v>1053</v>
      </c>
      <c r="BM428" t="s">
        <v>2373</v>
      </c>
      <c r="BN428" t="s">
        <v>2374</v>
      </c>
      <c r="BO428" t="s">
        <v>1053</v>
      </c>
      <c r="BP428" t="s">
        <v>2023</v>
      </c>
      <c r="BQ428" t="s">
        <v>2679</v>
      </c>
      <c r="BR428" t="s">
        <v>1053</v>
      </c>
      <c r="BX428" t="str">
        <f>"SMTWTFS 0711-0841 1125-1255 1441-1511 1855-2025"</f>
        <v>SMTWTFS 0711-0841 1125-1255 1441-1511 1855-2025</v>
      </c>
      <c r="BY428" t="str">
        <f>""</f>
        <v/>
      </c>
      <c r="BZ428" t="str">
        <f>""</f>
        <v/>
      </c>
      <c r="CA428" t="str">
        <f>""</f>
        <v/>
      </c>
      <c r="CB428" t="str">
        <f>""</f>
        <v/>
      </c>
      <c r="CC428" t="str">
        <f>""</f>
        <v/>
      </c>
      <c r="CD428" t="str">
        <f>""</f>
        <v/>
      </c>
      <c r="CE428" t="str">
        <f>""</f>
        <v/>
      </c>
      <c r="CF428" t="str">
        <f>""</f>
        <v/>
      </c>
      <c r="CG428" t="str">
        <f>""</f>
        <v/>
      </c>
      <c r="CH428" t="str">
        <f>""</f>
        <v/>
      </c>
    </row>
    <row r="429" spans="1:86" x14ac:dyDescent="0.25">
      <c r="A429" t="s">
        <v>3107</v>
      </c>
      <c r="B429" t="s">
        <v>3108</v>
      </c>
      <c r="C429" t="s">
        <v>1992</v>
      </c>
      <c r="D429" t="s">
        <v>1993</v>
      </c>
      <c r="E429" t="s">
        <v>3109</v>
      </c>
      <c r="F429" t="s">
        <v>3110</v>
      </c>
      <c r="H429" t="s">
        <v>3111</v>
      </c>
      <c r="I429" t="s">
        <v>2061</v>
      </c>
      <c r="J429" t="str">
        <f>"95585-8911"</f>
        <v>95585-8911</v>
      </c>
      <c r="K429" t="s">
        <v>1998</v>
      </c>
      <c r="L429" t="s">
        <v>2062</v>
      </c>
      <c r="M429" t="s">
        <v>2063</v>
      </c>
      <c r="N429" t="s">
        <v>1992</v>
      </c>
      <c r="O429" t="s">
        <v>1992</v>
      </c>
      <c r="P429" t="s">
        <v>1992</v>
      </c>
      <c r="Q429" t="s">
        <v>1992</v>
      </c>
      <c r="R429" t="s">
        <v>1992</v>
      </c>
      <c r="S429" t="s">
        <v>1992</v>
      </c>
      <c r="T429" t="s">
        <v>1992</v>
      </c>
      <c r="U429" t="s">
        <v>1992</v>
      </c>
      <c r="V429" t="s">
        <v>1991</v>
      </c>
      <c r="W429" t="s">
        <v>1992</v>
      </c>
      <c r="X429" t="s">
        <v>1992</v>
      </c>
      <c r="Y429" t="s">
        <v>1991</v>
      </c>
      <c r="Z429" t="s">
        <v>1992</v>
      </c>
      <c r="AF429" t="s">
        <v>2064</v>
      </c>
      <c r="AG429" t="s">
        <v>1991</v>
      </c>
      <c r="AH429">
        <v>30</v>
      </c>
      <c r="AI429">
        <v>30</v>
      </c>
      <c r="AJ429" t="s">
        <v>3112</v>
      </c>
      <c r="AK429">
        <v>909</v>
      </c>
      <c r="AM429" t="s">
        <v>2298</v>
      </c>
      <c r="BF429" t="s">
        <v>1053</v>
      </c>
      <c r="BG429" t="s">
        <v>309</v>
      </c>
      <c r="BH429" t="s">
        <v>2301</v>
      </c>
      <c r="BI429" t="s">
        <v>1053</v>
      </c>
      <c r="BK429" t="s">
        <v>1053</v>
      </c>
      <c r="BO429" t="s">
        <v>1053</v>
      </c>
      <c r="BP429" t="s">
        <v>5519</v>
      </c>
      <c r="BQ429" t="s">
        <v>1814</v>
      </c>
      <c r="BR429" t="s">
        <v>1053</v>
      </c>
      <c r="BX429" t="str">
        <f>""</f>
        <v/>
      </c>
      <c r="BY429" t="str">
        <f>""</f>
        <v/>
      </c>
      <c r="BZ429" t="str">
        <f>""</f>
        <v/>
      </c>
      <c r="CA429" t="str">
        <f>""</f>
        <v/>
      </c>
      <c r="CB429" t="str">
        <f>""</f>
        <v/>
      </c>
      <c r="CC429" t="str">
        <f>""</f>
        <v/>
      </c>
      <c r="CD429" t="str">
        <f>""</f>
        <v/>
      </c>
      <c r="CE429" t="str">
        <f>""</f>
        <v/>
      </c>
      <c r="CF429" t="str">
        <f>""</f>
        <v/>
      </c>
      <c r="CG429" t="str">
        <f>""</f>
        <v/>
      </c>
      <c r="CH429" t="str">
        <f>""</f>
        <v/>
      </c>
    </row>
    <row r="430" spans="1:86" x14ac:dyDescent="0.25">
      <c r="A430" t="s">
        <v>3113</v>
      </c>
      <c r="B430" t="s">
        <v>3114</v>
      </c>
      <c r="C430" t="s">
        <v>1992</v>
      </c>
      <c r="D430" t="s">
        <v>1993</v>
      </c>
      <c r="E430" t="s">
        <v>3115</v>
      </c>
      <c r="F430" t="s">
        <v>3116</v>
      </c>
      <c r="H430" t="s">
        <v>3117</v>
      </c>
      <c r="I430" t="s">
        <v>576</v>
      </c>
      <c r="J430" t="str">
        <f>"98826"</f>
        <v>98826</v>
      </c>
      <c r="K430" t="s">
        <v>1998</v>
      </c>
      <c r="L430" t="s">
        <v>231</v>
      </c>
      <c r="M430" t="s">
        <v>2000</v>
      </c>
      <c r="N430" t="s">
        <v>1992</v>
      </c>
      <c r="O430" t="s">
        <v>1992</v>
      </c>
      <c r="P430" t="s">
        <v>1992</v>
      </c>
      <c r="Q430" t="s">
        <v>1992</v>
      </c>
      <c r="R430" t="s">
        <v>1992</v>
      </c>
      <c r="S430" t="s">
        <v>1992</v>
      </c>
      <c r="T430" t="s">
        <v>1992</v>
      </c>
      <c r="U430" t="s">
        <v>1992</v>
      </c>
      <c r="V430" t="s">
        <v>1991</v>
      </c>
      <c r="W430" t="s">
        <v>1992</v>
      </c>
      <c r="X430" t="s">
        <v>1991</v>
      </c>
      <c r="Y430" t="s">
        <v>1992</v>
      </c>
      <c r="Z430" t="s">
        <v>1991</v>
      </c>
      <c r="AA430" t="s">
        <v>1992</v>
      </c>
      <c r="AB430" t="s">
        <v>3118</v>
      </c>
      <c r="AE430" t="s">
        <v>3119</v>
      </c>
      <c r="AF430" t="s">
        <v>2064</v>
      </c>
      <c r="AG430" t="s">
        <v>1991</v>
      </c>
      <c r="AH430">
        <v>30</v>
      </c>
      <c r="AI430">
        <v>30</v>
      </c>
      <c r="AJ430" t="s">
        <v>3120</v>
      </c>
      <c r="AK430">
        <v>1194</v>
      </c>
      <c r="AL430">
        <v>1692</v>
      </c>
      <c r="AM430" t="s">
        <v>2298</v>
      </c>
      <c r="AN430" t="s">
        <v>3121</v>
      </c>
      <c r="AO430" t="s">
        <v>2063</v>
      </c>
      <c r="BF430" t="s">
        <v>1053</v>
      </c>
      <c r="BG430" t="s">
        <v>394</v>
      </c>
      <c r="BH430" t="s">
        <v>311</v>
      </c>
      <c r="BI430" t="s">
        <v>1053</v>
      </c>
      <c r="BJ430" t="s">
        <v>1053</v>
      </c>
      <c r="BK430" t="s">
        <v>1053</v>
      </c>
      <c r="BL430" t="s">
        <v>1053</v>
      </c>
      <c r="BX430" t="str">
        <f>""</f>
        <v/>
      </c>
      <c r="BY430" t="str">
        <f>""</f>
        <v/>
      </c>
      <c r="BZ430" t="str">
        <f>""</f>
        <v/>
      </c>
      <c r="CA430" t="str">
        <f>""</f>
        <v/>
      </c>
      <c r="CB430" t="str">
        <f>""</f>
        <v/>
      </c>
      <c r="CC430" t="str">
        <f>""</f>
        <v/>
      </c>
      <c r="CD430" t="str">
        <f>""</f>
        <v/>
      </c>
      <c r="CE430" t="str">
        <f>""</f>
        <v/>
      </c>
      <c r="CF430" t="str">
        <f>""</f>
        <v/>
      </c>
      <c r="CG430" t="str">
        <f>""</f>
        <v/>
      </c>
      <c r="CH430" t="str">
        <f>""</f>
        <v/>
      </c>
    </row>
    <row r="431" spans="1:86" x14ac:dyDescent="0.25">
      <c r="A431" t="s">
        <v>3122</v>
      </c>
      <c r="B431" t="s">
        <v>3123</v>
      </c>
      <c r="C431" t="s">
        <v>1992</v>
      </c>
      <c r="D431" t="s">
        <v>2010</v>
      </c>
      <c r="E431" t="s">
        <v>3124</v>
      </c>
      <c r="H431" t="s">
        <v>3125</v>
      </c>
      <c r="I431" t="s">
        <v>2388</v>
      </c>
      <c r="J431" t="str">
        <f>"17044"</f>
        <v>17044</v>
      </c>
      <c r="K431" t="s">
        <v>1998</v>
      </c>
      <c r="L431" t="s">
        <v>2015</v>
      </c>
      <c r="M431" t="s">
        <v>2063</v>
      </c>
      <c r="N431" t="s">
        <v>1992</v>
      </c>
      <c r="O431" t="s">
        <v>1992</v>
      </c>
      <c r="P431" t="s">
        <v>1992</v>
      </c>
      <c r="Q431" t="s">
        <v>1992</v>
      </c>
      <c r="R431" t="s">
        <v>1992</v>
      </c>
      <c r="S431" t="s">
        <v>1992</v>
      </c>
      <c r="T431" t="s">
        <v>1992</v>
      </c>
      <c r="U431" t="s">
        <v>1992</v>
      </c>
      <c r="V431" t="s">
        <v>1991</v>
      </c>
      <c r="W431" t="s">
        <v>1991</v>
      </c>
      <c r="X431" t="s">
        <v>1992</v>
      </c>
      <c r="Y431" t="s">
        <v>1992</v>
      </c>
      <c r="Z431" t="s">
        <v>1992</v>
      </c>
      <c r="AF431" t="s">
        <v>2016</v>
      </c>
      <c r="AG431" t="s">
        <v>1991</v>
      </c>
      <c r="AH431">
        <v>30</v>
      </c>
      <c r="AI431">
        <v>30</v>
      </c>
      <c r="AJ431" t="s">
        <v>3126</v>
      </c>
      <c r="AK431">
        <v>489</v>
      </c>
      <c r="AL431">
        <v>11000</v>
      </c>
      <c r="AN431" t="s">
        <v>3537</v>
      </c>
      <c r="AO431" t="s">
        <v>2063</v>
      </c>
      <c r="BF431" t="s">
        <v>1053</v>
      </c>
      <c r="BG431" t="s">
        <v>2393</v>
      </c>
      <c r="BH431" t="s">
        <v>2394</v>
      </c>
      <c r="BI431" t="s">
        <v>1053</v>
      </c>
      <c r="BJ431" t="s">
        <v>1053</v>
      </c>
      <c r="BK431" t="s">
        <v>1053</v>
      </c>
      <c r="BL431" t="s">
        <v>1053</v>
      </c>
      <c r="BM431" t="s">
        <v>2395</v>
      </c>
      <c r="BN431" t="s">
        <v>2396</v>
      </c>
      <c r="BO431" t="s">
        <v>1053</v>
      </c>
      <c r="BP431" t="s">
        <v>2397</v>
      </c>
      <c r="BQ431" t="s">
        <v>2398</v>
      </c>
      <c r="BR431" t="s">
        <v>1053</v>
      </c>
      <c r="BS431" t="s">
        <v>1053</v>
      </c>
      <c r="BT431" t="s">
        <v>1053</v>
      </c>
      <c r="BU431" t="s">
        <v>1053</v>
      </c>
      <c r="BV431" t="s">
        <v>3642</v>
      </c>
      <c r="BW431" t="s">
        <v>3127</v>
      </c>
      <c r="BX431" t="str">
        <f>"S------ 1515-1750; -MTWTFS 1040-1140 1515-1615"</f>
        <v>S------ 1515-1750; -MTWTFS 1040-1140 1515-1615</v>
      </c>
      <c r="BY431" t="str">
        <f>""</f>
        <v/>
      </c>
      <c r="BZ431" t="str">
        <f>""</f>
        <v/>
      </c>
      <c r="CA431" t="str">
        <f>""</f>
        <v/>
      </c>
      <c r="CB431" t="str">
        <f>""</f>
        <v/>
      </c>
      <c r="CC431" t="str">
        <f>""</f>
        <v/>
      </c>
      <c r="CD431" t="str">
        <f>""</f>
        <v/>
      </c>
      <c r="CE431" t="str">
        <f>""</f>
        <v/>
      </c>
      <c r="CF431" t="str">
        <f>""</f>
        <v/>
      </c>
      <c r="CG431" t="str">
        <f>""</f>
        <v/>
      </c>
      <c r="CH431" t="str">
        <f>""</f>
        <v/>
      </c>
    </row>
    <row r="432" spans="1:86" x14ac:dyDescent="0.25">
      <c r="A432" t="s">
        <v>3128</v>
      </c>
      <c r="B432" t="s">
        <v>3129</v>
      </c>
      <c r="C432" t="s">
        <v>1992</v>
      </c>
      <c r="D432" t="s">
        <v>2331</v>
      </c>
      <c r="E432" t="s">
        <v>3130</v>
      </c>
      <c r="F432" t="s">
        <v>3131</v>
      </c>
      <c r="H432" t="s">
        <v>3132</v>
      </c>
      <c r="I432" t="s">
        <v>700</v>
      </c>
      <c r="J432" t="str">
        <f>"27292"</f>
        <v>27292</v>
      </c>
      <c r="K432" t="s">
        <v>1998</v>
      </c>
      <c r="L432" t="s">
        <v>408</v>
      </c>
      <c r="M432" t="s">
        <v>2063</v>
      </c>
      <c r="N432" t="s">
        <v>1992</v>
      </c>
      <c r="O432" t="s">
        <v>1992</v>
      </c>
      <c r="P432" t="s">
        <v>1992</v>
      </c>
      <c r="Q432" t="s">
        <v>1992</v>
      </c>
      <c r="R432" t="s">
        <v>1992</v>
      </c>
      <c r="S432" t="s">
        <v>1992</v>
      </c>
      <c r="T432" t="s">
        <v>1992</v>
      </c>
      <c r="U432" t="s">
        <v>1992</v>
      </c>
      <c r="V432" t="s">
        <v>1991</v>
      </c>
      <c r="W432" t="s">
        <v>1991</v>
      </c>
      <c r="X432" t="s">
        <v>1992</v>
      </c>
      <c r="Y432" t="s">
        <v>1992</v>
      </c>
      <c r="Z432" t="s">
        <v>1992</v>
      </c>
      <c r="AF432" t="s">
        <v>2016</v>
      </c>
      <c r="AG432" t="s">
        <v>1991</v>
      </c>
      <c r="AH432">
        <v>30</v>
      </c>
      <c r="AI432">
        <v>30</v>
      </c>
      <c r="AJ432" t="s">
        <v>3133</v>
      </c>
      <c r="AK432">
        <v>751</v>
      </c>
      <c r="AM432" t="s">
        <v>3134</v>
      </c>
      <c r="BX432" t="str">
        <f>""</f>
        <v/>
      </c>
      <c r="BY432" t="str">
        <f>""</f>
        <v/>
      </c>
      <c r="BZ432" t="str">
        <f>""</f>
        <v/>
      </c>
      <c r="CA432" t="str">
        <f>""</f>
        <v/>
      </c>
      <c r="CB432" t="str">
        <f>""</f>
        <v/>
      </c>
      <c r="CC432" t="str">
        <f>""</f>
        <v/>
      </c>
      <c r="CD432" t="str">
        <f>""</f>
        <v/>
      </c>
      <c r="CE432" t="str">
        <f>""</f>
        <v/>
      </c>
      <c r="CF432" t="str">
        <f>""</f>
        <v/>
      </c>
      <c r="CG432" t="str">
        <f>""</f>
        <v/>
      </c>
      <c r="CH432" t="str">
        <f>""</f>
        <v/>
      </c>
    </row>
    <row r="433" spans="1:86" x14ac:dyDescent="0.25">
      <c r="A433" t="s">
        <v>3135</v>
      </c>
      <c r="B433" t="s">
        <v>3136</v>
      </c>
      <c r="C433" t="s">
        <v>1992</v>
      </c>
      <c r="D433" t="s">
        <v>2010</v>
      </c>
      <c r="E433" t="s">
        <v>3137</v>
      </c>
      <c r="H433" t="s">
        <v>2972</v>
      </c>
      <c r="I433" t="s">
        <v>830</v>
      </c>
      <c r="J433" t="str">
        <f>"70501-8032"</f>
        <v>70501-8032</v>
      </c>
      <c r="K433" t="s">
        <v>1998</v>
      </c>
      <c r="L433" t="s">
        <v>408</v>
      </c>
      <c r="M433" t="s">
        <v>2000</v>
      </c>
      <c r="N433" t="s">
        <v>1992</v>
      </c>
      <c r="O433" t="s">
        <v>1992</v>
      </c>
      <c r="P433" t="s">
        <v>1992</v>
      </c>
      <c r="Q433" t="s">
        <v>1992</v>
      </c>
      <c r="R433" t="s">
        <v>1992</v>
      </c>
      <c r="S433" t="s">
        <v>1992</v>
      </c>
      <c r="T433" t="s">
        <v>1992</v>
      </c>
      <c r="U433" t="s">
        <v>1992</v>
      </c>
      <c r="V433" t="s">
        <v>1991</v>
      </c>
      <c r="W433" t="s">
        <v>1991</v>
      </c>
      <c r="X433" t="s">
        <v>1992</v>
      </c>
      <c r="Y433" t="s">
        <v>1992</v>
      </c>
      <c r="Z433" t="s">
        <v>1992</v>
      </c>
      <c r="AF433" t="s">
        <v>2001</v>
      </c>
      <c r="AG433" t="s">
        <v>1991</v>
      </c>
      <c r="AH433">
        <v>30</v>
      </c>
      <c r="AI433">
        <v>30</v>
      </c>
      <c r="AJ433" t="s">
        <v>3138</v>
      </c>
      <c r="AK433">
        <v>38</v>
      </c>
      <c r="AL433">
        <v>114214</v>
      </c>
      <c r="AN433" t="s">
        <v>2066</v>
      </c>
      <c r="AO433" t="s">
        <v>2063</v>
      </c>
      <c r="BF433" t="s">
        <v>1053</v>
      </c>
      <c r="BG433" t="s">
        <v>2097</v>
      </c>
      <c r="BH433" t="s">
        <v>781</v>
      </c>
      <c r="BI433" t="s">
        <v>1053</v>
      </c>
      <c r="BJ433" t="s">
        <v>1053</v>
      </c>
      <c r="BK433" t="s">
        <v>1053</v>
      </c>
      <c r="BL433" t="s">
        <v>1053</v>
      </c>
      <c r="BM433" t="s">
        <v>416</v>
      </c>
      <c r="BN433" t="s">
        <v>782</v>
      </c>
      <c r="BO433" t="s">
        <v>1053</v>
      </c>
      <c r="BP433" t="s">
        <v>653</v>
      </c>
      <c r="BQ433" t="s">
        <v>783</v>
      </c>
      <c r="BR433" t="s">
        <v>1053</v>
      </c>
      <c r="BS433" t="s">
        <v>1053</v>
      </c>
      <c r="BT433" t="s">
        <v>1053</v>
      </c>
      <c r="BU433" t="s">
        <v>1053</v>
      </c>
      <c r="BV433" t="s">
        <v>416</v>
      </c>
      <c r="BW433" t="s">
        <v>782</v>
      </c>
      <c r="BX433" t="str">
        <f>""</f>
        <v/>
      </c>
      <c r="BY433" t="str">
        <f>""</f>
        <v/>
      </c>
      <c r="BZ433" t="str">
        <f>""</f>
        <v/>
      </c>
      <c r="CA433" t="str">
        <f>""</f>
        <v/>
      </c>
      <c r="CB433" t="str">
        <f>""</f>
        <v/>
      </c>
      <c r="CC433" t="str">
        <f>""</f>
        <v/>
      </c>
      <c r="CD433" t="str">
        <f>""</f>
        <v/>
      </c>
      <c r="CE433" t="str">
        <f>""</f>
        <v/>
      </c>
      <c r="CF433" t="str">
        <f>""</f>
        <v/>
      </c>
      <c r="CG433" t="str">
        <f>""</f>
        <v/>
      </c>
      <c r="CH433" t="str">
        <f>""</f>
        <v/>
      </c>
    </row>
    <row r="434" spans="1:86" x14ac:dyDescent="0.25">
      <c r="A434" t="s">
        <v>3139</v>
      </c>
      <c r="B434" t="s">
        <v>3140</v>
      </c>
      <c r="C434" t="s">
        <v>1992</v>
      </c>
      <c r="D434" t="s">
        <v>1993</v>
      </c>
      <c r="E434" t="s">
        <v>3141</v>
      </c>
      <c r="F434" t="s">
        <v>3142</v>
      </c>
      <c r="H434" t="s">
        <v>3143</v>
      </c>
      <c r="I434" t="s">
        <v>2061</v>
      </c>
      <c r="J434" t="str">
        <f>"92008-4610"</f>
        <v>92008-4610</v>
      </c>
      <c r="K434" t="s">
        <v>1998</v>
      </c>
      <c r="L434" t="s">
        <v>2062</v>
      </c>
      <c r="M434" t="s">
        <v>3144</v>
      </c>
      <c r="N434" t="s">
        <v>1992</v>
      </c>
      <c r="O434" t="s">
        <v>1992</v>
      </c>
      <c r="P434" t="s">
        <v>1992</v>
      </c>
      <c r="Q434" t="s">
        <v>1992</v>
      </c>
      <c r="R434" t="s">
        <v>1992</v>
      </c>
      <c r="S434" t="s">
        <v>1992</v>
      </c>
      <c r="T434" t="s">
        <v>1992</v>
      </c>
      <c r="U434" t="s">
        <v>1992</v>
      </c>
      <c r="V434" t="s">
        <v>1992</v>
      </c>
      <c r="AF434" t="s">
        <v>2064</v>
      </c>
      <c r="AG434" t="s">
        <v>1991</v>
      </c>
      <c r="AH434">
        <v>30</v>
      </c>
      <c r="AI434">
        <v>30</v>
      </c>
      <c r="AJ434" t="s">
        <v>3145</v>
      </c>
      <c r="AK434">
        <v>122</v>
      </c>
      <c r="AM434" t="s">
        <v>3146</v>
      </c>
      <c r="BX434" t="str">
        <f>""</f>
        <v/>
      </c>
      <c r="BY434" t="str">
        <f>""</f>
        <v/>
      </c>
      <c r="BZ434" t="str">
        <f>""</f>
        <v/>
      </c>
      <c r="CA434" t="str">
        <f>""</f>
        <v/>
      </c>
      <c r="CB434" t="str">
        <f>""</f>
        <v/>
      </c>
      <c r="CC434" t="str">
        <f>""</f>
        <v/>
      </c>
      <c r="CD434" t="str">
        <f>""</f>
        <v/>
      </c>
      <c r="CE434" t="str">
        <f>""</f>
        <v/>
      </c>
      <c r="CF434" t="str">
        <f>""</f>
        <v/>
      </c>
      <c r="CG434" t="str">
        <f>""</f>
        <v/>
      </c>
      <c r="CH434" t="str">
        <f>""</f>
        <v/>
      </c>
    </row>
    <row r="435" spans="1:86" x14ac:dyDescent="0.25">
      <c r="A435" t="s">
        <v>3147</v>
      </c>
      <c r="B435" t="s">
        <v>3148</v>
      </c>
      <c r="D435" t="s">
        <v>2089</v>
      </c>
      <c r="E435" t="s">
        <v>3149</v>
      </c>
      <c r="F435" t="s">
        <v>3150</v>
      </c>
      <c r="G435" t="s">
        <v>3151</v>
      </c>
      <c r="H435" t="s">
        <v>3143</v>
      </c>
      <c r="I435" t="s">
        <v>2061</v>
      </c>
      <c r="J435" t="str">
        <f>"92008"</f>
        <v>92008</v>
      </c>
      <c r="K435" t="s">
        <v>1998</v>
      </c>
      <c r="AJ435" t="s">
        <v>2090</v>
      </c>
      <c r="BX435" t="str">
        <f>""</f>
        <v/>
      </c>
      <c r="BY435" t="str">
        <f>""</f>
        <v/>
      </c>
      <c r="BZ435" t="str">
        <f>""</f>
        <v/>
      </c>
      <c r="CA435" t="str">
        <f>""</f>
        <v/>
      </c>
      <c r="CB435" t="str">
        <f>""</f>
        <v/>
      </c>
      <c r="CC435" t="str">
        <f>""</f>
        <v/>
      </c>
      <c r="CD435" t="str">
        <f>""</f>
        <v/>
      </c>
      <c r="CE435" t="str">
        <f>""</f>
        <v/>
      </c>
      <c r="CF435" t="str">
        <f>""</f>
        <v/>
      </c>
      <c r="CG435" t="str">
        <f>""</f>
        <v/>
      </c>
      <c r="CH435" t="str">
        <f>""</f>
        <v/>
      </c>
    </row>
    <row r="436" spans="1:86" x14ac:dyDescent="0.25">
      <c r="A436" t="s">
        <v>3152</v>
      </c>
      <c r="B436" t="s">
        <v>3153</v>
      </c>
      <c r="C436" t="s">
        <v>1992</v>
      </c>
      <c r="D436" t="s">
        <v>2010</v>
      </c>
      <c r="E436" t="s">
        <v>3154</v>
      </c>
      <c r="H436" t="s">
        <v>3155</v>
      </c>
      <c r="I436" t="s">
        <v>803</v>
      </c>
      <c r="J436" t="str">
        <f>"59923-1933"</f>
        <v>59923-1933</v>
      </c>
      <c r="K436" t="s">
        <v>1998</v>
      </c>
      <c r="L436" t="s">
        <v>231</v>
      </c>
      <c r="M436" t="s">
        <v>2063</v>
      </c>
      <c r="N436" t="s">
        <v>1992</v>
      </c>
      <c r="O436" t="s">
        <v>1992</v>
      </c>
      <c r="P436" t="s">
        <v>1992</v>
      </c>
      <c r="Q436" t="s">
        <v>1992</v>
      </c>
      <c r="R436" t="s">
        <v>1992</v>
      </c>
      <c r="S436" t="s">
        <v>1992</v>
      </c>
      <c r="T436" t="s">
        <v>1992</v>
      </c>
      <c r="U436" t="s">
        <v>1992</v>
      </c>
      <c r="V436" t="s">
        <v>1991</v>
      </c>
      <c r="W436" t="s">
        <v>1991</v>
      </c>
      <c r="X436" t="s">
        <v>1992</v>
      </c>
      <c r="Y436" t="s">
        <v>1992</v>
      </c>
      <c r="Z436" t="s">
        <v>1992</v>
      </c>
      <c r="AA436" t="s">
        <v>1992</v>
      </c>
      <c r="AF436" t="s">
        <v>2048</v>
      </c>
      <c r="AG436" t="s">
        <v>1991</v>
      </c>
      <c r="AH436">
        <v>30</v>
      </c>
      <c r="AI436">
        <v>30</v>
      </c>
      <c r="AJ436" t="s">
        <v>3156</v>
      </c>
      <c r="AK436">
        <v>2075</v>
      </c>
      <c r="AL436">
        <v>2626</v>
      </c>
      <c r="AN436" t="s">
        <v>2066</v>
      </c>
      <c r="AO436" t="s">
        <v>2063</v>
      </c>
      <c r="AU436" t="s">
        <v>1053</v>
      </c>
      <c r="AV436" t="s">
        <v>2063</v>
      </c>
      <c r="BF436" t="s">
        <v>1053</v>
      </c>
      <c r="BG436" t="s">
        <v>2019</v>
      </c>
      <c r="BH436" t="s">
        <v>240</v>
      </c>
      <c r="BI436" t="s">
        <v>1053</v>
      </c>
      <c r="BJ436" t="s">
        <v>1053</v>
      </c>
      <c r="BK436" t="s">
        <v>1053</v>
      </c>
      <c r="BM436" t="s">
        <v>241</v>
      </c>
      <c r="BN436" t="s">
        <v>242</v>
      </c>
      <c r="BO436" t="s">
        <v>1053</v>
      </c>
      <c r="BP436" t="s">
        <v>239</v>
      </c>
      <c r="BQ436" t="s">
        <v>240</v>
      </c>
      <c r="BR436" t="s">
        <v>1053</v>
      </c>
      <c r="BS436" t="s">
        <v>1053</v>
      </c>
      <c r="BT436" t="s">
        <v>1053</v>
      </c>
      <c r="BU436" t="s">
        <v>1053</v>
      </c>
      <c r="BV436" t="s">
        <v>241</v>
      </c>
      <c r="BW436" t="s">
        <v>242</v>
      </c>
      <c r="BX436" t="str">
        <f>"SMTWTFS 0000-0600 2200-2359"</f>
        <v>SMTWTFS 0000-0600 2200-2359</v>
      </c>
      <c r="BY436" t="str">
        <f>""</f>
        <v/>
      </c>
      <c r="BZ436" t="str">
        <f>""</f>
        <v/>
      </c>
      <c r="CA436" t="str">
        <f>""</f>
        <v/>
      </c>
      <c r="CB436" t="str">
        <f>""</f>
        <v/>
      </c>
      <c r="CC436" t="str">
        <f>""</f>
        <v/>
      </c>
      <c r="CD436" t="str">
        <f>""</f>
        <v/>
      </c>
      <c r="CE436" t="str">
        <f>""</f>
        <v/>
      </c>
      <c r="CF436" t="str">
        <f>""</f>
        <v/>
      </c>
      <c r="CG436" t="str">
        <f>""</f>
        <v/>
      </c>
      <c r="CH436" t="str">
        <f>""</f>
        <v/>
      </c>
    </row>
    <row r="437" spans="1:86" x14ac:dyDescent="0.25">
      <c r="A437" t="s">
        <v>3157</v>
      </c>
      <c r="B437" t="s">
        <v>3158</v>
      </c>
      <c r="C437" t="s">
        <v>1992</v>
      </c>
      <c r="D437" t="s">
        <v>1993</v>
      </c>
      <c r="E437" t="s">
        <v>3159</v>
      </c>
      <c r="F437" t="s">
        <v>3160</v>
      </c>
      <c r="G437" t="s">
        <v>3161</v>
      </c>
      <c r="H437" t="s">
        <v>3162</v>
      </c>
      <c r="I437" t="s">
        <v>2061</v>
      </c>
      <c r="J437" t="str">
        <f>"94550-3011"</f>
        <v>94550-3011</v>
      </c>
      <c r="K437" t="s">
        <v>1998</v>
      </c>
      <c r="L437" t="s">
        <v>2062</v>
      </c>
      <c r="M437" t="s">
        <v>2063</v>
      </c>
      <c r="N437" t="s">
        <v>1992</v>
      </c>
      <c r="O437" t="s">
        <v>1992</v>
      </c>
      <c r="P437" t="s">
        <v>1992</v>
      </c>
      <c r="Q437" t="s">
        <v>1992</v>
      </c>
      <c r="R437" t="s">
        <v>1992</v>
      </c>
      <c r="S437" t="s">
        <v>1992</v>
      </c>
      <c r="T437" t="s">
        <v>1992</v>
      </c>
      <c r="U437" t="s">
        <v>1992</v>
      </c>
      <c r="V437" t="s">
        <v>1991</v>
      </c>
      <c r="W437" t="s">
        <v>1992</v>
      </c>
      <c r="X437" t="s">
        <v>1992</v>
      </c>
      <c r="Y437" t="s">
        <v>1992</v>
      </c>
      <c r="Z437" t="s">
        <v>1991</v>
      </c>
      <c r="AF437" t="s">
        <v>2064</v>
      </c>
      <c r="AG437" t="s">
        <v>1991</v>
      </c>
      <c r="AH437">
        <v>30</v>
      </c>
      <c r="AI437">
        <v>30</v>
      </c>
      <c r="AJ437" t="s">
        <v>3163</v>
      </c>
      <c r="AK437">
        <v>494</v>
      </c>
      <c r="AL437">
        <v>55800</v>
      </c>
      <c r="AM437" t="s">
        <v>2298</v>
      </c>
      <c r="BF437" t="s">
        <v>1053</v>
      </c>
      <c r="BG437" t="s">
        <v>309</v>
      </c>
      <c r="BH437" t="s">
        <v>2301</v>
      </c>
      <c r="BI437" t="s">
        <v>1053</v>
      </c>
      <c r="BK437" t="s">
        <v>1053</v>
      </c>
      <c r="BO437" t="s">
        <v>1053</v>
      </c>
      <c r="BP437" t="s">
        <v>518</v>
      </c>
      <c r="BQ437" t="s">
        <v>3820</v>
      </c>
      <c r="BR437" t="s">
        <v>1053</v>
      </c>
      <c r="BT437" t="s">
        <v>1053</v>
      </c>
      <c r="BV437" t="s">
        <v>2070</v>
      </c>
      <c r="BW437">
        <v>0</v>
      </c>
      <c r="BX437" t="str">
        <f>""</f>
        <v/>
      </c>
      <c r="BY437" t="str">
        <f>""</f>
        <v/>
      </c>
      <c r="BZ437" t="str">
        <f>""</f>
        <v/>
      </c>
      <c r="CA437" t="str">
        <f>""</f>
        <v/>
      </c>
      <c r="CB437" t="str">
        <f>""</f>
        <v/>
      </c>
      <c r="CC437" t="str">
        <f>""</f>
        <v/>
      </c>
      <c r="CD437" t="str">
        <f>""</f>
        <v/>
      </c>
      <c r="CE437" t="str">
        <f>""</f>
        <v/>
      </c>
      <c r="CF437" t="str">
        <f>""</f>
        <v/>
      </c>
      <c r="CG437" t="str">
        <f>""</f>
        <v/>
      </c>
      <c r="CH437" t="str">
        <f>""</f>
        <v/>
      </c>
    </row>
    <row r="438" spans="1:86" x14ac:dyDescent="0.25">
      <c r="A438" t="s">
        <v>3164</v>
      </c>
      <c r="B438" t="s">
        <v>2988</v>
      </c>
      <c r="C438" t="s">
        <v>1991</v>
      </c>
      <c r="D438" t="s">
        <v>2010</v>
      </c>
      <c r="E438" t="s">
        <v>3165</v>
      </c>
      <c r="H438" t="s">
        <v>2990</v>
      </c>
      <c r="I438" t="s">
        <v>558</v>
      </c>
      <c r="J438" t="str">
        <f>"33801-5036"</f>
        <v>33801-5036</v>
      </c>
      <c r="K438" t="s">
        <v>1998</v>
      </c>
      <c r="L438" t="s">
        <v>408</v>
      </c>
      <c r="M438" t="s">
        <v>2991</v>
      </c>
      <c r="N438" t="s">
        <v>1991</v>
      </c>
      <c r="O438" t="s">
        <v>1992</v>
      </c>
      <c r="P438" t="s">
        <v>1992</v>
      </c>
      <c r="Q438" t="s">
        <v>1992</v>
      </c>
      <c r="R438" t="s">
        <v>1992</v>
      </c>
      <c r="S438" t="s">
        <v>1992</v>
      </c>
      <c r="T438" t="s">
        <v>1992</v>
      </c>
      <c r="U438" t="s">
        <v>1991</v>
      </c>
      <c r="V438" t="s">
        <v>1991</v>
      </c>
      <c r="W438" t="s">
        <v>1991</v>
      </c>
      <c r="X438" t="s">
        <v>1992</v>
      </c>
      <c r="Y438" t="s">
        <v>1991</v>
      </c>
      <c r="Z438" t="s">
        <v>1992</v>
      </c>
      <c r="AB438" t="s">
        <v>2992</v>
      </c>
      <c r="AE438" t="s">
        <v>296</v>
      </c>
      <c r="AF438" t="s">
        <v>2016</v>
      </c>
      <c r="AG438" t="s">
        <v>1991</v>
      </c>
      <c r="AH438">
        <v>30</v>
      </c>
      <c r="AI438">
        <v>30</v>
      </c>
      <c r="AJ438" t="s">
        <v>2993</v>
      </c>
      <c r="AK438">
        <v>183</v>
      </c>
      <c r="AL438">
        <v>90207</v>
      </c>
      <c r="AM438" t="s">
        <v>3166</v>
      </c>
      <c r="BX438" t="str">
        <f>"SMTWTFS 1000-1800"</f>
        <v>SMTWTFS 1000-1800</v>
      </c>
      <c r="BY438" t="str">
        <f>"SMTWTFS 1000-1800"</f>
        <v>SMTWTFS 1000-1800</v>
      </c>
      <c r="BZ438" t="str">
        <f>"SMTWTFS 1000-1800"</f>
        <v>SMTWTFS 1000-1800</v>
      </c>
      <c r="CA438" t="str">
        <f>"SMTWTFS 1015-1800"</f>
        <v>SMTWTFS 1015-1800</v>
      </c>
      <c r="CB438" t="str">
        <f>""</f>
        <v/>
      </c>
      <c r="CC438" t="str">
        <f>""</f>
        <v/>
      </c>
      <c r="CD438" t="str">
        <f>""</f>
        <v/>
      </c>
      <c r="CE438" t="str">
        <f>""</f>
        <v/>
      </c>
      <c r="CF438" t="str">
        <f>""</f>
        <v/>
      </c>
      <c r="CG438" t="str">
        <f>""</f>
        <v/>
      </c>
      <c r="CH438" t="str">
        <f>""</f>
        <v/>
      </c>
    </row>
    <row r="439" spans="1:86" x14ac:dyDescent="0.25">
      <c r="A439" t="s">
        <v>3167</v>
      </c>
      <c r="B439" t="s">
        <v>3168</v>
      </c>
      <c r="C439" t="s">
        <v>1992</v>
      </c>
      <c r="D439" t="s">
        <v>1993</v>
      </c>
      <c r="E439" t="s">
        <v>3169</v>
      </c>
      <c r="F439" t="s">
        <v>3170</v>
      </c>
      <c r="H439" t="s">
        <v>3171</v>
      </c>
      <c r="I439" t="s">
        <v>576</v>
      </c>
      <c r="J439" t="str">
        <f>"99148"</f>
        <v>99148</v>
      </c>
      <c r="K439" t="s">
        <v>1998</v>
      </c>
      <c r="L439" t="s">
        <v>231</v>
      </c>
      <c r="M439" t="s">
        <v>2000</v>
      </c>
      <c r="N439" t="s">
        <v>1992</v>
      </c>
      <c r="O439" t="s">
        <v>1992</v>
      </c>
      <c r="P439" t="s">
        <v>1992</v>
      </c>
      <c r="Q439" t="s">
        <v>1992</v>
      </c>
      <c r="R439" t="s">
        <v>1992</v>
      </c>
      <c r="S439" t="s">
        <v>1992</v>
      </c>
      <c r="T439" t="s">
        <v>1992</v>
      </c>
      <c r="U439" t="s">
        <v>1992</v>
      </c>
      <c r="V439" t="s">
        <v>1991</v>
      </c>
      <c r="Z439" t="s">
        <v>1991</v>
      </c>
      <c r="AF439" t="s">
        <v>2064</v>
      </c>
      <c r="AG439" t="s">
        <v>1991</v>
      </c>
      <c r="AH439">
        <v>15</v>
      </c>
      <c r="AI439">
        <v>15</v>
      </c>
      <c r="AJ439" t="s">
        <v>3172</v>
      </c>
      <c r="AK439">
        <v>2410</v>
      </c>
      <c r="BX439" t="str">
        <f>""</f>
        <v/>
      </c>
      <c r="BY439" t="str">
        <f>""</f>
        <v/>
      </c>
      <c r="BZ439" t="str">
        <f>""</f>
        <v/>
      </c>
      <c r="CA439" t="str">
        <f>""</f>
        <v/>
      </c>
      <c r="CB439" t="str">
        <f>""</f>
        <v/>
      </c>
      <c r="CC439" t="str">
        <f>""</f>
        <v/>
      </c>
      <c r="CD439" t="str">
        <f>""</f>
        <v/>
      </c>
      <c r="CE439" t="str">
        <f>""</f>
        <v/>
      </c>
      <c r="CF439" t="str">
        <f>""</f>
        <v/>
      </c>
      <c r="CG439" t="str">
        <f>""</f>
        <v/>
      </c>
      <c r="CH439" t="str">
        <f>""</f>
        <v/>
      </c>
    </row>
    <row r="440" spans="1:86" x14ac:dyDescent="0.25">
      <c r="A440" t="s">
        <v>3173</v>
      </c>
      <c r="B440" t="s">
        <v>3174</v>
      </c>
      <c r="C440" t="s">
        <v>1992</v>
      </c>
      <c r="D440" t="s">
        <v>1993</v>
      </c>
      <c r="E440" t="s">
        <v>3175</v>
      </c>
      <c r="F440" t="s">
        <v>3176</v>
      </c>
      <c r="G440" t="s">
        <v>3177</v>
      </c>
      <c r="H440" t="s">
        <v>3178</v>
      </c>
      <c r="I440" t="s">
        <v>2061</v>
      </c>
      <c r="J440" t="str">
        <f>"93245-3663"</f>
        <v>93245-3663</v>
      </c>
      <c r="K440" t="s">
        <v>1998</v>
      </c>
      <c r="L440" t="s">
        <v>2062</v>
      </c>
      <c r="M440" t="s">
        <v>2063</v>
      </c>
      <c r="N440" t="s">
        <v>1992</v>
      </c>
      <c r="O440" t="s">
        <v>1992</v>
      </c>
      <c r="P440" t="s">
        <v>1992</v>
      </c>
      <c r="Q440" t="s">
        <v>1992</v>
      </c>
      <c r="R440" t="s">
        <v>1992</v>
      </c>
      <c r="S440" t="s">
        <v>1992</v>
      </c>
      <c r="T440" t="s">
        <v>1992</v>
      </c>
      <c r="U440" t="s">
        <v>1992</v>
      </c>
      <c r="V440" t="s">
        <v>1991</v>
      </c>
      <c r="W440" t="s">
        <v>1992</v>
      </c>
      <c r="X440" t="s">
        <v>1991</v>
      </c>
      <c r="Y440" t="s">
        <v>1992</v>
      </c>
      <c r="Z440" t="s">
        <v>1991</v>
      </c>
      <c r="AF440" t="s">
        <v>2064</v>
      </c>
      <c r="AG440" t="s">
        <v>1991</v>
      </c>
      <c r="AH440">
        <v>30</v>
      </c>
      <c r="AI440">
        <v>30</v>
      </c>
      <c r="AJ440" t="s">
        <v>3179</v>
      </c>
      <c r="AK440">
        <v>228</v>
      </c>
      <c r="AM440" t="s">
        <v>2298</v>
      </c>
      <c r="BF440" t="s">
        <v>1053</v>
      </c>
      <c r="BG440" t="s">
        <v>309</v>
      </c>
      <c r="BH440" t="s">
        <v>2301</v>
      </c>
      <c r="BI440" t="s">
        <v>1053</v>
      </c>
      <c r="BK440" t="s">
        <v>1053</v>
      </c>
      <c r="BO440" t="s">
        <v>1053</v>
      </c>
      <c r="BP440" t="s">
        <v>3180</v>
      </c>
      <c r="BQ440" t="s">
        <v>1703</v>
      </c>
      <c r="BR440" t="s">
        <v>1053</v>
      </c>
      <c r="BS440" t="s">
        <v>1053</v>
      </c>
      <c r="BT440" t="s">
        <v>1053</v>
      </c>
      <c r="BU440" t="s">
        <v>1053</v>
      </c>
      <c r="BV440" t="s">
        <v>2074</v>
      </c>
      <c r="BX440" t="str">
        <f>""</f>
        <v/>
      </c>
      <c r="BY440" t="str">
        <f>""</f>
        <v/>
      </c>
      <c r="BZ440" t="str">
        <f>""</f>
        <v/>
      </c>
      <c r="CA440" t="str">
        <f>""</f>
        <v/>
      </c>
      <c r="CB440" t="str">
        <f>""</f>
        <v/>
      </c>
      <c r="CC440" t="str">
        <f>""</f>
        <v/>
      </c>
      <c r="CD440" t="str">
        <f>""</f>
        <v/>
      </c>
      <c r="CE440" t="str">
        <f>""</f>
        <v/>
      </c>
      <c r="CF440" t="str">
        <f>""</f>
        <v/>
      </c>
      <c r="CG440" t="str">
        <f>""</f>
        <v/>
      </c>
      <c r="CH440" t="str">
        <f>""</f>
        <v/>
      </c>
    </row>
    <row r="441" spans="1:86" x14ac:dyDescent="0.25">
      <c r="A441" t="s">
        <v>3181</v>
      </c>
      <c r="B441" t="s">
        <v>3182</v>
      </c>
      <c r="C441" t="s">
        <v>1992</v>
      </c>
      <c r="D441" t="s">
        <v>1993</v>
      </c>
      <c r="E441" t="s">
        <v>3183</v>
      </c>
      <c r="H441" t="s">
        <v>3178</v>
      </c>
      <c r="I441" t="s">
        <v>2061</v>
      </c>
      <c r="J441" t="str">
        <f>"93245"</f>
        <v>93245</v>
      </c>
      <c r="K441" t="s">
        <v>1998</v>
      </c>
      <c r="L441" t="s">
        <v>2062</v>
      </c>
      <c r="M441" t="s">
        <v>2063</v>
      </c>
      <c r="N441" t="s">
        <v>1992</v>
      </c>
      <c r="O441" t="s">
        <v>1992</v>
      </c>
      <c r="P441" t="s">
        <v>1992</v>
      </c>
      <c r="Q441" t="s">
        <v>1992</v>
      </c>
      <c r="R441" t="s">
        <v>1992</v>
      </c>
      <c r="S441" t="s">
        <v>1992</v>
      </c>
      <c r="T441" t="s">
        <v>1992</v>
      </c>
      <c r="U441" t="s">
        <v>1992</v>
      </c>
      <c r="V441" t="s">
        <v>1991</v>
      </c>
      <c r="W441" t="s">
        <v>1992</v>
      </c>
      <c r="X441" t="s">
        <v>1992</v>
      </c>
      <c r="Y441" t="s">
        <v>1991</v>
      </c>
      <c r="Z441" t="s">
        <v>1991</v>
      </c>
      <c r="AF441" t="s">
        <v>2064</v>
      </c>
      <c r="AG441" t="s">
        <v>1991</v>
      </c>
      <c r="AH441">
        <v>30</v>
      </c>
      <c r="AI441">
        <v>30</v>
      </c>
      <c r="AJ441" t="s">
        <v>3184</v>
      </c>
      <c r="AK441">
        <v>228</v>
      </c>
      <c r="AM441" t="s">
        <v>3185</v>
      </c>
      <c r="BF441" t="s">
        <v>1053</v>
      </c>
      <c r="BG441" t="s">
        <v>330</v>
      </c>
      <c r="BH441" t="s">
        <v>3186</v>
      </c>
      <c r="BI441" t="s">
        <v>1053</v>
      </c>
      <c r="BO441" t="s">
        <v>1053</v>
      </c>
      <c r="BP441" t="s">
        <v>309</v>
      </c>
      <c r="BQ441" t="s">
        <v>2301</v>
      </c>
      <c r="BR441" t="s">
        <v>1053</v>
      </c>
      <c r="BT441" t="s">
        <v>1053</v>
      </c>
      <c r="BX441" t="str">
        <f>""</f>
        <v/>
      </c>
      <c r="BY441" t="str">
        <f>""</f>
        <v/>
      </c>
      <c r="BZ441" t="str">
        <f>""</f>
        <v/>
      </c>
      <c r="CA441" t="str">
        <f>""</f>
        <v/>
      </c>
      <c r="CB441" t="str">
        <f>""</f>
        <v/>
      </c>
      <c r="CC441" t="str">
        <f>""</f>
        <v/>
      </c>
      <c r="CD441" t="str">
        <f>""</f>
        <v/>
      </c>
      <c r="CE441" t="str">
        <f>""</f>
        <v/>
      </c>
      <c r="CF441" t="str">
        <f>""</f>
        <v/>
      </c>
      <c r="CG441" t="str">
        <f>""</f>
        <v/>
      </c>
      <c r="CH441" t="str">
        <f>""</f>
        <v/>
      </c>
    </row>
    <row r="442" spans="1:86" x14ac:dyDescent="0.25">
      <c r="A442" t="s">
        <v>3187</v>
      </c>
      <c r="B442" t="s">
        <v>3188</v>
      </c>
      <c r="C442" t="s">
        <v>1992</v>
      </c>
      <c r="D442" t="s">
        <v>1993</v>
      </c>
      <c r="E442" t="s">
        <v>3189</v>
      </c>
      <c r="F442" t="s">
        <v>3190</v>
      </c>
      <c r="H442" t="s">
        <v>3191</v>
      </c>
      <c r="I442" t="s">
        <v>2381</v>
      </c>
      <c r="J442" t="str">
        <f>"77568"</f>
        <v>77568</v>
      </c>
      <c r="K442" t="s">
        <v>1998</v>
      </c>
      <c r="L442" t="s">
        <v>2045</v>
      </c>
      <c r="M442" t="s">
        <v>2063</v>
      </c>
      <c r="N442" t="s">
        <v>1992</v>
      </c>
      <c r="O442" t="s">
        <v>1992</v>
      </c>
      <c r="P442" t="s">
        <v>1992</v>
      </c>
      <c r="Q442" t="s">
        <v>1992</v>
      </c>
      <c r="R442" t="s">
        <v>1992</v>
      </c>
      <c r="S442" t="s">
        <v>1992</v>
      </c>
      <c r="T442" t="s">
        <v>1992</v>
      </c>
      <c r="U442" t="s">
        <v>1992</v>
      </c>
      <c r="V442" t="s">
        <v>1991</v>
      </c>
      <c r="W442" t="s">
        <v>1992</v>
      </c>
      <c r="X442" t="s">
        <v>1992</v>
      </c>
      <c r="Y442" t="s">
        <v>1992</v>
      </c>
      <c r="Z442" t="s">
        <v>1991</v>
      </c>
      <c r="AF442" t="s">
        <v>2001</v>
      </c>
      <c r="AG442" t="s">
        <v>1991</v>
      </c>
      <c r="AH442">
        <v>30</v>
      </c>
      <c r="AI442">
        <v>30</v>
      </c>
      <c r="AJ442" t="s">
        <v>3192</v>
      </c>
      <c r="AK442">
        <v>15</v>
      </c>
      <c r="AL442">
        <v>25000</v>
      </c>
      <c r="AN442" t="s">
        <v>3193</v>
      </c>
      <c r="AO442" t="s">
        <v>2063</v>
      </c>
      <c r="BF442" t="s">
        <v>1053</v>
      </c>
      <c r="BG442" t="s">
        <v>235</v>
      </c>
      <c r="BH442" t="s">
        <v>1754</v>
      </c>
      <c r="BI442" t="s">
        <v>1053</v>
      </c>
      <c r="BK442" t="s">
        <v>1053</v>
      </c>
      <c r="BM442" t="s">
        <v>3029</v>
      </c>
      <c r="BN442" t="s">
        <v>1759</v>
      </c>
      <c r="BO442" t="s">
        <v>1053</v>
      </c>
      <c r="BP442" t="s">
        <v>3194</v>
      </c>
      <c r="BQ442" t="s">
        <v>1599</v>
      </c>
      <c r="BR442" t="s">
        <v>1053</v>
      </c>
      <c r="BS442" t="s">
        <v>1053</v>
      </c>
      <c r="BT442" t="s">
        <v>1053</v>
      </c>
      <c r="BU442" t="s">
        <v>1053</v>
      </c>
      <c r="BV442" t="s">
        <v>2056</v>
      </c>
      <c r="BX442" t="str">
        <f>""</f>
        <v/>
      </c>
      <c r="BY442" t="str">
        <f>""</f>
        <v/>
      </c>
      <c r="BZ442" t="str">
        <f>""</f>
        <v/>
      </c>
      <c r="CA442" t="str">
        <f>""</f>
        <v/>
      </c>
      <c r="CB442" t="str">
        <f>""</f>
        <v/>
      </c>
      <c r="CC442" t="str">
        <f>""</f>
        <v/>
      </c>
      <c r="CD442" t="str">
        <f>""</f>
        <v/>
      </c>
      <c r="CE442" t="str">
        <f>""</f>
        <v/>
      </c>
      <c r="CF442" t="str">
        <f>""</f>
        <v/>
      </c>
      <c r="CG442" t="str">
        <f>""</f>
        <v/>
      </c>
      <c r="CH442" t="str">
        <f>""</f>
        <v/>
      </c>
    </row>
    <row r="443" spans="1:86" x14ac:dyDescent="0.25">
      <c r="A443" t="s">
        <v>3195</v>
      </c>
      <c r="B443" t="s">
        <v>3196</v>
      </c>
      <c r="C443" t="s">
        <v>1992</v>
      </c>
      <c r="D443" t="s">
        <v>2331</v>
      </c>
      <c r="E443" t="s">
        <v>3197</v>
      </c>
      <c r="H443" t="s">
        <v>3198</v>
      </c>
      <c r="I443" t="s">
        <v>3629</v>
      </c>
      <c r="J443" t="str">
        <f>"81052"</f>
        <v>81052</v>
      </c>
      <c r="K443" t="s">
        <v>1998</v>
      </c>
      <c r="L443" t="s">
        <v>2045</v>
      </c>
      <c r="M443" t="s">
        <v>2063</v>
      </c>
      <c r="N443" t="s">
        <v>1992</v>
      </c>
      <c r="O443" t="s">
        <v>1992</v>
      </c>
      <c r="P443" t="s">
        <v>1992</v>
      </c>
      <c r="Q443" t="s">
        <v>1992</v>
      </c>
      <c r="R443" t="s">
        <v>1992</v>
      </c>
      <c r="S443" t="s">
        <v>1992</v>
      </c>
      <c r="T443" t="s">
        <v>1992</v>
      </c>
      <c r="U443" t="s">
        <v>1992</v>
      </c>
      <c r="V443" t="s">
        <v>1991</v>
      </c>
      <c r="W443" t="s">
        <v>1991</v>
      </c>
      <c r="X443" t="s">
        <v>1992</v>
      </c>
      <c r="Y443" t="s">
        <v>1992</v>
      </c>
      <c r="Z443" t="s">
        <v>1992</v>
      </c>
      <c r="AF443" t="s">
        <v>2048</v>
      </c>
      <c r="AG443" t="s">
        <v>1991</v>
      </c>
      <c r="AH443">
        <v>30</v>
      </c>
      <c r="AI443">
        <v>30</v>
      </c>
      <c r="AJ443" t="s">
        <v>3199</v>
      </c>
      <c r="AK443">
        <v>3618</v>
      </c>
      <c r="AL443">
        <v>8869</v>
      </c>
      <c r="AN443" t="s">
        <v>2066</v>
      </c>
      <c r="BF443" t="s">
        <v>1053</v>
      </c>
      <c r="BG443" t="s">
        <v>2019</v>
      </c>
      <c r="BH443" t="s">
        <v>2053</v>
      </c>
      <c r="BI443" t="s">
        <v>1053</v>
      </c>
      <c r="BO443" t="s">
        <v>1053</v>
      </c>
      <c r="BP443" t="s">
        <v>2054</v>
      </c>
      <c r="BQ443" t="s">
        <v>2055</v>
      </c>
      <c r="BR443" t="s">
        <v>1053</v>
      </c>
      <c r="BS443" t="s">
        <v>1053</v>
      </c>
      <c r="BV443" t="s">
        <v>2056</v>
      </c>
      <c r="BX443" t="str">
        <f>"SMTWTFS 0606-2145"</f>
        <v>SMTWTFS 0606-2145</v>
      </c>
      <c r="BY443" t="str">
        <f>""</f>
        <v/>
      </c>
      <c r="BZ443" t="str">
        <f>""</f>
        <v/>
      </c>
      <c r="CA443" t="str">
        <f>""</f>
        <v/>
      </c>
      <c r="CB443" t="str">
        <f>""</f>
        <v/>
      </c>
      <c r="CC443" t="str">
        <f>""</f>
        <v/>
      </c>
      <c r="CD443" t="str">
        <f>""</f>
        <v/>
      </c>
      <c r="CE443" t="str">
        <f>""</f>
        <v/>
      </c>
      <c r="CF443" t="str">
        <f>""</f>
        <v/>
      </c>
      <c r="CG443" t="str">
        <f>""</f>
        <v/>
      </c>
      <c r="CH443" t="str">
        <f>""</f>
        <v/>
      </c>
    </row>
    <row r="444" spans="1:86" x14ac:dyDescent="0.25">
      <c r="A444" t="s">
        <v>3200</v>
      </c>
      <c r="B444" t="s">
        <v>3201</v>
      </c>
      <c r="C444" t="s">
        <v>1991</v>
      </c>
      <c r="D444" t="s">
        <v>2010</v>
      </c>
      <c r="E444" t="s">
        <v>3202</v>
      </c>
      <c r="F444" t="s">
        <v>3203</v>
      </c>
      <c r="H444" t="s">
        <v>3204</v>
      </c>
      <c r="I444" t="s">
        <v>2044</v>
      </c>
      <c r="J444" t="str">
        <f>"87540"</f>
        <v>87540</v>
      </c>
      <c r="K444" t="s">
        <v>1998</v>
      </c>
      <c r="L444" t="s">
        <v>2045</v>
      </c>
      <c r="M444" t="s">
        <v>3205</v>
      </c>
      <c r="N444" t="s">
        <v>1991</v>
      </c>
      <c r="O444" t="s">
        <v>1992</v>
      </c>
      <c r="P444" t="s">
        <v>1992</v>
      </c>
      <c r="Q444" t="s">
        <v>1991</v>
      </c>
      <c r="R444" t="s">
        <v>1992</v>
      </c>
      <c r="S444" t="s">
        <v>1992</v>
      </c>
      <c r="T444" t="s">
        <v>1992</v>
      </c>
      <c r="U444" t="s">
        <v>1991</v>
      </c>
      <c r="V444" t="s">
        <v>1991</v>
      </c>
      <c r="W444" t="s">
        <v>1991</v>
      </c>
      <c r="Z444" t="s">
        <v>1991</v>
      </c>
      <c r="AE444" t="s">
        <v>2047</v>
      </c>
      <c r="AF444" t="s">
        <v>2048</v>
      </c>
      <c r="AG444" t="s">
        <v>1991</v>
      </c>
      <c r="AH444">
        <v>60</v>
      </c>
      <c r="AI444">
        <v>30</v>
      </c>
      <c r="AJ444" t="s">
        <v>3206</v>
      </c>
      <c r="AK444">
        <v>6478</v>
      </c>
      <c r="AL444">
        <v>109</v>
      </c>
      <c r="AN444" t="s">
        <v>1053</v>
      </c>
      <c r="AO444" t="s">
        <v>1053</v>
      </c>
      <c r="AQ444" t="s">
        <v>1053</v>
      </c>
      <c r="AS444" t="s">
        <v>3200</v>
      </c>
      <c r="AT444" t="s">
        <v>3207</v>
      </c>
      <c r="BF444" t="s">
        <v>1053</v>
      </c>
      <c r="BG444" t="s">
        <v>2019</v>
      </c>
      <c r="BH444" t="s">
        <v>2053</v>
      </c>
      <c r="BI444" t="s">
        <v>1053</v>
      </c>
      <c r="BO444" t="s">
        <v>1053</v>
      </c>
      <c r="BP444" t="s">
        <v>2054</v>
      </c>
      <c r="BQ444" t="s">
        <v>2055</v>
      </c>
      <c r="BR444" t="s">
        <v>1053</v>
      </c>
      <c r="BS444" t="s">
        <v>1053</v>
      </c>
      <c r="BV444" t="s">
        <v>2056</v>
      </c>
      <c r="BX444" t="str">
        <f>"SMTWTFS 0845-1615"</f>
        <v>SMTWTFS 0845-1615</v>
      </c>
      <c r="BY444" t="str">
        <f>"SMTWTFS 0845-1615"</f>
        <v>SMTWTFS 0845-1615</v>
      </c>
      <c r="BZ444" t="str">
        <f>"SMTWTFS 0845-1615"</f>
        <v>SMTWTFS 0845-1615</v>
      </c>
      <c r="CA444" t="str">
        <f>"SMTWTFS 0845-1615"</f>
        <v>SMTWTFS 0845-1615</v>
      </c>
      <c r="CB444" t="str">
        <f>""</f>
        <v/>
      </c>
      <c r="CC444" t="str">
        <f>""</f>
        <v/>
      </c>
      <c r="CD444" t="str">
        <f>""</f>
        <v/>
      </c>
      <c r="CE444" t="str">
        <f>""</f>
        <v/>
      </c>
      <c r="CF444" t="str">
        <f>""</f>
        <v/>
      </c>
      <c r="CG444" t="str">
        <f>""</f>
        <v/>
      </c>
      <c r="CH444" t="str">
        <f>""</f>
        <v/>
      </c>
    </row>
    <row r="445" spans="1:86" x14ac:dyDescent="0.25">
      <c r="A445" t="s">
        <v>3208</v>
      </c>
      <c r="B445" t="s">
        <v>3209</v>
      </c>
      <c r="C445" t="s">
        <v>1991</v>
      </c>
      <c r="D445" t="s">
        <v>2010</v>
      </c>
      <c r="E445" t="s">
        <v>3210</v>
      </c>
      <c r="H445" t="s">
        <v>3080</v>
      </c>
      <c r="I445" t="s">
        <v>2388</v>
      </c>
      <c r="J445" t="str">
        <f>"17602"</f>
        <v>17602</v>
      </c>
      <c r="K445" t="s">
        <v>1998</v>
      </c>
      <c r="L445" t="s">
        <v>2015</v>
      </c>
      <c r="M445" t="s">
        <v>3211</v>
      </c>
      <c r="N445" t="s">
        <v>1991</v>
      </c>
      <c r="O445" t="s">
        <v>1991</v>
      </c>
      <c r="P445" t="s">
        <v>1992</v>
      </c>
      <c r="Q445" t="s">
        <v>1992</v>
      </c>
      <c r="R445" t="s">
        <v>1992</v>
      </c>
      <c r="S445" t="s">
        <v>1992</v>
      </c>
      <c r="T445" t="s">
        <v>1992</v>
      </c>
      <c r="U445" t="s">
        <v>1991</v>
      </c>
      <c r="V445" t="s">
        <v>1991</v>
      </c>
      <c r="W445" t="s">
        <v>1991</v>
      </c>
      <c r="X445" t="s">
        <v>1992</v>
      </c>
      <c r="Y445" t="s">
        <v>1992</v>
      </c>
      <c r="Z445" t="s">
        <v>1992</v>
      </c>
      <c r="AE445" t="s">
        <v>2047</v>
      </c>
      <c r="AF445" t="s">
        <v>2016</v>
      </c>
      <c r="AG445" t="s">
        <v>1991</v>
      </c>
      <c r="AH445">
        <v>30</v>
      </c>
      <c r="AI445">
        <v>30</v>
      </c>
      <c r="AJ445" t="s">
        <v>3212</v>
      </c>
      <c r="AK445">
        <v>350</v>
      </c>
      <c r="AL445">
        <v>56348</v>
      </c>
      <c r="AM445" t="s">
        <v>3213</v>
      </c>
      <c r="AN445" t="s">
        <v>1053</v>
      </c>
      <c r="AO445" t="s">
        <v>1053</v>
      </c>
      <c r="AP445" t="s">
        <v>1053</v>
      </c>
      <c r="AQ445" t="s">
        <v>1053</v>
      </c>
      <c r="AR445" t="s">
        <v>1053</v>
      </c>
      <c r="AS445" t="s">
        <v>3208</v>
      </c>
      <c r="AT445" t="s">
        <v>3214</v>
      </c>
      <c r="AU445" t="s">
        <v>1053</v>
      </c>
      <c r="AV445" t="s">
        <v>1053</v>
      </c>
      <c r="AW445" t="s">
        <v>1053</v>
      </c>
      <c r="AX445" t="s">
        <v>1053</v>
      </c>
      <c r="AY445" t="s">
        <v>1053</v>
      </c>
      <c r="AZ445" t="s">
        <v>3208</v>
      </c>
      <c r="BA445" t="s">
        <v>3214</v>
      </c>
      <c r="BB445" t="s">
        <v>1053</v>
      </c>
      <c r="BC445" t="s">
        <v>1053</v>
      </c>
      <c r="BD445" t="s">
        <v>1053</v>
      </c>
      <c r="BE445" t="s">
        <v>1053</v>
      </c>
      <c r="BF445" t="s">
        <v>1053</v>
      </c>
      <c r="BG445" t="s">
        <v>235</v>
      </c>
      <c r="BH445" t="s">
        <v>1395</v>
      </c>
      <c r="BI445" t="s">
        <v>1053</v>
      </c>
      <c r="BJ445" t="s">
        <v>1053</v>
      </c>
      <c r="BK445" t="s">
        <v>1053</v>
      </c>
      <c r="BL445" t="s">
        <v>1053</v>
      </c>
      <c r="BM445" t="s">
        <v>3642</v>
      </c>
      <c r="BN445" t="s">
        <v>3643</v>
      </c>
      <c r="BO445" t="s">
        <v>1053</v>
      </c>
      <c r="BP445" t="s">
        <v>2397</v>
      </c>
      <c r="BQ445" t="s">
        <v>318</v>
      </c>
      <c r="BR445" t="s">
        <v>1053</v>
      </c>
      <c r="BS445" t="s">
        <v>1053</v>
      </c>
      <c r="BT445" t="s">
        <v>1053</v>
      </c>
      <c r="BU445" t="s">
        <v>1053</v>
      </c>
      <c r="BV445" t="s">
        <v>319</v>
      </c>
      <c r="BW445" t="s">
        <v>226</v>
      </c>
      <c r="BX445" t="str">
        <f>"S-----S 0715-2315; -MTWTF- 0500-2359"</f>
        <v>S-----S 0715-2315; -MTWTF- 0500-2359</v>
      </c>
      <c r="BY445" t="str">
        <f>""</f>
        <v/>
      </c>
      <c r="BZ445" t="str">
        <f>"S-----S 0645-2230; -MTWTF- 0645-2359"</f>
        <v>S-----S 0645-2230; -MTWTF- 0645-2359</v>
      </c>
      <c r="CA445" t="str">
        <f>"S------ 0715-2100; -MTWTF- 0505-2100; ------S 0715-1900"</f>
        <v>S------ 0715-2100; -MTWTF- 0505-2100; ------S 0715-1900</v>
      </c>
      <c r="CB445" t="str">
        <f>""</f>
        <v/>
      </c>
      <c r="CC445" t="str">
        <f>"S-----S 0630-2230; -MTWTF- 0500-2359"</f>
        <v>S-----S 0630-2230; -MTWTF- 0500-2359</v>
      </c>
      <c r="CD445" t="str">
        <f>""</f>
        <v/>
      </c>
      <c r="CE445" t="str">
        <f>""</f>
        <v/>
      </c>
      <c r="CF445" t="str">
        <f>""</f>
        <v/>
      </c>
      <c r="CG445" t="str">
        <f>""</f>
        <v/>
      </c>
      <c r="CH445" t="str">
        <f>"SMTWTFS 0000-2359"</f>
        <v>SMTWTFS 0000-2359</v>
      </c>
    </row>
    <row r="446" spans="1:86" x14ac:dyDescent="0.25">
      <c r="A446" t="s">
        <v>3215</v>
      </c>
      <c r="B446" t="s">
        <v>3216</v>
      </c>
      <c r="C446" t="s">
        <v>1991</v>
      </c>
      <c r="D446" t="s">
        <v>2010</v>
      </c>
      <c r="E446" t="s">
        <v>3217</v>
      </c>
      <c r="H446" t="s">
        <v>3074</v>
      </c>
      <c r="I446" t="s">
        <v>5258</v>
      </c>
      <c r="J446" t="str">
        <f>"68508"</f>
        <v>68508</v>
      </c>
      <c r="K446" t="s">
        <v>1998</v>
      </c>
      <c r="L446" t="s">
        <v>1999</v>
      </c>
      <c r="M446" t="s">
        <v>3218</v>
      </c>
      <c r="N446" t="s">
        <v>1991</v>
      </c>
      <c r="O446" t="s">
        <v>1992</v>
      </c>
      <c r="P446" t="s">
        <v>1992</v>
      </c>
      <c r="Q446" t="s">
        <v>1991</v>
      </c>
      <c r="R446" t="s">
        <v>1991</v>
      </c>
      <c r="S446" t="s">
        <v>1992</v>
      </c>
      <c r="T446" t="s">
        <v>1992</v>
      </c>
      <c r="U446" t="s">
        <v>1992</v>
      </c>
      <c r="V446" t="s">
        <v>1991</v>
      </c>
      <c r="W446" t="s">
        <v>1991</v>
      </c>
      <c r="X446" t="s">
        <v>1992</v>
      </c>
      <c r="Y446" t="s">
        <v>1992</v>
      </c>
      <c r="Z446" t="s">
        <v>1992</v>
      </c>
      <c r="AE446" t="s">
        <v>2047</v>
      </c>
      <c r="AF446" t="s">
        <v>2001</v>
      </c>
      <c r="AG446" t="s">
        <v>1991</v>
      </c>
      <c r="AH446">
        <v>60</v>
      </c>
      <c r="AI446">
        <v>30</v>
      </c>
      <c r="AJ446" t="s">
        <v>3219</v>
      </c>
      <c r="AK446">
        <v>1152</v>
      </c>
      <c r="AL446">
        <v>200000</v>
      </c>
      <c r="AM446" t="s">
        <v>3220</v>
      </c>
      <c r="AN446" t="s">
        <v>1053</v>
      </c>
      <c r="AO446" t="s">
        <v>1053</v>
      </c>
      <c r="AP446" t="s">
        <v>2069</v>
      </c>
      <c r="AQ446" t="s">
        <v>1053</v>
      </c>
      <c r="AR446" t="s">
        <v>2069</v>
      </c>
      <c r="AS446" t="s">
        <v>3215</v>
      </c>
      <c r="AT446" t="s">
        <v>3221</v>
      </c>
      <c r="AU446" t="s">
        <v>1053</v>
      </c>
      <c r="AV446" t="s">
        <v>1053</v>
      </c>
      <c r="AW446" t="s">
        <v>2069</v>
      </c>
      <c r="AX446" t="s">
        <v>1053</v>
      </c>
      <c r="AY446" t="s">
        <v>2069</v>
      </c>
      <c r="AZ446" t="s">
        <v>3215</v>
      </c>
      <c r="BA446" t="s">
        <v>3221</v>
      </c>
      <c r="BB446" t="s">
        <v>1053</v>
      </c>
      <c r="BC446" t="s">
        <v>2069</v>
      </c>
      <c r="BD446" t="s">
        <v>1053</v>
      </c>
      <c r="BE446" t="s">
        <v>2069</v>
      </c>
      <c r="BF446" t="s">
        <v>1053</v>
      </c>
      <c r="BG446" t="s">
        <v>2097</v>
      </c>
      <c r="BH446" t="s">
        <v>798</v>
      </c>
      <c r="BI446" t="s">
        <v>1053</v>
      </c>
      <c r="BK446" t="s">
        <v>1053</v>
      </c>
      <c r="BL446" t="s">
        <v>1053</v>
      </c>
      <c r="BO446" t="s">
        <v>1053</v>
      </c>
      <c r="BP446" t="s">
        <v>653</v>
      </c>
      <c r="BQ446" t="s">
        <v>2376</v>
      </c>
      <c r="BR446" t="s">
        <v>1053</v>
      </c>
      <c r="BX446" t="str">
        <f>"SMTWTFS 0000-0630 2300-2359"</f>
        <v>SMTWTFS 0000-0630 2300-2359</v>
      </c>
      <c r="BY446" t="str">
        <f>"SMTWTFS 0000-0630 2300-2359"</f>
        <v>SMTWTFS 0000-0630 2300-2359</v>
      </c>
      <c r="BZ446" t="str">
        <f>"SMTWTFS 0000-0630 2130-2359"</f>
        <v>SMTWTFS 0000-0630 2130-2359</v>
      </c>
      <c r="CA446" t="str">
        <f>"SMTWTFS 0000-0630 2300-2359"</f>
        <v>SMTWTFS 0000-0630 2300-2359</v>
      </c>
      <c r="CB446" t="str">
        <f>""</f>
        <v/>
      </c>
      <c r="CC446" t="str">
        <f>""</f>
        <v/>
      </c>
      <c r="CD446" t="str">
        <f>""</f>
        <v/>
      </c>
      <c r="CE446" t="str">
        <f>""</f>
        <v/>
      </c>
      <c r="CF446" t="str">
        <f>"SMTWTFS 0000-0630 2300-2359"</f>
        <v>SMTWTFS 0000-0630 2300-2359</v>
      </c>
      <c r="CG446" t="str">
        <f>""</f>
        <v/>
      </c>
      <c r="CH446" t="str">
        <f>""</f>
        <v/>
      </c>
    </row>
    <row r="447" spans="1:86" x14ac:dyDescent="0.25">
      <c r="A447" t="s">
        <v>3222</v>
      </c>
      <c r="B447" t="s">
        <v>3223</v>
      </c>
      <c r="C447" t="s">
        <v>1992</v>
      </c>
      <c r="D447" t="s">
        <v>2028</v>
      </c>
      <c r="E447" t="s">
        <v>3224</v>
      </c>
      <c r="F447" t="s">
        <v>3548</v>
      </c>
      <c r="H447" t="s">
        <v>3225</v>
      </c>
      <c r="I447" t="s">
        <v>2061</v>
      </c>
      <c r="J447" t="str">
        <f>"92677"</f>
        <v>92677</v>
      </c>
      <c r="K447" t="s">
        <v>1998</v>
      </c>
      <c r="L447" t="s">
        <v>2045</v>
      </c>
      <c r="M447" t="s">
        <v>2063</v>
      </c>
      <c r="N447" t="s">
        <v>1992</v>
      </c>
      <c r="O447" t="s">
        <v>1992</v>
      </c>
      <c r="P447" t="s">
        <v>1991</v>
      </c>
      <c r="Q447" t="s">
        <v>1992</v>
      </c>
      <c r="R447" t="s">
        <v>1992</v>
      </c>
      <c r="S447" t="s">
        <v>1992</v>
      </c>
      <c r="T447" t="s">
        <v>1992</v>
      </c>
      <c r="U447" t="s">
        <v>1992</v>
      </c>
      <c r="V447" t="s">
        <v>1991</v>
      </c>
      <c r="W447" t="s">
        <v>1991</v>
      </c>
      <c r="X447" t="s">
        <v>1991</v>
      </c>
      <c r="Y447" t="s">
        <v>1992</v>
      </c>
      <c r="Z447" t="s">
        <v>1992</v>
      </c>
      <c r="AF447" t="s">
        <v>2064</v>
      </c>
      <c r="AG447" t="s">
        <v>1991</v>
      </c>
      <c r="AH447">
        <v>15</v>
      </c>
      <c r="AI447">
        <v>15</v>
      </c>
      <c r="AJ447" t="s">
        <v>3226</v>
      </c>
      <c r="AK447">
        <v>243</v>
      </c>
      <c r="BF447" t="s">
        <v>1053</v>
      </c>
      <c r="BG447" t="s">
        <v>2067</v>
      </c>
      <c r="BH447" t="s">
        <v>851</v>
      </c>
      <c r="BI447" t="s">
        <v>1053</v>
      </c>
      <c r="BK447" t="s">
        <v>1053</v>
      </c>
      <c r="BM447" t="s">
        <v>276</v>
      </c>
      <c r="BN447" t="s">
        <v>277</v>
      </c>
      <c r="BO447" t="s">
        <v>1053</v>
      </c>
      <c r="BP447" t="s">
        <v>2375</v>
      </c>
      <c r="BQ447" t="s">
        <v>1754</v>
      </c>
      <c r="BR447" t="s">
        <v>1053</v>
      </c>
      <c r="BT447" t="s">
        <v>1053</v>
      </c>
      <c r="BV447" t="s">
        <v>3029</v>
      </c>
      <c r="BW447" t="s">
        <v>1759</v>
      </c>
      <c r="BX447" t="str">
        <f>""</f>
        <v/>
      </c>
      <c r="BY447" t="str">
        <f>""</f>
        <v/>
      </c>
      <c r="BZ447" t="str">
        <f>""</f>
        <v/>
      </c>
      <c r="CA447" t="str">
        <f>""</f>
        <v/>
      </c>
      <c r="CB447" t="str">
        <f>""</f>
        <v/>
      </c>
      <c r="CC447" t="str">
        <f>""</f>
        <v/>
      </c>
      <c r="CD447" t="str">
        <f>"SMTWTFS 0000-2359"</f>
        <v>SMTWTFS 0000-2359</v>
      </c>
      <c r="CE447" t="str">
        <f>""</f>
        <v/>
      </c>
      <c r="CF447" t="str">
        <f>""</f>
        <v/>
      </c>
      <c r="CG447" t="str">
        <f>""</f>
        <v/>
      </c>
      <c r="CH447" t="str">
        <f>""</f>
        <v/>
      </c>
    </row>
    <row r="448" spans="1:86" x14ac:dyDescent="0.25">
      <c r="A448" t="s">
        <v>3227</v>
      </c>
      <c r="B448" t="s">
        <v>3228</v>
      </c>
      <c r="C448" t="s">
        <v>1992</v>
      </c>
      <c r="D448" t="s">
        <v>1993</v>
      </c>
      <c r="E448" t="s">
        <v>3229</v>
      </c>
      <c r="F448" t="s">
        <v>3230</v>
      </c>
      <c r="H448" t="s">
        <v>3074</v>
      </c>
      <c r="I448" t="s">
        <v>660</v>
      </c>
      <c r="J448" t="str">
        <f>"03251"</f>
        <v>03251</v>
      </c>
      <c r="K448" t="s">
        <v>1998</v>
      </c>
      <c r="L448" t="s">
        <v>2033</v>
      </c>
      <c r="M448" t="s">
        <v>2000</v>
      </c>
      <c r="N448" t="s">
        <v>1992</v>
      </c>
      <c r="O448" t="s">
        <v>1992</v>
      </c>
      <c r="P448" t="s">
        <v>1992</v>
      </c>
      <c r="Q448" t="s">
        <v>1992</v>
      </c>
      <c r="R448" t="s">
        <v>1992</v>
      </c>
      <c r="S448" t="s">
        <v>1992</v>
      </c>
      <c r="T448" t="s">
        <v>1992</v>
      </c>
      <c r="U448" t="s">
        <v>1992</v>
      </c>
      <c r="V448" t="s">
        <v>1991</v>
      </c>
      <c r="AF448" t="s">
        <v>2016</v>
      </c>
      <c r="AG448" t="s">
        <v>1991</v>
      </c>
      <c r="AH448">
        <v>30</v>
      </c>
      <c r="AI448">
        <v>30</v>
      </c>
      <c r="AJ448" t="s">
        <v>3231</v>
      </c>
      <c r="AK448">
        <v>767</v>
      </c>
      <c r="AM448" t="s">
        <v>2298</v>
      </c>
      <c r="BX448" t="str">
        <f>""</f>
        <v/>
      </c>
      <c r="BY448" t="str">
        <f>""</f>
        <v/>
      </c>
      <c r="BZ448" t="str">
        <f>""</f>
        <v/>
      </c>
      <c r="CA448" t="str">
        <f>""</f>
        <v/>
      </c>
      <c r="CB448" t="str">
        <f>""</f>
        <v/>
      </c>
      <c r="CC448" t="str">
        <f>""</f>
        <v/>
      </c>
      <c r="CD448" t="str">
        <f>""</f>
        <v/>
      </c>
      <c r="CE448" t="str">
        <f>""</f>
        <v/>
      </c>
      <c r="CF448" t="str">
        <f>""</f>
        <v/>
      </c>
      <c r="CG448" t="str">
        <f>""</f>
        <v/>
      </c>
      <c r="CH448" t="str">
        <f>""</f>
        <v/>
      </c>
    </row>
    <row r="449" spans="1:86" x14ac:dyDescent="0.25">
      <c r="A449" t="s">
        <v>3232</v>
      </c>
      <c r="B449" t="s">
        <v>3233</v>
      </c>
      <c r="C449" t="s">
        <v>1991</v>
      </c>
      <c r="D449" t="s">
        <v>2010</v>
      </c>
      <c r="E449" t="s">
        <v>3234</v>
      </c>
      <c r="H449" t="s">
        <v>3235</v>
      </c>
      <c r="I449" t="s">
        <v>2352</v>
      </c>
      <c r="J449" t="str">
        <f>"48823-5223"</f>
        <v>48823-5223</v>
      </c>
      <c r="K449" t="s">
        <v>1998</v>
      </c>
      <c r="L449" t="s">
        <v>1999</v>
      </c>
      <c r="M449" t="s">
        <v>3236</v>
      </c>
      <c r="N449" t="s">
        <v>1991</v>
      </c>
      <c r="O449" t="s">
        <v>1991</v>
      </c>
      <c r="P449" t="s">
        <v>1992</v>
      </c>
      <c r="Q449" t="s">
        <v>1992</v>
      </c>
      <c r="R449" t="s">
        <v>1992</v>
      </c>
      <c r="S449" t="s">
        <v>1992</v>
      </c>
      <c r="T449" t="s">
        <v>1992</v>
      </c>
      <c r="U449" t="s">
        <v>1991</v>
      </c>
      <c r="V449" t="s">
        <v>1991</v>
      </c>
      <c r="W449" t="s">
        <v>1991</v>
      </c>
      <c r="X449" t="s">
        <v>1992</v>
      </c>
      <c r="Y449" t="s">
        <v>1992</v>
      </c>
      <c r="Z449" t="s">
        <v>1991</v>
      </c>
      <c r="AA449" t="s">
        <v>1991</v>
      </c>
      <c r="AE449" t="s">
        <v>2047</v>
      </c>
      <c r="AF449" t="s">
        <v>2016</v>
      </c>
      <c r="AG449" t="s">
        <v>1991</v>
      </c>
      <c r="AH449">
        <v>30</v>
      </c>
      <c r="AI449">
        <v>30</v>
      </c>
      <c r="AJ449" t="s">
        <v>3237</v>
      </c>
      <c r="AK449">
        <v>850</v>
      </c>
      <c r="AL449">
        <v>47542</v>
      </c>
      <c r="AN449" t="s">
        <v>1053</v>
      </c>
      <c r="AO449" t="s">
        <v>1053</v>
      </c>
      <c r="AQ449" t="s">
        <v>1053</v>
      </c>
      <c r="AS449" t="s">
        <v>3232</v>
      </c>
      <c r="AT449" t="s">
        <v>3238</v>
      </c>
      <c r="AU449" t="s">
        <v>1053</v>
      </c>
      <c r="AV449" t="s">
        <v>1053</v>
      </c>
      <c r="AX449" t="s">
        <v>1053</v>
      </c>
      <c r="BB449" t="s">
        <v>1053</v>
      </c>
      <c r="BD449" t="s">
        <v>1053</v>
      </c>
      <c r="BF449" t="s">
        <v>1053</v>
      </c>
      <c r="BG449" t="s">
        <v>643</v>
      </c>
      <c r="BH449" t="s">
        <v>2312</v>
      </c>
      <c r="BI449" t="s">
        <v>1053</v>
      </c>
      <c r="BJ449" t="s">
        <v>2069</v>
      </c>
      <c r="BK449" t="s">
        <v>1053</v>
      </c>
      <c r="BL449" t="s">
        <v>2069</v>
      </c>
      <c r="BM449" t="s">
        <v>2313</v>
      </c>
      <c r="BN449" t="s">
        <v>2314</v>
      </c>
      <c r="BO449" t="s">
        <v>1053</v>
      </c>
      <c r="BP449" t="s">
        <v>3239</v>
      </c>
      <c r="BQ449" t="s">
        <v>2316</v>
      </c>
      <c r="BR449" t="s">
        <v>1053</v>
      </c>
      <c r="BT449" t="s">
        <v>1053</v>
      </c>
      <c r="BX449" t="str">
        <f>"SMTWTFS 0730-1500"</f>
        <v>SMTWTFS 0730-1500</v>
      </c>
      <c r="BY449" t="str">
        <f>""</f>
        <v/>
      </c>
      <c r="BZ449" t="str">
        <f>"SMTWTFS 0730-1500"</f>
        <v>SMTWTFS 0730-1500</v>
      </c>
      <c r="CA449" t="str">
        <f>"SMTWTFS 0730-1500"</f>
        <v>SMTWTFS 0730-1500</v>
      </c>
      <c r="CB449" t="str">
        <f>""</f>
        <v/>
      </c>
      <c r="CC449" t="str">
        <f>"SMTWTFS 0730-1500"</f>
        <v>SMTWTFS 0730-1500</v>
      </c>
      <c r="CD449" t="str">
        <f>""</f>
        <v/>
      </c>
      <c r="CE449" t="str">
        <f>""</f>
        <v/>
      </c>
      <c r="CF449" t="str">
        <f>""</f>
        <v/>
      </c>
      <c r="CG449" t="str">
        <f>""</f>
        <v/>
      </c>
      <c r="CH449" t="str">
        <f>""</f>
        <v/>
      </c>
    </row>
    <row r="450" spans="1:86" x14ac:dyDescent="0.25">
      <c r="A450" t="s">
        <v>3240</v>
      </c>
      <c r="B450" t="s">
        <v>3241</v>
      </c>
      <c r="C450" t="s">
        <v>1992</v>
      </c>
      <c r="D450" t="s">
        <v>1993</v>
      </c>
      <c r="E450" t="s">
        <v>3242</v>
      </c>
      <c r="F450" t="s">
        <v>3243</v>
      </c>
      <c r="H450" t="s">
        <v>3244</v>
      </c>
      <c r="I450" t="s">
        <v>1371</v>
      </c>
      <c r="J450" t="str">
        <f>"89029-1519"</f>
        <v>89029-1519</v>
      </c>
      <c r="K450" t="s">
        <v>1998</v>
      </c>
      <c r="L450" t="s">
        <v>2045</v>
      </c>
      <c r="M450" t="s">
        <v>2063</v>
      </c>
      <c r="N450" t="s">
        <v>1992</v>
      </c>
      <c r="O450" t="s">
        <v>1992</v>
      </c>
      <c r="P450" t="s">
        <v>1992</v>
      </c>
      <c r="Q450" t="s">
        <v>1992</v>
      </c>
      <c r="R450" t="s">
        <v>1992</v>
      </c>
      <c r="S450" t="s">
        <v>1992</v>
      </c>
      <c r="T450" t="s">
        <v>1992</v>
      </c>
      <c r="U450" t="s">
        <v>1992</v>
      </c>
      <c r="V450" t="s">
        <v>1991</v>
      </c>
      <c r="W450" t="s">
        <v>1992</v>
      </c>
      <c r="X450" t="s">
        <v>1992</v>
      </c>
      <c r="Y450" t="s">
        <v>1992</v>
      </c>
      <c r="Z450" t="s">
        <v>1991</v>
      </c>
      <c r="AF450" t="s">
        <v>2064</v>
      </c>
      <c r="AG450" t="s">
        <v>1991</v>
      </c>
      <c r="AH450">
        <v>30</v>
      </c>
      <c r="AI450">
        <v>30</v>
      </c>
      <c r="AJ450" t="s">
        <v>3245</v>
      </c>
      <c r="AK450">
        <v>599</v>
      </c>
      <c r="AM450" t="s">
        <v>2298</v>
      </c>
      <c r="AN450" t="s">
        <v>3246</v>
      </c>
      <c r="AO450" t="s">
        <v>2063</v>
      </c>
      <c r="BF450" t="s">
        <v>1053</v>
      </c>
      <c r="BG450" t="s">
        <v>394</v>
      </c>
      <c r="BH450" t="s">
        <v>311</v>
      </c>
      <c r="BI450" t="s">
        <v>1053</v>
      </c>
      <c r="BJ450" t="s">
        <v>1053</v>
      </c>
      <c r="BK450" t="s">
        <v>1053</v>
      </c>
      <c r="BL450" t="s">
        <v>1053</v>
      </c>
      <c r="BX450" t="str">
        <f>""</f>
        <v/>
      </c>
      <c r="BY450" t="str">
        <f>""</f>
        <v/>
      </c>
      <c r="BZ450" t="str">
        <f>""</f>
        <v/>
      </c>
      <c r="CA450" t="str">
        <f>""</f>
        <v/>
      </c>
      <c r="CB450" t="str">
        <f>""</f>
        <v/>
      </c>
      <c r="CC450" t="str">
        <f>""</f>
        <v/>
      </c>
      <c r="CD450" t="str">
        <f>""</f>
        <v/>
      </c>
      <c r="CE450" t="str">
        <f>""</f>
        <v/>
      </c>
      <c r="CF450" t="str">
        <f>""</f>
        <v/>
      </c>
      <c r="CG450" t="str">
        <f>""</f>
        <v/>
      </c>
      <c r="CH450" t="str">
        <f>""</f>
        <v/>
      </c>
    </row>
    <row r="451" spans="1:86" x14ac:dyDescent="0.25">
      <c r="A451" t="s">
        <v>3247</v>
      </c>
      <c r="B451" t="s">
        <v>3248</v>
      </c>
      <c r="C451" t="s">
        <v>1992</v>
      </c>
      <c r="D451" t="s">
        <v>2010</v>
      </c>
      <c r="E451" t="s">
        <v>3249</v>
      </c>
      <c r="H451" t="s">
        <v>3250</v>
      </c>
      <c r="I451" t="s">
        <v>2061</v>
      </c>
      <c r="J451" t="str">
        <f>"95240"</f>
        <v>95240</v>
      </c>
      <c r="K451" t="s">
        <v>1998</v>
      </c>
      <c r="L451" t="s">
        <v>2062</v>
      </c>
      <c r="M451" t="s">
        <v>2063</v>
      </c>
      <c r="N451" t="s">
        <v>1992</v>
      </c>
      <c r="O451" t="s">
        <v>1991</v>
      </c>
      <c r="P451" t="s">
        <v>1992</v>
      </c>
      <c r="Q451" t="s">
        <v>1992</v>
      </c>
      <c r="R451" t="s">
        <v>1992</v>
      </c>
      <c r="S451" t="s">
        <v>1992</v>
      </c>
      <c r="T451" t="s">
        <v>1992</v>
      </c>
      <c r="U451" t="s">
        <v>1992</v>
      </c>
      <c r="V451" t="s">
        <v>1991</v>
      </c>
      <c r="W451" t="s">
        <v>1991</v>
      </c>
      <c r="X451" t="s">
        <v>1992</v>
      </c>
      <c r="Y451" t="s">
        <v>1991</v>
      </c>
      <c r="Z451" t="s">
        <v>1992</v>
      </c>
      <c r="AA451" t="s">
        <v>1992</v>
      </c>
      <c r="AF451" t="s">
        <v>2064</v>
      </c>
      <c r="AG451" t="s">
        <v>1991</v>
      </c>
      <c r="AH451">
        <v>30</v>
      </c>
      <c r="AI451">
        <v>30</v>
      </c>
      <c r="AJ451" t="s">
        <v>3251</v>
      </c>
      <c r="AK451">
        <v>50</v>
      </c>
      <c r="AM451" t="s">
        <v>2298</v>
      </c>
      <c r="AN451" t="s">
        <v>2066</v>
      </c>
      <c r="AO451" t="s">
        <v>2063</v>
      </c>
      <c r="BF451" t="s">
        <v>1053</v>
      </c>
      <c r="BG451" t="s">
        <v>2067</v>
      </c>
      <c r="BH451" t="s">
        <v>3252</v>
      </c>
      <c r="BI451" t="s">
        <v>1053</v>
      </c>
      <c r="BJ451" t="s">
        <v>2069</v>
      </c>
      <c r="BK451" t="s">
        <v>1053</v>
      </c>
      <c r="BL451" t="s">
        <v>2069</v>
      </c>
      <c r="BM451" t="s">
        <v>2070</v>
      </c>
      <c r="BN451" t="s">
        <v>2071</v>
      </c>
      <c r="BO451" t="s">
        <v>1053</v>
      </c>
      <c r="BP451" t="s">
        <v>986</v>
      </c>
      <c r="BQ451" t="s">
        <v>2073</v>
      </c>
      <c r="BR451" t="s">
        <v>1053</v>
      </c>
      <c r="BS451" t="s">
        <v>1053</v>
      </c>
      <c r="BT451" t="s">
        <v>1053</v>
      </c>
      <c r="BU451" t="s">
        <v>1053</v>
      </c>
      <c r="BV451" t="s">
        <v>2074</v>
      </c>
      <c r="BX451" t="str">
        <f>"S-----S 0730-1530; -MTWTF- 0800-1700"</f>
        <v>S-----S 0730-1530; -MTWTF- 0800-1700</v>
      </c>
      <c r="BY451" t="str">
        <f>""</f>
        <v/>
      </c>
      <c r="BZ451" t="str">
        <f>""</f>
        <v/>
      </c>
      <c r="CA451" t="str">
        <f>""</f>
        <v/>
      </c>
      <c r="CB451" t="str">
        <f>""</f>
        <v/>
      </c>
      <c r="CC451" t="str">
        <f>"S-----S 0730-1530; -MTWTF- 0800-1700"</f>
        <v>S-----S 0730-1530; -MTWTF- 0800-1700</v>
      </c>
      <c r="CD451" t="str">
        <f>""</f>
        <v/>
      </c>
      <c r="CE451" t="str">
        <f>""</f>
        <v/>
      </c>
      <c r="CF451" t="str">
        <f>""</f>
        <v/>
      </c>
      <c r="CG451" t="str">
        <f>""</f>
        <v/>
      </c>
      <c r="CH451" t="str">
        <f>""</f>
        <v/>
      </c>
    </row>
    <row r="452" spans="1:86" x14ac:dyDescent="0.25">
      <c r="A452" t="s">
        <v>3253</v>
      </c>
      <c r="B452" t="s">
        <v>3254</v>
      </c>
      <c r="C452" t="s">
        <v>1992</v>
      </c>
      <c r="D452" t="s">
        <v>1993</v>
      </c>
      <c r="E452" t="s">
        <v>3255</v>
      </c>
      <c r="F452" t="s">
        <v>3256</v>
      </c>
      <c r="H452" t="s">
        <v>3257</v>
      </c>
      <c r="I452" t="s">
        <v>2061</v>
      </c>
      <c r="J452" t="str">
        <f>"93436"</f>
        <v>93436</v>
      </c>
      <c r="K452" t="s">
        <v>1998</v>
      </c>
      <c r="L452" t="s">
        <v>2045</v>
      </c>
      <c r="M452" t="s">
        <v>2063</v>
      </c>
      <c r="N452" t="s">
        <v>1992</v>
      </c>
      <c r="O452" t="s">
        <v>1992</v>
      </c>
      <c r="P452" t="s">
        <v>1992</v>
      </c>
      <c r="Q452" t="s">
        <v>1992</v>
      </c>
      <c r="R452" t="s">
        <v>1992</v>
      </c>
      <c r="S452" t="s">
        <v>1992</v>
      </c>
      <c r="T452" t="s">
        <v>1992</v>
      </c>
      <c r="U452" t="s">
        <v>1992</v>
      </c>
      <c r="V452" t="s">
        <v>1991</v>
      </c>
      <c r="W452" t="s">
        <v>1992</v>
      </c>
      <c r="X452" t="s">
        <v>1991</v>
      </c>
      <c r="Y452" t="s">
        <v>1991</v>
      </c>
      <c r="Z452" t="s">
        <v>1992</v>
      </c>
      <c r="AA452" t="s">
        <v>1992</v>
      </c>
      <c r="AB452" t="s">
        <v>3258</v>
      </c>
      <c r="AF452" t="s">
        <v>2064</v>
      </c>
      <c r="AG452" t="s">
        <v>1991</v>
      </c>
      <c r="AH452">
        <v>30</v>
      </c>
      <c r="AI452">
        <v>30</v>
      </c>
      <c r="AJ452" t="s">
        <v>3259</v>
      </c>
      <c r="AK452">
        <v>104</v>
      </c>
      <c r="AL452">
        <v>41900</v>
      </c>
      <c r="AN452" t="s">
        <v>3260</v>
      </c>
      <c r="AO452" t="s">
        <v>2063</v>
      </c>
      <c r="AP452" t="s">
        <v>2083</v>
      </c>
      <c r="AQ452" t="s">
        <v>2063</v>
      </c>
      <c r="AR452" t="s">
        <v>2083</v>
      </c>
      <c r="BF452" t="s">
        <v>1053</v>
      </c>
      <c r="BG452" t="s">
        <v>309</v>
      </c>
      <c r="BH452" t="s">
        <v>2301</v>
      </c>
      <c r="BI452" t="s">
        <v>1053</v>
      </c>
      <c r="BK452" t="s">
        <v>1053</v>
      </c>
      <c r="BO452" t="s">
        <v>1053</v>
      </c>
      <c r="BP452" t="s">
        <v>235</v>
      </c>
      <c r="BQ452" t="s">
        <v>851</v>
      </c>
      <c r="BR452" t="s">
        <v>1053</v>
      </c>
      <c r="BS452" t="s">
        <v>2083</v>
      </c>
      <c r="BT452" t="s">
        <v>1053</v>
      </c>
      <c r="BU452" t="s">
        <v>2083</v>
      </c>
      <c r="BV452" t="s">
        <v>852</v>
      </c>
      <c r="BW452" t="s">
        <v>277</v>
      </c>
      <c r="BX452" t="str">
        <f>""</f>
        <v/>
      </c>
      <c r="BY452" t="str">
        <f>""</f>
        <v/>
      </c>
      <c r="BZ452" t="str">
        <f>""</f>
        <v/>
      </c>
      <c r="CA452" t="str">
        <f>""</f>
        <v/>
      </c>
      <c r="CB452" t="str">
        <f>""</f>
        <v/>
      </c>
      <c r="CC452" t="str">
        <f>""</f>
        <v/>
      </c>
      <c r="CD452" t="str">
        <f>""</f>
        <v/>
      </c>
      <c r="CE452" t="str">
        <f>""</f>
        <v/>
      </c>
      <c r="CF452" t="str">
        <f>""</f>
        <v/>
      </c>
      <c r="CG452" t="str">
        <f>""</f>
        <v/>
      </c>
      <c r="CH452" t="str">
        <f>""</f>
        <v/>
      </c>
    </row>
    <row r="453" spans="1:86" x14ac:dyDescent="0.25">
      <c r="A453" t="s">
        <v>3261</v>
      </c>
      <c r="B453" t="s">
        <v>3262</v>
      </c>
      <c r="C453" t="s">
        <v>1991</v>
      </c>
      <c r="D453" t="s">
        <v>2010</v>
      </c>
      <c r="E453" t="s">
        <v>3263</v>
      </c>
      <c r="H453" t="s">
        <v>3264</v>
      </c>
      <c r="I453" t="s">
        <v>2405</v>
      </c>
      <c r="J453" t="str">
        <f>"22079"</f>
        <v>22079</v>
      </c>
      <c r="K453" t="s">
        <v>1998</v>
      </c>
      <c r="L453" t="s">
        <v>408</v>
      </c>
      <c r="M453" t="s">
        <v>3265</v>
      </c>
      <c r="N453" t="s">
        <v>1991</v>
      </c>
      <c r="O453" t="s">
        <v>1992</v>
      </c>
      <c r="P453" t="s">
        <v>1992</v>
      </c>
      <c r="Q453" t="s">
        <v>1992</v>
      </c>
      <c r="R453" t="s">
        <v>1992</v>
      </c>
      <c r="S453" t="s">
        <v>1992</v>
      </c>
      <c r="T453" t="s">
        <v>1992</v>
      </c>
      <c r="U453" t="s">
        <v>1992</v>
      </c>
      <c r="V453" t="s">
        <v>1991</v>
      </c>
      <c r="W453" t="s">
        <v>1991</v>
      </c>
      <c r="X453" t="s">
        <v>1992</v>
      </c>
      <c r="Y453" t="s">
        <v>1992</v>
      </c>
      <c r="Z453" t="s">
        <v>1992</v>
      </c>
      <c r="AF453" t="s">
        <v>2016</v>
      </c>
      <c r="AG453" t="s">
        <v>1991</v>
      </c>
      <c r="AH453">
        <v>120</v>
      </c>
      <c r="AI453">
        <v>120</v>
      </c>
      <c r="AJ453" t="s">
        <v>3266</v>
      </c>
      <c r="AK453">
        <v>85</v>
      </c>
      <c r="AN453" t="s">
        <v>1053</v>
      </c>
      <c r="AO453" t="s">
        <v>1053</v>
      </c>
      <c r="AP453" t="s">
        <v>1053</v>
      </c>
      <c r="AQ453" t="s">
        <v>1053</v>
      </c>
      <c r="AR453" t="s">
        <v>1053</v>
      </c>
      <c r="AS453" t="s">
        <v>3261</v>
      </c>
      <c r="AT453" t="s">
        <v>3267</v>
      </c>
      <c r="AU453" t="s">
        <v>1053</v>
      </c>
      <c r="BB453" t="s">
        <v>1053</v>
      </c>
      <c r="BC453" t="s">
        <v>1053</v>
      </c>
      <c r="BD453" t="s">
        <v>1053</v>
      </c>
      <c r="BE453" t="s">
        <v>1053</v>
      </c>
      <c r="BF453" t="s">
        <v>1053</v>
      </c>
      <c r="BG453" t="s">
        <v>3268</v>
      </c>
      <c r="BH453" t="s">
        <v>3269</v>
      </c>
      <c r="BI453" t="s">
        <v>1053</v>
      </c>
      <c r="BJ453" t="s">
        <v>1053</v>
      </c>
      <c r="BK453" t="s">
        <v>1053</v>
      </c>
      <c r="BL453" t="s">
        <v>1053</v>
      </c>
      <c r="BM453" t="s">
        <v>3270</v>
      </c>
      <c r="BN453" t="s">
        <v>3271</v>
      </c>
      <c r="BO453" t="s">
        <v>1053</v>
      </c>
      <c r="BP453" t="s">
        <v>3273</v>
      </c>
      <c r="BQ453" t="s">
        <v>3274</v>
      </c>
      <c r="BR453" t="s">
        <v>1053</v>
      </c>
      <c r="BS453" t="s">
        <v>1053</v>
      </c>
      <c r="BT453" t="s">
        <v>1053</v>
      </c>
      <c r="BU453" t="s">
        <v>1053</v>
      </c>
      <c r="BV453" t="s">
        <v>3270</v>
      </c>
      <c r="BW453" t="s">
        <v>3271</v>
      </c>
      <c r="BX453" t="str">
        <f>"SMTWTFS 0800-1600"</f>
        <v>SMTWTFS 0800-1600</v>
      </c>
      <c r="BY453" t="str">
        <f>""</f>
        <v/>
      </c>
      <c r="BZ453" t="str">
        <f>"SMTWTFS 0800-1600"</f>
        <v>SMTWTFS 0800-1600</v>
      </c>
      <c r="CA453" t="str">
        <f>"SMTWTFS 0800-1600"</f>
        <v>SMTWTFS 0800-1600</v>
      </c>
      <c r="CB453" t="str">
        <f>""</f>
        <v/>
      </c>
      <c r="CC453" t="str">
        <f>""</f>
        <v/>
      </c>
      <c r="CD453" t="str">
        <f>""</f>
        <v/>
      </c>
      <c r="CE453" t="str">
        <f>""</f>
        <v/>
      </c>
      <c r="CF453" t="str">
        <f>""</f>
        <v/>
      </c>
      <c r="CG453" t="str">
        <f>""</f>
        <v/>
      </c>
      <c r="CH453" t="str">
        <f>""</f>
        <v/>
      </c>
    </row>
    <row r="454" spans="1:86" x14ac:dyDescent="0.25">
      <c r="A454" t="s">
        <v>3275</v>
      </c>
      <c r="B454" t="s">
        <v>3276</v>
      </c>
      <c r="C454" t="s">
        <v>1992</v>
      </c>
      <c r="D454" t="s">
        <v>1993</v>
      </c>
      <c r="E454" t="s">
        <v>3277</v>
      </c>
      <c r="F454" t="s">
        <v>3278</v>
      </c>
      <c r="H454" t="s">
        <v>3279</v>
      </c>
      <c r="I454" t="s">
        <v>2321</v>
      </c>
      <c r="J454" t="str">
        <f>"12946"</f>
        <v>12946</v>
      </c>
      <c r="K454" t="s">
        <v>1998</v>
      </c>
      <c r="L454" t="s">
        <v>2033</v>
      </c>
      <c r="M454" t="s">
        <v>2063</v>
      </c>
      <c r="N454" t="s">
        <v>1992</v>
      </c>
      <c r="O454" t="s">
        <v>1992</v>
      </c>
      <c r="P454" t="s">
        <v>1992</v>
      </c>
      <c r="Q454" t="s">
        <v>1992</v>
      </c>
      <c r="R454" t="s">
        <v>1992</v>
      </c>
      <c r="S454" t="s">
        <v>1992</v>
      </c>
      <c r="T454" t="s">
        <v>1992</v>
      </c>
      <c r="U454" t="s">
        <v>1992</v>
      </c>
      <c r="V454" t="s">
        <v>1991</v>
      </c>
      <c r="W454" t="s">
        <v>1992</v>
      </c>
      <c r="X454" t="s">
        <v>1992</v>
      </c>
      <c r="Y454" t="s">
        <v>1992</v>
      </c>
      <c r="Z454" t="s">
        <v>1991</v>
      </c>
      <c r="AA454" t="s">
        <v>1992</v>
      </c>
      <c r="AF454" t="s">
        <v>2016</v>
      </c>
      <c r="AG454" t="s">
        <v>1991</v>
      </c>
      <c r="AH454">
        <v>30</v>
      </c>
      <c r="AI454">
        <v>30</v>
      </c>
      <c r="AJ454" t="s">
        <v>3280</v>
      </c>
      <c r="AK454">
        <v>1904</v>
      </c>
      <c r="AN454" t="s">
        <v>3281</v>
      </c>
      <c r="AO454" t="s">
        <v>2063</v>
      </c>
      <c r="BF454" t="s">
        <v>1053</v>
      </c>
      <c r="BG454" t="s">
        <v>3282</v>
      </c>
      <c r="BH454" t="s">
        <v>3283</v>
      </c>
      <c r="BI454" t="s">
        <v>1053</v>
      </c>
      <c r="BJ454" t="s">
        <v>1053</v>
      </c>
      <c r="BO454" t="s">
        <v>1053</v>
      </c>
      <c r="BP454" t="s">
        <v>3611</v>
      </c>
      <c r="BQ454" t="s">
        <v>3283</v>
      </c>
      <c r="BR454" t="s">
        <v>1053</v>
      </c>
      <c r="BS454" t="s">
        <v>1053</v>
      </c>
      <c r="BX454" t="str">
        <f>""</f>
        <v/>
      </c>
      <c r="BY454" t="str">
        <f>""</f>
        <v/>
      </c>
      <c r="BZ454" t="str">
        <f>""</f>
        <v/>
      </c>
      <c r="CA454" t="str">
        <f>""</f>
        <v/>
      </c>
      <c r="CB454" t="str">
        <f>""</f>
        <v/>
      </c>
      <c r="CC454" t="str">
        <f>""</f>
        <v/>
      </c>
      <c r="CD454" t="str">
        <f>""</f>
        <v/>
      </c>
      <c r="CE454" t="str">
        <f>""</f>
        <v/>
      </c>
      <c r="CF454" t="str">
        <f>""</f>
        <v/>
      </c>
      <c r="CG454" t="str">
        <f>""</f>
        <v/>
      </c>
      <c r="CH454" t="str">
        <f>""</f>
        <v/>
      </c>
    </row>
    <row r="455" spans="1:86" x14ac:dyDescent="0.25">
      <c r="A455" t="s">
        <v>3284</v>
      </c>
      <c r="B455" t="s">
        <v>3285</v>
      </c>
      <c r="C455" t="s">
        <v>1992</v>
      </c>
      <c r="D455" t="s">
        <v>2010</v>
      </c>
      <c r="E455" t="s">
        <v>3286</v>
      </c>
      <c r="H455" t="s">
        <v>3287</v>
      </c>
      <c r="I455" t="s">
        <v>2352</v>
      </c>
      <c r="J455" t="str">
        <f>"48446-2515"</f>
        <v>48446-2515</v>
      </c>
      <c r="K455" t="s">
        <v>1998</v>
      </c>
      <c r="L455" t="s">
        <v>1999</v>
      </c>
      <c r="M455" t="s">
        <v>2063</v>
      </c>
      <c r="N455" t="s">
        <v>1992</v>
      </c>
      <c r="O455" t="s">
        <v>1992</v>
      </c>
      <c r="P455" t="s">
        <v>1992</v>
      </c>
      <c r="Q455" t="s">
        <v>1992</v>
      </c>
      <c r="R455" t="s">
        <v>1992</v>
      </c>
      <c r="S455" t="s">
        <v>1992</v>
      </c>
      <c r="T455" t="s">
        <v>1992</v>
      </c>
      <c r="U455" t="s">
        <v>1992</v>
      </c>
      <c r="V455" t="s">
        <v>1991</v>
      </c>
      <c r="W455" t="s">
        <v>1991</v>
      </c>
      <c r="X455" t="s">
        <v>1992</v>
      </c>
      <c r="Y455" t="s">
        <v>1992</v>
      </c>
      <c r="Z455" t="s">
        <v>1992</v>
      </c>
      <c r="AA455" t="s">
        <v>1992</v>
      </c>
      <c r="AE455" t="s">
        <v>2353</v>
      </c>
      <c r="AF455" t="s">
        <v>2016</v>
      </c>
      <c r="AG455" t="s">
        <v>1991</v>
      </c>
      <c r="AH455">
        <v>30</v>
      </c>
      <c r="AI455">
        <v>30</v>
      </c>
      <c r="AJ455" t="s">
        <v>3288</v>
      </c>
      <c r="AK455">
        <v>823</v>
      </c>
      <c r="AL455">
        <v>6272</v>
      </c>
      <c r="AM455" t="s">
        <v>3289</v>
      </c>
      <c r="AN455" t="s">
        <v>2066</v>
      </c>
      <c r="AO455" t="s">
        <v>2311</v>
      </c>
      <c r="BF455" t="s">
        <v>1053</v>
      </c>
      <c r="BG455" t="s">
        <v>3290</v>
      </c>
      <c r="BH455" t="s">
        <v>2312</v>
      </c>
      <c r="BI455" t="s">
        <v>1053</v>
      </c>
      <c r="BJ455" t="s">
        <v>2069</v>
      </c>
      <c r="BK455" t="s">
        <v>1053</v>
      </c>
      <c r="BL455" t="s">
        <v>2069</v>
      </c>
      <c r="BM455" t="s">
        <v>2313</v>
      </c>
      <c r="BN455" t="s">
        <v>2314</v>
      </c>
      <c r="BO455" t="s">
        <v>1053</v>
      </c>
      <c r="BP455" t="s">
        <v>301</v>
      </c>
      <c r="BQ455" t="s">
        <v>2316</v>
      </c>
      <c r="BR455" t="s">
        <v>1053</v>
      </c>
      <c r="BT455" t="s">
        <v>1053</v>
      </c>
      <c r="BX455" t="str">
        <f>"SMTWTFS 0530-1000 2100-2359"</f>
        <v>SMTWTFS 0530-1000 2100-2359</v>
      </c>
      <c r="BY455" t="str">
        <f>""</f>
        <v/>
      </c>
      <c r="BZ455" t="str">
        <f>""</f>
        <v/>
      </c>
      <c r="CA455" t="str">
        <f>""</f>
        <v/>
      </c>
      <c r="CB455" t="str">
        <f>""</f>
        <v/>
      </c>
      <c r="CC455" t="str">
        <f>""</f>
        <v/>
      </c>
      <c r="CD455" t="str">
        <f>""</f>
        <v/>
      </c>
      <c r="CE455" t="str">
        <f>""</f>
        <v/>
      </c>
      <c r="CF455" t="str">
        <f>""</f>
        <v/>
      </c>
      <c r="CG455" t="str">
        <f>""</f>
        <v/>
      </c>
      <c r="CH455" t="str">
        <f>""</f>
        <v/>
      </c>
    </row>
    <row r="456" spans="1:86" x14ac:dyDescent="0.25">
      <c r="A456" t="s">
        <v>3291</v>
      </c>
      <c r="B456" t="s">
        <v>3292</v>
      </c>
      <c r="C456" t="s">
        <v>1992</v>
      </c>
      <c r="D456" t="s">
        <v>1993</v>
      </c>
      <c r="E456" t="s">
        <v>3293</v>
      </c>
      <c r="F456" t="s">
        <v>3294</v>
      </c>
      <c r="G456" t="s">
        <v>3295</v>
      </c>
      <c r="H456" t="s">
        <v>3296</v>
      </c>
      <c r="I456" t="s">
        <v>2295</v>
      </c>
      <c r="J456" t="str">
        <f>"97739"</f>
        <v>97739</v>
      </c>
      <c r="K456" t="s">
        <v>1998</v>
      </c>
      <c r="L456" t="s">
        <v>231</v>
      </c>
      <c r="M456" t="s">
        <v>2063</v>
      </c>
      <c r="N456" t="s">
        <v>1992</v>
      </c>
      <c r="O456" t="s">
        <v>1992</v>
      </c>
      <c r="P456" t="s">
        <v>1992</v>
      </c>
      <c r="Q456" t="s">
        <v>1992</v>
      </c>
      <c r="R456" t="s">
        <v>1992</v>
      </c>
      <c r="S456" t="s">
        <v>1992</v>
      </c>
      <c r="T456" t="s">
        <v>1992</v>
      </c>
      <c r="U456" t="s">
        <v>1992</v>
      </c>
      <c r="V456" t="s">
        <v>1991</v>
      </c>
      <c r="W456" t="s">
        <v>1992</v>
      </c>
      <c r="X456" t="s">
        <v>1992</v>
      </c>
      <c r="Y456" t="s">
        <v>1992</v>
      </c>
      <c r="Z456" t="s">
        <v>1991</v>
      </c>
      <c r="AF456" t="s">
        <v>2064</v>
      </c>
      <c r="AG456" t="s">
        <v>1991</v>
      </c>
      <c r="AH456">
        <v>30</v>
      </c>
      <c r="AI456">
        <v>30</v>
      </c>
      <c r="AJ456" t="s">
        <v>3297</v>
      </c>
      <c r="AK456">
        <v>4234</v>
      </c>
      <c r="AM456" t="s">
        <v>2298</v>
      </c>
      <c r="AN456" t="s">
        <v>3819</v>
      </c>
      <c r="AO456" t="s">
        <v>2063</v>
      </c>
      <c r="BF456" t="s">
        <v>1053</v>
      </c>
      <c r="BG456" t="s">
        <v>394</v>
      </c>
      <c r="BH456" t="s">
        <v>311</v>
      </c>
      <c r="BI456" t="s">
        <v>1053</v>
      </c>
      <c r="BJ456" t="s">
        <v>1053</v>
      </c>
      <c r="BK456" t="s">
        <v>1053</v>
      </c>
      <c r="BL456" t="s">
        <v>1053</v>
      </c>
      <c r="BX456" t="str">
        <f>""</f>
        <v/>
      </c>
      <c r="BY456" t="str">
        <f>""</f>
        <v/>
      </c>
      <c r="BZ456" t="str">
        <f>""</f>
        <v/>
      </c>
      <c r="CA456" t="str">
        <f>""</f>
        <v/>
      </c>
      <c r="CB456" t="str">
        <f>""</f>
        <v/>
      </c>
      <c r="CC456" t="str">
        <f>""</f>
        <v/>
      </c>
      <c r="CD456" t="str">
        <f>""</f>
        <v/>
      </c>
      <c r="CE456" t="str">
        <f>""</f>
        <v/>
      </c>
      <c r="CF456" t="str">
        <f>""</f>
        <v/>
      </c>
      <c r="CG456" t="str">
        <f>""</f>
        <v/>
      </c>
      <c r="CH456" t="str">
        <f>""</f>
        <v/>
      </c>
    </row>
    <row r="457" spans="1:86" x14ac:dyDescent="0.25">
      <c r="A457" t="s">
        <v>3298</v>
      </c>
      <c r="B457" t="s">
        <v>3299</v>
      </c>
      <c r="C457" t="s">
        <v>1992</v>
      </c>
      <c r="D457" t="s">
        <v>2028</v>
      </c>
      <c r="E457" t="s">
        <v>3300</v>
      </c>
      <c r="H457" t="s">
        <v>3301</v>
      </c>
      <c r="I457" t="s">
        <v>2061</v>
      </c>
      <c r="J457" t="str">
        <f>"93437"</f>
        <v>93437</v>
      </c>
      <c r="K457" t="s">
        <v>1998</v>
      </c>
      <c r="L457" t="s">
        <v>2045</v>
      </c>
      <c r="M457" t="s">
        <v>2063</v>
      </c>
      <c r="N457" t="s">
        <v>1992</v>
      </c>
      <c r="O457" t="s">
        <v>1992</v>
      </c>
      <c r="P457" t="s">
        <v>1991</v>
      </c>
      <c r="Q457" t="s">
        <v>1992</v>
      </c>
      <c r="R457" t="s">
        <v>1992</v>
      </c>
      <c r="S457" t="s">
        <v>1992</v>
      </c>
      <c r="T457" t="s">
        <v>1992</v>
      </c>
      <c r="U457" t="s">
        <v>1992</v>
      </c>
      <c r="V457" t="s">
        <v>1991</v>
      </c>
      <c r="W457" t="s">
        <v>1991</v>
      </c>
      <c r="X457" t="s">
        <v>1992</v>
      </c>
      <c r="Y457" t="s">
        <v>1992</v>
      </c>
      <c r="Z457" t="s">
        <v>1992</v>
      </c>
      <c r="AA457" t="s">
        <v>1992</v>
      </c>
      <c r="AB457" t="s">
        <v>3258</v>
      </c>
      <c r="AF457" t="s">
        <v>2064</v>
      </c>
      <c r="AG457" t="s">
        <v>1991</v>
      </c>
      <c r="AH457">
        <v>30</v>
      </c>
      <c r="AI457">
        <v>30</v>
      </c>
      <c r="AJ457" t="s">
        <v>3302</v>
      </c>
      <c r="AK457">
        <v>45</v>
      </c>
      <c r="AM457" t="s">
        <v>3303</v>
      </c>
      <c r="AN457" t="s">
        <v>2066</v>
      </c>
      <c r="AO457" t="s">
        <v>2063</v>
      </c>
      <c r="BF457" t="s">
        <v>1053</v>
      </c>
      <c r="BG457" t="s">
        <v>2067</v>
      </c>
      <c r="BH457" t="s">
        <v>275</v>
      </c>
      <c r="BI457" t="s">
        <v>1053</v>
      </c>
      <c r="BJ457" t="s">
        <v>2069</v>
      </c>
      <c r="BK457" t="s">
        <v>1053</v>
      </c>
      <c r="BL457" t="s">
        <v>2069</v>
      </c>
      <c r="BM457" t="s">
        <v>276</v>
      </c>
      <c r="BN457" t="s">
        <v>277</v>
      </c>
      <c r="BO457" t="s">
        <v>1053</v>
      </c>
      <c r="BP457" t="s">
        <v>2067</v>
      </c>
      <c r="BQ457" t="s">
        <v>275</v>
      </c>
      <c r="BR457" t="s">
        <v>1053</v>
      </c>
      <c r="BX457" t="str">
        <f>""</f>
        <v/>
      </c>
      <c r="BY457" t="str">
        <f>""</f>
        <v/>
      </c>
      <c r="BZ457" t="str">
        <f>""</f>
        <v/>
      </c>
      <c r="CA457" t="str">
        <f>""</f>
        <v/>
      </c>
      <c r="CB457" t="str">
        <f>""</f>
        <v/>
      </c>
      <c r="CC457" t="str">
        <f>""</f>
        <v/>
      </c>
      <c r="CD457" t="str">
        <f>"SMTWTFS 0000-2359"</f>
        <v>SMTWTFS 0000-2359</v>
      </c>
      <c r="CE457" t="str">
        <f>""</f>
        <v/>
      </c>
      <c r="CF457" t="str">
        <f>""</f>
        <v/>
      </c>
      <c r="CG457" t="str">
        <f>""</f>
        <v/>
      </c>
      <c r="CH457" t="str">
        <f>""</f>
        <v/>
      </c>
    </row>
    <row r="458" spans="1:86" x14ac:dyDescent="0.25">
      <c r="A458" t="s">
        <v>3304</v>
      </c>
      <c r="B458" t="s">
        <v>3305</v>
      </c>
      <c r="C458" t="s">
        <v>1992</v>
      </c>
      <c r="D458" t="s">
        <v>1993</v>
      </c>
      <c r="E458" t="s">
        <v>3306</v>
      </c>
      <c r="F458" t="s">
        <v>3307</v>
      </c>
      <c r="H458" t="s">
        <v>3308</v>
      </c>
      <c r="I458" t="s">
        <v>2061</v>
      </c>
      <c r="J458" t="str">
        <f>"92253"</f>
        <v>92253</v>
      </c>
      <c r="K458" t="s">
        <v>1998</v>
      </c>
      <c r="L458" t="s">
        <v>2045</v>
      </c>
      <c r="M458" t="s">
        <v>2000</v>
      </c>
      <c r="N458" t="s">
        <v>1992</v>
      </c>
      <c r="O458" t="s">
        <v>1992</v>
      </c>
      <c r="P458" t="s">
        <v>1992</v>
      </c>
      <c r="Q458" t="s">
        <v>1992</v>
      </c>
      <c r="R458" t="s">
        <v>1992</v>
      </c>
      <c r="S458" t="s">
        <v>1992</v>
      </c>
      <c r="T458" t="s">
        <v>1992</v>
      </c>
      <c r="U458" t="s">
        <v>1992</v>
      </c>
      <c r="V458" t="s">
        <v>1991</v>
      </c>
      <c r="Y458" t="s">
        <v>1991</v>
      </c>
      <c r="AF458" t="s">
        <v>2064</v>
      </c>
      <c r="AG458" t="s">
        <v>1991</v>
      </c>
      <c r="AH458">
        <v>15</v>
      </c>
      <c r="AI458">
        <v>15</v>
      </c>
      <c r="AJ458" t="s">
        <v>3309</v>
      </c>
      <c r="AK458">
        <v>74</v>
      </c>
      <c r="AL458">
        <v>44704</v>
      </c>
      <c r="AM458" t="s">
        <v>967</v>
      </c>
      <c r="BF458" t="s">
        <v>1053</v>
      </c>
      <c r="BG458" t="s">
        <v>968</v>
      </c>
      <c r="BH458" t="s">
        <v>969</v>
      </c>
      <c r="BI458" t="s">
        <v>1053</v>
      </c>
      <c r="BK458" t="s">
        <v>1053</v>
      </c>
      <c r="BO458" t="s">
        <v>1053</v>
      </c>
      <c r="BP458" t="s">
        <v>712</v>
      </c>
      <c r="BQ458" t="s">
        <v>970</v>
      </c>
      <c r="BR458" t="s">
        <v>1053</v>
      </c>
      <c r="BS458" t="s">
        <v>1053</v>
      </c>
      <c r="BT458" t="s">
        <v>1053</v>
      </c>
      <c r="BU458" t="s">
        <v>1053</v>
      </c>
      <c r="BX458" t="str">
        <f>""</f>
        <v/>
      </c>
      <c r="BY458" t="str">
        <f>""</f>
        <v/>
      </c>
      <c r="BZ458" t="str">
        <f>""</f>
        <v/>
      </c>
      <c r="CA458" t="str">
        <f>""</f>
        <v/>
      </c>
      <c r="CB458" t="str">
        <f>""</f>
        <v/>
      </c>
      <c r="CC458" t="str">
        <f>""</f>
        <v/>
      </c>
      <c r="CD458" t="str">
        <f>""</f>
        <v/>
      </c>
      <c r="CE458" t="str">
        <f>""</f>
        <v/>
      </c>
      <c r="CF458" t="str">
        <f>""</f>
        <v/>
      </c>
      <c r="CG458" t="str">
        <f>""</f>
        <v/>
      </c>
      <c r="CH458" t="str">
        <f>""</f>
        <v/>
      </c>
    </row>
    <row r="459" spans="1:86" x14ac:dyDescent="0.25">
      <c r="A459" t="s">
        <v>3310</v>
      </c>
      <c r="B459" t="s">
        <v>3311</v>
      </c>
      <c r="C459" t="s">
        <v>1992</v>
      </c>
      <c r="D459" t="s">
        <v>2010</v>
      </c>
      <c r="E459" t="s">
        <v>3312</v>
      </c>
      <c r="H459" t="s">
        <v>3313</v>
      </c>
      <c r="I459" t="s">
        <v>1144</v>
      </c>
      <c r="J459" t="str">
        <f>"66044"</f>
        <v>66044</v>
      </c>
      <c r="K459" t="s">
        <v>1998</v>
      </c>
      <c r="L459" t="s">
        <v>1999</v>
      </c>
      <c r="M459" t="s">
        <v>2063</v>
      </c>
      <c r="N459" t="s">
        <v>1992</v>
      </c>
      <c r="O459" t="s">
        <v>1992</v>
      </c>
      <c r="P459" t="s">
        <v>1992</v>
      </c>
      <c r="Q459" t="s">
        <v>1992</v>
      </c>
      <c r="R459" t="s">
        <v>1992</v>
      </c>
      <c r="S459" t="s">
        <v>1992</v>
      </c>
      <c r="T459" t="s">
        <v>1992</v>
      </c>
      <c r="U459" t="s">
        <v>1992</v>
      </c>
      <c r="V459" t="s">
        <v>1991</v>
      </c>
      <c r="W459" t="s">
        <v>1991</v>
      </c>
      <c r="X459" t="s">
        <v>1992</v>
      </c>
      <c r="Y459" t="s">
        <v>1992</v>
      </c>
      <c r="Z459" t="s">
        <v>1992</v>
      </c>
      <c r="AF459" t="s">
        <v>2001</v>
      </c>
      <c r="AG459" t="s">
        <v>1991</v>
      </c>
      <c r="AH459">
        <v>30</v>
      </c>
      <c r="AI459">
        <v>30</v>
      </c>
      <c r="AJ459" t="s">
        <v>3314</v>
      </c>
      <c r="AK459">
        <v>828</v>
      </c>
      <c r="AL459">
        <v>87643</v>
      </c>
      <c r="AN459" t="s">
        <v>2066</v>
      </c>
      <c r="AO459" t="s">
        <v>2063</v>
      </c>
      <c r="BF459" t="s">
        <v>1053</v>
      </c>
      <c r="BG459" t="s">
        <v>2371</v>
      </c>
      <c r="BH459" t="s">
        <v>985</v>
      </c>
      <c r="BI459" t="s">
        <v>1053</v>
      </c>
      <c r="BJ459" t="s">
        <v>1053</v>
      </c>
      <c r="BK459" t="s">
        <v>1053</v>
      </c>
      <c r="BL459" t="s">
        <v>1053</v>
      </c>
      <c r="BM459" t="s">
        <v>2373</v>
      </c>
      <c r="BN459" t="s">
        <v>2374</v>
      </c>
      <c r="BO459" t="s">
        <v>1053</v>
      </c>
      <c r="BP459" t="s">
        <v>653</v>
      </c>
      <c r="BQ459" t="s">
        <v>2376</v>
      </c>
      <c r="BR459" t="s">
        <v>1053</v>
      </c>
      <c r="BX459" t="str">
        <f>"SMTWTFS 0000-0015 0515-0615 2315-2359"</f>
        <v>SMTWTFS 0000-0015 0515-0615 2315-2359</v>
      </c>
      <c r="BY459" t="str">
        <f>""</f>
        <v/>
      </c>
      <c r="BZ459" t="str">
        <f>""</f>
        <v/>
      </c>
      <c r="CA459" t="str">
        <f>""</f>
        <v/>
      </c>
      <c r="CB459" t="str">
        <f>""</f>
        <v/>
      </c>
      <c r="CC459" t="str">
        <f>""</f>
        <v/>
      </c>
      <c r="CD459" t="str">
        <f>""</f>
        <v/>
      </c>
      <c r="CE459" t="str">
        <f>""</f>
        <v/>
      </c>
      <c r="CF459" t="str">
        <f>""</f>
        <v/>
      </c>
      <c r="CG459" t="str">
        <f>""</f>
        <v/>
      </c>
      <c r="CH459" t="str">
        <f>""</f>
        <v/>
      </c>
    </row>
    <row r="460" spans="1:86" x14ac:dyDescent="0.25">
      <c r="A460" t="s">
        <v>3315</v>
      </c>
      <c r="B460" t="s">
        <v>3316</v>
      </c>
      <c r="C460" t="s">
        <v>1991</v>
      </c>
      <c r="D460" t="s">
        <v>2010</v>
      </c>
      <c r="E460" t="s">
        <v>3317</v>
      </c>
      <c r="H460" t="s">
        <v>3318</v>
      </c>
      <c r="I460" t="s">
        <v>336</v>
      </c>
      <c r="J460" t="str">
        <f>"72201"</f>
        <v>72201</v>
      </c>
      <c r="K460" t="s">
        <v>1998</v>
      </c>
      <c r="L460" t="s">
        <v>1999</v>
      </c>
      <c r="M460" t="s">
        <v>3319</v>
      </c>
      <c r="N460" t="s">
        <v>1991</v>
      </c>
      <c r="O460" t="s">
        <v>1992</v>
      </c>
      <c r="P460" t="s">
        <v>1992</v>
      </c>
      <c r="Q460" t="s">
        <v>1991</v>
      </c>
      <c r="R460" t="s">
        <v>1991</v>
      </c>
      <c r="S460" t="s">
        <v>1992</v>
      </c>
      <c r="T460" t="s">
        <v>1992</v>
      </c>
      <c r="U460" t="s">
        <v>1991</v>
      </c>
      <c r="V460" t="s">
        <v>1991</v>
      </c>
      <c r="W460" t="s">
        <v>1991</v>
      </c>
      <c r="X460" t="s">
        <v>1992</v>
      </c>
      <c r="Y460" t="s">
        <v>1992</v>
      </c>
      <c r="Z460" t="s">
        <v>1992</v>
      </c>
      <c r="AE460" t="s">
        <v>2047</v>
      </c>
      <c r="AF460" t="s">
        <v>2001</v>
      </c>
      <c r="AG460" t="s">
        <v>1991</v>
      </c>
      <c r="AH460">
        <v>60</v>
      </c>
      <c r="AI460">
        <v>30</v>
      </c>
      <c r="AJ460" t="s">
        <v>3320</v>
      </c>
      <c r="AK460">
        <v>268</v>
      </c>
      <c r="AL460">
        <v>183133</v>
      </c>
      <c r="AN460" t="s">
        <v>1053</v>
      </c>
      <c r="AO460" t="s">
        <v>1053</v>
      </c>
      <c r="AP460" t="s">
        <v>2069</v>
      </c>
      <c r="AQ460" t="s">
        <v>1053</v>
      </c>
      <c r="AR460" t="s">
        <v>2069</v>
      </c>
      <c r="AS460" t="s">
        <v>3315</v>
      </c>
      <c r="AT460" t="s">
        <v>3321</v>
      </c>
      <c r="AU460" t="s">
        <v>1053</v>
      </c>
      <c r="AV460" t="s">
        <v>1053</v>
      </c>
      <c r="AW460" t="s">
        <v>2069</v>
      </c>
      <c r="AX460" t="s">
        <v>1053</v>
      </c>
      <c r="AY460" t="s">
        <v>2069</v>
      </c>
      <c r="AZ460" t="s">
        <v>3315</v>
      </c>
      <c r="BA460" t="s">
        <v>3321</v>
      </c>
      <c r="BB460" t="s">
        <v>1053</v>
      </c>
      <c r="BC460" t="s">
        <v>2069</v>
      </c>
      <c r="BD460" t="s">
        <v>1053</v>
      </c>
      <c r="BE460" t="s">
        <v>2069</v>
      </c>
      <c r="BF460" t="s">
        <v>1053</v>
      </c>
      <c r="BG460" t="s">
        <v>2371</v>
      </c>
      <c r="BH460" t="s">
        <v>339</v>
      </c>
      <c r="BI460" t="s">
        <v>1053</v>
      </c>
      <c r="BJ460" t="s">
        <v>1053</v>
      </c>
      <c r="BK460" t="s">
        <v>1053</v>
      </c>
      <c r="BL460" t="s">
        <v>1053</v>
      </c>
      <c r="BM460" t="s">
        <v>2373</v>
      </c>
      <c r="BN460" t="s">
        <v>2374</v>
      </c>
      <c r="BO460" t="s">
        <v>1053</v>
      </c>
      <c r="BP460" t="s">
        <v>340</v>
      </c>
      <c r="BQ460" t="s">
        <v>2376</v>
      </c>
      <c r="BR460" t="s">
        <v>1053</v>
      </c>
      <c r="BX460" t="str">
        <f>"S-TWTFS 0000-0800 2230-2359; -M----- 0000-1800 2230-2359"</f>
        <v>S-TWTFS 0000-0800 2230-2359; -M----- 0000-1800 2230-2359</v>
      </c>
      <c r="BY460" t="str">
        <f>"S-TWTFS 0000-0800 2230-2359; -M----- 0000-1800 2230-2359"</f>
        <v>S-TWTFS 0000-0800 2230-2359; -M----- 0000-1800 2230-2359</v>
      </c>
      <c r="BZ460" t="str">
        <f>"S-TWTFS 0000-0800 2230-2359; -M----- 0000-1800 2230-2359"</f>
        <v>S-TWTFS 0000-0800 2230-2359; -M----- 0000-1800 2230-2359</v>
      </c>
      <c r="CA460" t="str">
        <f>"S-TWTFS 0000-0800 2230-2359; -M----- 0000-1800 2230-2359"</f>
        <v>S-TWTFS 0000-0800 2230-2359; -M----- 0000-1800 2230-2359</v>
      </c>
      <c r="CB460" t="str">
        <f>""</f>
        <v/>
      </c>
      <c r="CC460" t="str">
        <f>""</f>
        <v/>
      </c>
      <c r="CD460" t="str">
        <f>""</f>
        <v/>
      </c>
      <c r="CE460" t="str">
        <f>""</f>
        <v/>
      </c>
      <c r="CF460" t="str">
        <f>"S-----S 0001-0815 2230-2359; -M----- 0001-1800 2300-2359; --TWT-- 0001-0845 2300-2359; -----F- 0001-0845 2230-2359"</f>
        <v>S-----S 0001-0815 2230-2359; -M----- 0001-1800 2300-2359; --TWT-- 0001-0845 2300-2359; -----F- 0001-0845 2230-2359</v>
      </c>
      <c r="CG460" t="str">
        <f>""</f>
        <v/>
      </c>
      <c r="CH460" t="str">
        <f>"SMTWTFS 0000-2359"</f>
        <v>SMTWTFS 0000-2359</v>
      </c>
    </row>
    <row r="461" spans="1:86" x14ac:dyDescent="0.25">
      <c r="A461" t="s">
        <v>3322</v>
      </c>
      <c r="B461" t="s">
        <v>3323</v>
      </c>
      <c r="D461" t="s">
        <v>2089</v>
      </c>
      <c r="E461" t="s">
        <v>3324</v>
      </c>
      <c r="F461" t="s">
        <v>497</v>
      </c>
      <c r="H461" t="s">
        <v>3033</v>
      </c>
      <c r="I461" t="s">
        <v>2014</v>
      </c>
      <c r="J461" t="str">
        <f>"20707"</f>
        <v>20707</v>
      </c>
      <c r="K461" t="s">
        <v>1998</v>
      </c>
      <c r="L461" t="s">
        <v>499</v>
      </c>
      <c r="M461" t="s">
        <v>500</v>
      </c>
      <c r="O461" t="s">
        <v>1991</v>
      </c>
      <c r="AF461" t="s">
        <v>2016</v>
      </c>
      <c r="AG461" t="s">
        <v>1991</v>
      </c>
      <c r="AJ461" t="s">
        <v>2090</v>
      </c>
      <c r="AM461" t="s">
        <v>501</v>
      </c>
      <c r="BX461" t="str">
        <f>""</f>
        <v/>
      </c>
      <c r="BY461" t="str">
        <f>""</f>
        <v/>
      </c>
      <c r="BZ461" t="str">
        <f>""</f>
        <v/>
      </c>
      <c r="CA461" t="str">
        <f>""</f>
        <v/>
      </c>
      <c r="CB461" t="str">
        <f>""</f>
        <v/>
      </c>
      <c r="CC461" t="str">
        <f>""</f>
        <v/>
      </c>
      <c r="CD461" t="str">
        <f>""</f>
        <v/>
      </c>
      <c r="CE461" t="str">
        <f>""</f>
        <v/>
      </c>
      <c r="CF461" t="str">
        <f>""</f>
        <v/>
      </c>
      <c r="CG461" t="str">
        <f>""</f>
        <v/>
      </c>
      <c r="CH461" t="str">
        <f>""</f>
        <v/>
      </c>
    </row>
    <row r="462" spans="1:86" x14ac:dyDescent="0.25">
      <c r="A462" t="s">
        <v>3325</v>
      </c>
      <c r="B462" t="s">
        <v>3326</v>
      </c>
      <c r="D462" t="s">
        <v>2089</v>
      </c>
      <c r="E462" t="s">
        <v>3327</v>
      </c>
      <c r="F462" t="s">
        <v>497</v>
      </c>
      <c r="G462" t="s">
        <v>3328</v>
      </c>
      <c r="H462" t="s">
        <v>3033</v>
      </c>
      <c r="I462" t="s">
        <v>2014</v>
      </c>
      <c r="J462" t="str">
        <f>"20725"</f>
        <v>20725</v>
      </c>
      <c r="K462" t="s">
        <v>1998</v>
      </c>
      <c r="L462" t="s">
        <v>499</v>
      </c>
      <c r="M462" t="s">
        <v>500</v>
      </c>
      <c r="O462" t="s">
        <v>1992</v>
      </c>
      <c r="AF462" t="s">
        <v>2016</v>
      </c>
      <c r="AG462" t="s">
        <v>1991</v>
      </c>
      <c r="AJ462" t="s">
        <v>2090</v>
      </c>
      <c r="AM462" t="s">
        <v>501</v>
      </c>
      <c r="BX462" t="str">
        <f>""</f>
        <v/>
      </c>
      <c r="BY462" t="str">
        <f>""</f>
        <v/>
      </c>
      <c r="BZ462" t="str">
        <f>""</f>
        <v/>
      </c>
      <c r="CA462" t="str">
        <f>""</f>
        <v/>
      </c>
      <c r="CB462" t="str">
        <f>""</f>
        <v/>
      </c>
      <c r="CC462" t="str">
        <f>""</f>
        <v/>
      </c>
      <c r="CD462" t="str">
        <f>""</f>
        <v/>
      </c>
      <c r="CE462" t="str">
        <f>""</f>
        <v/>
      </c>
      <c r="CF462" t="str">
        <f>""</f>
        <v/>
      </c>
      <c r="CG462" t="str">
        <f>""</f>
        <v/>
      </c>
      <c r="CH462" t="str">
        <f>""</f>
        <v/>
      </c>
    </row>
    <row r="463" spans="1:86" x14ac:dyDescent="0.25">
      <c r="A463" t="s">
        <v>3329</v>
      </c>
      <c r="B463" t="s">
        <v>3330</v>
      </c>
      <c r="C463" t="s">
        <v>1991</v>
      </c>
      <c r="D463" t="s">
        <v>2010</v>
      </c>
      <c r="E463" t="s">
        <v>3331</v>
      </c>
      <c r="F463" t="s">
        <v>3332</v>
      </c>
      <c r="H463" t="s">
        <v>3333</v>
      </c>
      <c r="I463" t="s">
        <v>1997</v>
      </c>
      <c r="J463" t="str">
        <f>"54601"</f>
        <v>54601</v>
      </c>
      <c r="K463" t="s">
        <v>1998</v>
      </c>
      <c r="L463" t="s">
        <v>1999</v>
      </c>
      <c r="M463" t="s">
        <v>3334</v>
      </c>
      <c r="N463" t="s">
        <v>1991</v>
      </c>
      <c r="O463" t="s">
        <v>1992</v>
      </c>
      <c r="P463" t="s">
        <v>1992</v>
      </c>
      <c r="Q463" t="s">
        <v>1991</v>
      </c>
      <c r="R463" t="s">
        <v>1991</v>
      </c>
      <c r="S463" t="s">
        <v>1992</v>
      </c>
      <c r="T463" t="s">
        <v>1992</v>
      </c>
      <c r="U463" t="s">
        <v>1991</v>
      </c>
      <c r="V463" t="s">
        <v>1991</v>
      </c>
      <c r="W463" t="s">
        <v>1991</v>
      </c>
      <c r="X463" t="s">
        <v>1992</v>
      </c>
      <c r="Y463" t="s">
        <v>1992</v>
      </c>
      <c r="Z463" t="s">
        <v>1992</v>
      </c>
      <c r="AA463" t="s">
        <v>1992</v>
      </c>
      <c r="AE463" t="s">
        <v>2047</v>
      </c>
      <c r="AF463" t="s">
        <v>2001</v>
      </c>
      <c r="AG463" t="s">
        <v>1991</v>
      </c>
      <c r="AH463">
        <v>60</v>
      </c>
      <c r="AI463">
        <v>30</v>
      </c>
      <c r="AJ463" t="s">
        <v>3335</v>
      </c>
      <c r="AK463">
        <v>655</v>
      </c>
      <c r="AL463">
        <v>50902</v>
      </c>
      <c r="AM463" t="s">
        <v>3336</v>
      </c>
      <c r="AN463" t="s">
        <v>1053</v>
      </c>
      <c r="AO463" t="s">
        <v>1053</v>
      </c>
      <c r="AP463" t="s">
        <v>2069</v>
      </c>
      <c r="AQ463" t="s">
        <v>1053</v>
      </c>
      <c r="AR463" t="s">
        <v>2069</v>
      </c>
      <c r="AS463" t="s">
        <v>3329</v>
      </c>
      <c r="AT463" t="s">
        <v>3337</v>
      </c>
      <c r="AU463" t="s">
        <v>1053</v>
      </c>
      <c r="AV463" t="s">
        <v>1053</v>
      </c>
      <c r="AW463" t="s">
        <v>2069</v>
      </c>
      <c r="AX463" t="s">
        <v>1053</v>
      </c>
      <c r="AY463" t="s">
        <v>2069</v>
      </c>
      <c r="AZ463" t="s">
        <v>3329</v>
      </c>
      <c r="BA463" t="s">
        <v>3337</v>
      </c>
      <c r="BB463" t="s">
        <v>1053</v>
      </c>
      <c r="BC463" t="s">
        <v>2069</v>
      </c>
      <c r="BD463" t="s">
        <v>1053</v>
      </c>
      <c r="BE463" t="s">
        <v>2069</v>
      </c>
      <c r="BF463" t="s">
        <v>1053</v>
      </c>
      <c r="BG463" t="s">
        <v>703</v>
      </c>
      <c r="BH463" t="s">
        <v>2173</v>
      </c>
      <c r="BI463" t="s">
        <v>1053</v>
      </c>
      <c r="BJ463" t="s">
        <v>2069</v>
      </c>
      <c r="BK463" t="s">
        <v>1053</v>
      </c>
      <c r="BL463" t="s">
        <v>2069</v>
      </c>
      <c r="BM463" t="s">
        <v>287</v>
      </c>
      <c r="BN463" t="s">
        <v>288</v>
      </c>
      <c r="BO463" t="s">
        <v>1053</v>
      </c>
      <c r="BP463" t="s">
        <v>950</v>
      </c>
      <c r="BQ463" t="s">
        <v>2006</v>
      </c>
      <c r="BR463" t="s">
        <v>1053</v>
      </c>
      <c r="BS463" t="s">
        <v>1053</v>
      </c>
      <c r="BT463" t="s">
        <v>1053</v>
      </c>
      <c r="BU463" t="s">
        <v>1053</v>
      </c>
      <c r="BV463" t="s">
        <v>951</v>
      </c>
      <c r="BW463" t="s">
        <v>952</v>
      </c>
      <c r="BX463" t="str">
        <f>"SMTWTFS 0900-1200 1800-2100"</f>
        <v>SMTWTFS 0900-1200 1800-2100</v>
      </c>
      <c r="BY463" t="str">
        <f>"SMTWTFS 0900-1200 1800-2100"</f>
        <v>SMTWTFS 0900-1200 1800-2100</v>
      </c>
      <c r="BZ463" t="str">
        <f>""</f>
        <v/>
      </c>
      <c r="CA463" t="str">
        <f>"SMTWTFS 0900-1200 1800-2100"</f>
        <v>SMTWTFS 0900-1200 1800-2100</v>
      </c>
      <c r="CB463" t="str">
        <f>""</f>
        <v/>
      </c>
      <c r="CC463" t="str">
        <f>""</f>
        <v/>
      </c>
      <c r="CD463" t="str">
        <f>""</f>
        <v/>
      </c>
      <c r="CE463" t="str">
        <f>""</f>
        <v/>
      </c>
      <c r="CF463" t="str">
        <f>"SMTWTFS 0900-1200 1800-2100"</f>
        <v>SMTWTFS 0900-1200 1800-2100</v>
      </c>
      <c r="CG463" t="str">
        <f>""</f>
        <v/>
      </c>
      <c r="CH463" t="str">
        <f>""</f>
        <v/>
      </c>
    </row>
    <row r="464" spans="1:86" x14ac:dyDescent="0.25">
      <c r="A464" t="s">
        <v>3338</v>
      </c>
      <c r="B464" t="s">
        <v>3339</v>
      </c>
      <c r="C464" t="s">
        <v>1992</v>
      </c>
      <c r="D464" t="s">
        <v>2010</v>
      </c>
      <c r="E464" t="s">
        <v>3340</v>
      </c>
      <c r="H464" t="s">
        <v>3019</v>
      </c>
      <c r="I464" t="s">
        <v>2044</v>
      </c>
      <c r="J464" t="str">
        <f>"87701"</f>
        <v>87701</v>
      </c>
      <c r="K464" t="s">
        <v>1998</v>
      </c>
      <c r="L464" t="s">
        <v>2045</v>
      </c>
      <c r="M464" t="s">
        <v>2063</v>
      </c>
      <c r="N464" t="s">
        <v>1992</v>
      </c>
      <c r="O464" t="s">
        <v>1991</v>
      </c>
      <c r="P464" t="s">
        <v>1992</v>
      </c>
      <c r="Q464" t="s">
        <v>1992</v>
      </c>
      <c r="R464" t="s">
        <v>1992</v>
      </c>
      <c r="S464" t="s">
        <v>1992</v>
      </c>
      <c r="T464" t="s">
        <v>1992</v>
      </c>
      <c r="U464" t="s">
        <v>1992</v>
      </c>
      <c r="V464" t="s">
        <v>1991</v>
      </c>
      <c r="W464" t="s">
        <v>1991</v>
      </c>
      <c r="X464" t="s">
        <v>1992</v>
      </c>
      <c r="Y464" t="s">
        <v>1992</v>
      </c>
      <c r="Z464" t="s">
        <v>1992</v>
      </c>
      <c r="AF464" t="s">
        <v>2048</v>
      </c>
      <c r="AG464" t="s">
        <v>1991</v>
      </c>
      <c r="AH464">
        <v>30</v>
      </c>
      <c r="AI464">
        <v>30</v>
      </c>
      <c r="AJ464" t="s">
        <v>3341</v>
      </c>
      <c r="AK464">
        <v>6406</v>
      </c>
      <c r="AL464">
        <v>13000</v>
      </c>
      <c r="AN464" t="s">
        <v>425</v>
      </c>
      <c r="BF464" t="s">
        <v>1053</v>
      </c>
      <c r="BG464" t="s">
        <v>2019</v>
      </c>
      <c r="BH464" t="s">
        <v>2053</v>
      </c>
      <c r="BI464" t="s">
        <v>1053</v>
      </c>
      <c r="BO464" t="s">
        <v>1053</v>
      </c>
      <c r="BP464" t="s">
        <v>2054</v>
      </c>
      <c r="BQ464" t="s">
        <v>2055</v>
      </c>
      <c r="BR464" t="s">
        <v>1053</v>
      </c>
      <c r="BS464" t="s">
        <v>1053</v>
      </c>
      <c r="BV464" t="s">
        <v>2056</v>
      </c>
      <c r="BX464" t="str">
        <f>"SMTWTFS 1000-1600"</f>
        <v>SMTWTFS 1000-1600</v>
      </c>
      <c r="BY464" t="str">
        <f>""</f>
        <v/>
      </c>
      <c r="BZ464" t="str">
        <f>""</f>
        <v/>
      </c>
      <c r="CA464" t="str">
        <f>""</f>
        <v/>
      </c>
      <c r="CB464" t="str">
        <f>""</f>
        <v/>
      </c>
      <c r="CC464" t="str">
        <f>"SMTWTFS 1000-1600"</f>
        <v>SMTWTFS 1000-1600</v>
      </c>
      <c r="CD464" t="str">
        <f>""</f>
        <v/>
      </c>
      <c r="CE464" t="str">
        <f>""</f>
        <v/>
      </c>
      <c r="CF464" t="str">
        <f>""</f>
        <v/>
      </c>
      <c r="CG464" t="str">
        <f>""</f>
        <v/>
      </c>
      <c r="CH464" t="str">
        <f>""</f>
        <v/>
      </c>
    </row>
    <row r="465" spans="1:86" x14ac:dyDescent="0.25">
      <c r="A465" t="s">
        <v>3342</v>
      </c>
      <c r="B465" t="s">
        <v>3343</v>
      </c>
      <c r="C465" t="s">
        <v>1992</v>
      </c>
      <c r="D465" t="s">
        <v>1993</v>
      </c>
      <c r="E465" t="s">
        <v>3344</v>
      </c>
      <c r="F465" t="s">
        <v>3345</v>
      </c>
      <c r="H465" t="s">
        <v>3346</v>
      </c>
      <c r="I465" t="s">
        <v>660</v>
      </c>
      <c r="J465" t="str">
        <f>"03561-4118"</f>
        <v>03561-4118</v>
      </c>
      <c r="K465" t="s">
        <v>1998</v>
      </c>
      <c r="L465" t="s">
        <v>2033</v>
      </c>
      <c r="M465" t="s">
        <v>2063</v>
      </c>
      <c r="N465" t="s">
        <v>1992</v>
      </c>
      <c r="O465" t="s">
        <v>1992</v>
      </c>
      <c r="P465" t="s">
        <v>1992</v>
      </c>
      <c r="Q465" t="s">
        <v>1992</v>
      </c>
      <c r="R465" t="s">
        <v>1992</v>
      </c>
      <c r="S465" t="s">
        <v>1992</v>
      </c>
      <c r="T465" t="s">
        <v>1992</v>
      </c>
      <c r="U465" t="s">
        <v>1992</v>
      </c>
      <c r="V465" t="s">
        <v>1991</v>
      </c>
      <c r="W465" t="s">
        <v>1992</v>
      </c>
      <c r="X465" t="s">
        <v>1992</v>
      </c>
      <c r="Y465" t="s">
        <v>1991</v>
      </c>
      <c r="Z465" t="s">
        <v>1991</v>
      </c>
      <c r="AA465" t="s">
        <v>1992</v>
      </c>
      <c r="AF465" t="s">
        <v>2016</v>
      </c>
      <c r="AG465" t="s">
        <v>1991</v>
      </c>
      <c r="AH465">
        <v>30</v>
      </c>
      <c r="AI465">
        <v>30</v>
      </c>
      <c r="AJ465" t="s">
        <v>3347</v>
      </c>
      <c r="AK465">
        <v>929</v>
      </c>
      <c r="AM465" t="s">
        <v>2298</v>
      </c>
      <c r="BX465" t="str">
        <f>""</f>
        <v/>
      </c>
      <c r="BY465" t="str">
        <f>""</f>
        <v/>
      </c>
      <c r="BZ465" t="str">
        <f>""</f>
        <v/>
      </c>
      <c r="CA465" t="str">
        <f>""</f>
        <v/>
      </c>
      <c r="CB465" t="str">
        <f>""</f>
        <v/>
      </c>
      <c r="CC465" t="str">
        <f>""</f>
        <v/>
      </c>
      <c r="CD465" t="str">
        <f>""</f>
        <v/>
      </c>
      <c r="CE465" t="str">
        <f>""</f>
        <v/>
      </c>
      <c r="CF465" t="str">
        <f>""</f>
        <v/>
      </c>
      <c r="CG465" t="str">
        <f>""</f>
        <v/>
      </c>
      <c r="CH465" t="str">
        <f>""</f>
        <v/>
      </c>
    </row>
    <row r="466" spans="1:86" x14ac:dyDescent="0.25">
      <c r="A466" t="s">
        <v>3348</v>
      </c>
      <c r="B466" t="s">
        <v>3349</v>
      </c>
      <c r="C466" t="s">
        <v>1992</v>
      </c>
      <c r="D466" t="s">
        <v>2028</v>
      </c>
      <c r="E466" t="s">
        <v>3350</v>
      </c>
      <c r="F466" t="s">
        <v>3351</v>
      </c>
      <c r="H466" t="s">
        <v>3352</v>
      </c>
      <c r="I466" t="s">
        <v>2061</v>
      </c>
      <c r="J466" t="str">
        <f>"95330"</f>
        <v>95330</v>
      </c>
      <c r="K466" t="s">
        <v>1998</v>
      </c>
      <c r="L466" t="s">
        <v>2062</v>
      </c>
      <c r="M466" t="s">
        <v>2063</v>
      </c>
      <c r="N466" t="s">
        <v>1992</v>
      </c>
      <c r="O466" t="s">
        <v>1992</v>
      </c>
      <c r="P466" t="s">
        <v>1992</v>
      </c>
      <c r="Q466" t="s">
        <v>1992</v>
      </c>
      <c r="R466" t="s">
        <v>1992</v>
      </c>
      <c r="S466" t="s">
        <v>1992</v>
      </c>
      <c r="T466" t="s">
        <v>1992</v>
      </c>
      <c r="U466" t="s">
        <v>1992</v>
      </c>
      <c r="V466" t="s">
        <v>1991</v>
      </c>
      <c r="W466" t="s">
        <v>1992</v>
      </c>
      <c r="X466" t="s">
        <v>1991</v>
      </c>
      <c r="Y466" t="s">
        <v>1991</v>
      </c>
      <c r="AF466" t="s">
        <v>2064</v>
      </c>
      <c r="AG466" t="s">
        <v>1991</v>
      </c>
      <c r="AH466">
        <v>15</v>
      </c>
      <c r="AI466">
        <v>15</v>
      </c>
      <c r="AJ466" t="s">
        <v>3353</v>
      </c>
      <c r="AK466">
        <v>27</v>
      </c>
      <c r="BF466" t="s">
        <v>1053</v>
      </c>
      <c r="BG466" t="s">
        <v>309</v>
      </c>
      <c r="BH466" t="s">
        <v>2301</v>
      </c>
      <c r="BI466" t="s">
        <v>1053</v>
      </c>
      <c r="BK466" t="s">
        <v>1053</v>
      </c>
      <c r="BO466" t="s">
        <v>1053</v>
      </c>
      <c r="BP466" t="s">
        <v>394</v>
      </c>
      <c r="BQ466" t="s">
        <v>2055</v>
      </c>
      <c r="BR466" t="s">
        <v>1053</v>
      </c>
      <c r="BS466" t="s">
        <v>1053</v>
      </c>
      <c r="BT466" t="s">
        <v>1053</v>
      </c>
      <c r="BU466" t="s">
        <v>1053</v>
      </c>
      <c r="BX466" t="str">
        <f>""</f>
        <v/>
      </c>
      <c r="BY466" t="str">
        <f>""</f>
        <v/>
      </c>
      <c r="BZ466" t="str">
        <f>""</f>
        <v/>
      </c>
      <c r="CA466" t="str">
        <f>""</f>
        <v/>
      </c>
      <c r="CB466" t="str">
        <f>""</f>
        <v/>
      </c>
      <c r="CC466" t="str">
        <f>""</f>
        <v/>
      </c>
      <c r="CD466" t="str">
        <f>""</f>
        <v/>
      </c>
      <c r="CE466" t="str">
        <f>""</f>
        <v/>
      </c>
      <c r="CF466" t="str">
        <f>""</f>
        <v/>
      </c>
      <c r="CG466" t="str">
        <f>""</f>
        <v/>
      </c>
      <c r="CH466" t="str">
        <f>""</f>
        <v/>
      </c>
    </row>
    <row r="467" spans="1:86" x14ac:dyDescent="0.25">
      <c r="A467" t="s">
        <v>3354</v>
      </c>
      <c r="B467" t="s">
        <v>3355</v>
      </c>
      <c r="C467" t="s">
        <v>1992</v>
      </c>
      <c r="D467" t="s">
        <v>1993</v>
      </c>
      <c r="E467" t="s">
        <v>3356</v>
      </c>
      <c r="F467" t="s">
        <v>3357</v>
      </c>
      <c r="H467" t="s">
        <v>3358</v>
      </c>
      <c r="I467" t="s">
        <v>2061</v>
      </c>
      <c r="J467" t="str">
        <f>"93543-3034"</f>
        <v>93543-3034</v>
      </c>
      <c r="K467" t="s">
        <v>1998</v>
      </c>
      <c r="L467" t="s">
        <v>2045</v>
      </c>
      <c r="M467" t="s">
        <v>2000</v>
      </c>
      <c r="N467" t="s">
        <v>1992</v>
      </c>
      <c r="O467" t="s">
        <v>1992</v>
      </c>
      <c r="P467" t="s">
        <v>1992</v>
      </c>
      <c r="Q467" t="s">
        <v>1992</v>
      </c>
      <c r="R467" t="s">
        <v>1992</v>
      </c>
      <c r="S467" t="s">
        <v>1992</v>
      </c>
      <c r="T467" t="s">
        <v>1992</v>
      </c>
      <c r="U467" t="s">
        <v>1992</v>
      </c>
      <c r="V467" t="s">
        <v>1991</v>
      </c>
      <c r="W467" t="s">
        <v>1992</v>
      </c>
      <c r="X467" t="s">
        <v>1992</v>
      </c>
      <c r="Y467" t="s">
        <v>1991</v>
      </c>
      <c r="Z467" t="s">
        <v>1992</v>
      </c>
      <c r="AF467" t="s">
        <v>2064</v>
      </c>
      <c r="AG467" t="s">
        <v>1991</v>
      </c>
      <c r="AH467">
        <v>30</v>
      </c>
      <c r="AI467">
        <v>30</v>
      </c>
      <c r="AJ467" t="s">
        <v>3359</v>
      </c>
      <c r="AK467">
        <v>2896</v>
      </c>
      <c r="AM467" t="s">
        <v>2298</v>
      </c>
      <c r="AN467" t="s">
        <v>3360</v>
      </c>
      <c r="AO467" t="s">
        <v>2063</v>
      </c>
      <c r="BF467" t="s">
        <v>1053</v>
      </c>
      <c r="BG467" t="s">
        <v>309</v>
      </c>
      <c r="BH467" t="s">
        <v>2301</v>
      </c>
      <c r="BI467" t="s">
        <v>1053</v>
      </c>
      <c r="BK467" t="s">
        <v>1053</v>
      </c>
      <c r="BO467" t="s">
        <v>1053</v>
      </c>
      <c r="BP467" t="s">
        <v>310</v>
      </c>
      <c r="BQ467" t="s">
        <v>311</v>
      </c>
      <c r="BR467" t="s">
        <v>1053</v>
      </c>
      <c r="BS467" t="s">
        <v>1053</v>
      </c>
      <c r="BT467" t="s">
        <v>1053</v>
      </c>
      <c r="BU467" t="s">
        <v>1053</v>
      </c>
      <c r="BX467" t="str">
        <f>""</f>
        <v/>
      </c>
      <c r="BY467" t="str">
        <f>""</f>
        <v/>
      </c>
      <c r="BZ467" t="str">
        <f>""</f>
        <v/>
      </c>
      <c r="CA467" t="str">
        <f>""</f>
        <v/>
      </c>
      <c r="CB467" t="str">
        <f>""</f>
        <v/>
      </c>
      <c r="CC467" t="str">
        <f>""</f>
        <v/>
      </c>
      <c r="CD467" t="str">
        <f>""</f>
        <v/>
      </c>
      <c r="CE467" t="str">
        <f>""</f>
        <v/>
      </c>
      <c r="CF467" t="str">
        <f>""</f>
        <v/>
      </c>
      <c r="CG467" t="str">
        <f>""</f>
        <v/>
      </c>
      <c r="CH467" t="str">
        <f>""</f>
        <v/>
      </c>
    </row>
    <row r="468" spans="1:86" x14ac:dyDescent="0.25">
      <c r="A468" t="s">
        <v>3361</v>
      </c>
      <c r="B468" t="s">
        <v>3362</v>
      </c>
      <c r="C468" t="s">
        <v>1992</v>
      </c>
      <c r="D468" t="s">
        <v>1993</v>
      </c>
      <c r="E468" t="s">
        <v>3363</v>
      </c>
      <c r="F468" t="s">
        <v>3364</v>
      </c>
      <c r="H468" t="s">
        <v>3365</v>
      </c>
      <c r="I468" t="s">
        <v>2061</v>
      </c>
      <c r="J468" t="str">
        <f>"95454"</f>
        <v>95454</v>
      </c>
      <c r="K468" t="s">
        <v>1998</v>
      </c>
      <c r="L468" t="s">
        <v>2062</v>
      </c>
      <c r="M468" t="s">
        <v>2063</v>
      </c>
      <c r="N468" t="s">
        <v>1992</v>
      </c>
      <c r="O468" t="s">
        <v>1992</v>
      </c>
      <c r="P468" t="s">
        <v>1992</v>
      </c>
      <c r="Q468" t="s">
        <v>1992</v>
      </c>
      <c r="R468" t="s">
        <v>1992</v>
      </c>
      <c r="S468" t="s">
        <v>1992</v>
      </c>
      <c r="T468" t="s">
        <v>1992</v>
      </c>
      <c r="U468" t="s">
        <v>1992</v>
      </c>
      <c r="V468" t="s">
        <v>1991</v>
      </c>
      <c r="W468" t="s">
        <v>1992</v>
      </c>
      <c r="X468" t="s">
        <v>1992</v>
      </c>
      <c r="Y468" t="s">
        <v>1991</v>
      </c>
      <c r="Z468" t="s">
        <v>1992</v>
      </c>
      <c r="AF468" t="s">
        <v>2064</v>
      </c>
      <c r="AG468" t="s">
        <v>1991</v>
      </c>
      <c r="AH468">
        <v>30</v>
      </c>
      <c r="AI468">
        <v>30</v>
      </c>
      <c r="AJ468" t="s">
        <v>3366</v>
      </c>
      <c r="AK468">
        <v>1658</v>
      </c>
      <c r="AL468">
        <v>1096</v>
      </c>
      <c r="AM468" t="s">
        <v>2298</v>
      </c>
      <c r="BF468" t="s">
        <v>1053</v>
      </c>
      <c r="BG468" t="s">
        <v>309</v>
      </c>
      <c r="BH468" t="s">
        <v>2301</v>
      </c>
      <c r="BI468" t="s">
        <v>1053</v>
      </c>
      <c r="BK468" t="s">
        <v>1053</v>
      </c>
      <c r="BO468" t="s">
        <v>1053</v>
      </c>
      <c r="BP468" t="s">
        <v>3367</v>
      </c>
      <c r="BQ468" t="s">
        <v>1814</v>
      </c>
      <c r="BR468" t="s">
        <v>1053</v>
      </c>
      <c r="BX468" t="str">
        <f>""</f>
        <v/>
      </c>
      <c r="BY468" t="str">
        <f>""</f>
        <v/>
      </c>
      <c r="BZ468" t="str">
        <f>""</f>
        <v/>
      </c>
      <c r="CA468" t="str">
        <f>""</f>
        <v/>
      </c>
      <c r="CB468" t="str">
        <f>""</f>
        <v/>
      </c>
      <c r="CC468" t="str">
        <f>""</f>
        <v/>
      </c>
      <c r="CD468" t="str">
        <f>""</f>
        <v/>
      </c>
      <c r="CE468" t="str">
        <f>""</f>
        <v/>
      </c>
      <c r="CF468" t="str">
        <f>""</f>
        <v/>
      </c>
      <c r="CG468" t="str">
        <f>""</f>
        <v/>
      </c>
      <c r="CH468" t="str">
        <f>""</f>
        <v/>
      </c>
    </row>
    <row r="469" spans="1:86" x14ac:dyDescent="0.25">
      <c r="A469" t="s">
        <v>3368</v>
      </c>
      <c r="B469" t="s">
        <v>3369</v>
      </c>
      <c r="C469" t="s">
        <v>1992</v>
      </c>
      <c r="D469" t="s">
        <v>2010</v>
      </c>
      <c r="E469" t="s">
        <v>3370</v>
      </c>
      <c r="F469" t="s">
        <v>743</v>
      </c>
      <c r="H469" t="s">
        <v>3371</v>
      </c>
      <c r="I469" t="s">
        <v>2309</v>
      </c>
      <c r="J469" t="str">
        <f>"40203-1917"</f>
        <v>40203-1917</v>
      </c>
      <c r="K469" t="s">
        <v>1998</v>
      </c>
      <c r="L469" t="s">
        <v>1999</v>
      </c>
      <c r="M469" t="s">
        <v>3372</v>
      </c>
      <c r="N469" t="s">
        <v>1992</v>
      </c>
      <c r="O469" t="s">
        <v>1992</v>
      </c>
      <c r="P469" t="s">
        <v>1992</v>
      </c>
      <c r="Q469" t="s">
        <v>1992</v>
      </c>
      <c r="R469" t="s">
        <v>1992</v>
      </c>
      <c r="S469" t="s">
        <v>1992</v>
      </c>
      <c r="T469" t="s">
        <v>1992</v>
      </c>
      <c r="U469" t="s">
        <v>1992</v>
      </c>
      <c r="V469" t="s">
        <v>1991</v>
      </c>
      <c r="W469" t="s">
        <v>1992</v>
      </c>
      <c r="X469" t="s">
        <v>1992</v>
      </c>
      <c r="Y469" t="s">
        <v>1992</v>
      </c>
      <c r="Z469" t="s">
        <v>1991</v>
      </c>
      <c r="AA469" t="s">
        <v>1992</v>
      </c>
      <c r="AE469" t="s">
        <v>3631</v>
      </c>
      <c r="AF469" t="s">
        <v>2016</v>
      </c>
      <c r="AG469" t="s">
        <v>1991</v>
      </c>
      <c r="AH469">
        <v>30</v>
      </c>
      <c r="AI469">
        <v>30</v>
      </c>
      <c r="AJ469" t="s">
        <v>3373</v>
      </c>
      <c r="AK469">
        <v>457</v>
      </c>
      <c r="AL469">
        <v>283900</v>
      </c>
      <c r="AM469" t="s">
        <v>3374</v>
      </c>
      <c r="AN469" t="s">
        <v>2066</v>
      </c>
      <c r="AO469" t="s">
        <v>2063</v>
      </c>
      <c r="BF469" t="s">
        <v>1053</v>
      </c>
      <c r="BG469" t="s">
        <v>235</v>
      </c>
      <c r="BH469" t="s">
        <v>644</v>
      </c>
      <c r="BI469" t="s">
        <v>1053</v>
      </c>
      <c r="BK469" t="s">
        <v>1053</v>
      </c>
      <c r="BM469" t="s">
        <v>2313</v>
      </c>
      <c r="BN469" t="s">
        <v>2314</v>
      </c>
      <c r="BO469" t="s">
        <v>1053</v>
      </c>
      <c r="BP469" t="s">
        <v>2356</v>
      </c>
      <c r="BQ469" t="s">
        <v>2679</v>
      </c>
      <c r="BR469" t="s">
        <v>1053</v>
      </c>
      <c r="BS469" t="s">
        <v>1053</v>
      </c>
      <c r="BT469" t="s">
        <v>1053</v>
      </c>
      <c r="BU469" t="s">
        <v>1053</v>
      </c>
      <c r="BV469" t="s">
        <v>987</v>
      </c>
      <c r="BX469" t="str">
        <f>"SMTWTFS 0700-2100"</f>
        <v>SMTWTFS 0700-2100</v>
      </c>
      <c r="BY469" t="str">
        <f>""</f>
        <v/>
      </c>
      <c r="BZ469" t="str">
        <f>""</f>
        <v/>
      </c>
      <c r="CA469" t="str">
        <f>""</f>
        <v/>
      </c>
      <c r="CB469" t="str">
        <f>""</f>
        <v/>
      </c>
      <c r="CC469" t="str">
        <f>""</f>
        <v/>
      </c>
      <c r="CD469" t="str">
        <f>""</f>
        <v/>
      </c>
      <c r="CE469" t="str">
        <f>""</f>
        <v/>
      </c>
      <c r="CF469" t="str">
        <f>""</f>
        <v/>
      </c>
      <c r="CG469" t="str">
        <f>""</f>
        <v/>
      </c>
      <c r="CH469" t="str">
        <f>""</f>
        <v/>
      </c>
    </row>
    <row r="470" spans="1:86" x14ac:dyDescent="0.25">
      <c r="A470" t="s">
        <v>3375</v>
      </c>
      <c r="B470" t="s">
        <v>3376</v>
      </c>
      <c r="C470" t="s">
        <v>1992</v>
      </c>
      <c r="D470" t="s">
        <v>1993</v>
      </c>
      <c r="E470" t="s">
        <v>3377</v>
      </c>
      <c r="F470" t="s">
        <v>3378</v>
      </c>
      <c r="H470" t="s">
        <v>3379</v>
      </c>
      <c r="I470" t="s">
        <v>2061</v>
      </c>
      <c r="J470" t="str">
        <f>"95541"</f>
        <v>95541</v>
      </c>
      <c r="K470" t="s">
        <v>1998</v>
      </c>
      <c r="L470" t="s">
        <v>2062</v>
      </c>
      <c r="M470" t="s">
        <v>2000</v>
      </c>
      <c r="N470" t="s">
        <v>1992</v>
      </c>
      <c r="O470" t="s">
        <v>1992</v>
      </c>
      <c r="P470" t="s">
        <v>1992</v>
      </c>
      <c r="Q470" t="s">
        <v>1992</v>
      </c>
      <c r="R470" t="s">
        <v>1992</v>
      </c>
      <c r="S470" t="s">
        <v>1992</v>
      </c>
      <c r="T470" t="s">
        <v>1992</v>
      </c>
      <c r="U470" t="s">
        <v>1992</v>
      </c>
      <c r="V470" t="s">
        <v>1991</v>
      </c>
      <c r="W470" t="s">
        <v>1992</v>
      </c>
      <c r="X470" t="s">
        <v>1992</v>
      </c>
      <c r="Y470" t="s">
        <v>1992</v>
      </c>
      <c r="Z470" t="s">
        <v>1991</v>
      </c>
      <c r="AF470" t="s">
        <v>2064</v>
      </c>
      <c r="AG470" t="s">
        <v>1991</v>
      </c>
      <c r="AH470">
        <v>15</v>
      </c>
      <c r="AI470">
        <v>15</v>
      </c>
      <c r="AJ470" t="s">
        <v>3380</v>
      </c>
      <c r="AK470">
        <v>6792</v>
      </c>
      <c r="AM470" t="s">
        <v>50</v>
      </c>
      <c r="AN470" t="s">
        <v>3381</v>
      </c>
      <c r="AO470" t="s">
        <v>2063</v>
      </c>
      <c r="BF470" t="s">
        <v>1053</v>
      </c>
      <c r="BG470" t="s">
        <v>309</v>
      </c>
      <c r="BH470" t="s">
        <v>2301</v>
      </c>
      <c r="BI470" t="s">
        <v>1053</v>
      </c>
      <c r="BK470" t="s">
        <v>1053</v>
      </c>
      <c r="BO470" t="s">
        <v>1053</v>
      </c>
      <c r="BP470" t="s">
        <v>2067</v>
      </c>
      <c r="BQ470" t="s">
        <v>3602</v>
      </c>
      <c r="BR470" t="s">
        <v>1053</v>
      </c>
      <c r="BT470" t="s">
        <v>1053</v>
      </c>
      <c r="BV470" t="s">
        <v>2070</v>
      </c>
      <c r="BX470" t="str">
        <f>""</f>
        <v/>
      </c>
      <c r="BY470" t="str">
        <f>""</f>
        <v/>
      </c>
      <c r="BZ470" t="str">
        <f>""</f>
        <v/>
      </c>
      <c r="CA470" t="str">
        <f>""</f>
        <v/>
      </c>
      <c r="CB470" t="str">
        <f>""</f>
        <v/>
      </c>
      <c r="CC470" t="str">
        <f>""</f>
        <v/>
      </c>
      <c r="CD470" t="str">
        <f>""</f>
        <v/>
      </c>
      <c r="CE470" t="str">
        <f>""</f>
        <v/>
      </c>
      <c r="CF470" t="str">
        <f>""</f>
        <v/>
      </c>
      <c r="CG470" t="str">
        <f>""</f>
        <v/>
      </c>
      <c r="CH470" t="str">
        <f>""</f>
        <v/>
      </c>
    </row>
    <row r="471" spans="1:86" x14ac:dyDescent="0.25">
      <c r="A471" t="s">
        <v>3382</v>
      </c>
      <c r="B471" t="s">
        <v>3383</v>
      </c>
      <c r="C471" t="s">
        <v>1992</v>
      </c>
      <c r="D471" t="s">
        <v>2010</v>
      </c>
      <c r="E471" t="s">
        <v>3384</v>
      </c>
      <c r="F471" t="s">
        <v>743</v>
      </c>
      <c r="H471" t="s">
        <v>3019</v>
      </c>
      <c r="I471" t="s">
        <v>1371</v>
      </c>
      <c r="J471" t="str">
        <f>"89101-6357"</f>
        <v>89101-6357</v>
      </c>
      <c r="K471" t="s">
        <v>1998</v>
      </c>
      <c r="L471" t="s">
        <v>2045</v>
      </c>
      <c r="M471" t="s">
        <v>2063</v>
      </c>
      <c r="N471" t="s">
        <v>1992</v>
      </c>
      <c r="O471" t="s">
        <v>1992</v>
      </c>
      <c r="P471" t="s">
        <v>1992</v>
      </c>
      <c r="Q471" t="s">
        <v>1992</v>
      </c>
      <c r="R471" t="s">
        <v>1992</v>
      </c>
      <c r="S471" t="s">
        <v>1992</v>
      </c>
      <c r="T471" t="s">
        <v>1992</v>
      </c>
      <c r="U471" t="s">
        <v>1992</v>
      </c>
      <c r="V471" t="s">
        <v>1991</v>
      </c>
      <c r="W471" t="s">
        <v>1992</v>
      </c>
      <c r="Y471" t="s">
        <v>1991</v>
      </c>
      <c r="Z471" t="s">
        <v>1991</v>
      </c>
      <c r="AB471" t="s">
        <v>3020</v>
      </c>
      <c r="AE471" t="s">
        <v>3631</v>
      </c>
      <c r="AF471" t="s">
        <v>2064</v>
      </c>
      <c r="AG471" t="s">
        <v>1991</v>
      </c>
      <c r="AH471">
        <v>30</v>
      </c>
      <c r="AI471">
        <v>30</v>
      </c>
      <c r="AJ471" t="s">
        <v>3385</v>
      </c>
      <c r="AK471">
        <v>2025</v>
      </c>
      <c r="AM471" t="s">
        <v>2298</v>
      </c>
      <c r="AN471" t="s">
        <v>3386</v>
      </c>
      <c r="AO471" t="s">
        <v>2063</v>
      </c>
      <c r="BF471" t="s">
        <v>1053</v>
      </c>
      <c r="BG471" t="s">
        <v>309</v>
      </c>
      <c r="BH471" t="s">
        <v>2301</v>
      </c>
      <c r="BI471" t="s">
        <v>1053</v>
      </c>
      <c r="BK471" t="s">
        <v>1053</v>
      </c>
      <c r="BM471" t="s">
        <v>393</v>
      </c>
      <c r="BN471" t="s">
        <v>395</v>
      </c>
      <c r="BO471" t="s">
        <v>1053</v>
      </c>
      <c r="BP471" t="s">
        <v>310</v>
      </c>
      <c r="BQ471" t="s">
        <v>311</v>
      </c>
      <c r="BR471" t="s">
        <v>1053</v>
      </c>
      <c r="BS471" t="s">
        <v>1053</v>
      </c>
      <c r="BT471" t="s">
        <v>1053</v>
      </c>
      <c r="BU471" t="s">
        <v>1053</v>
      </c>
      <c r="BX471" t="str">
        <f>"SMTWTFS 0000-2359"</f>
        <v>SMTWTFS 0000-2359</v>
      </c>
      <c r="BY471" t="str">
        <f>""</f>
        <v/>
      </c>
      <c r="BZ471" t="str">
        <f>""</f>
        <v/>
      </c>
      <c r="CA471" t="str">
        <f>""</f>
        <v/>
      </c>
      <c r="CB471" t="str">
        <f>""</f>
        <v/>
      </c>
      <c r="CC471" t="str">
        <f>""</f>
        <v/>
      </c>
      <c r="CD471" t="str">
        <f>""</f>
        <v/>
      </c>
      <c r="CE471" t="str">
        <f>""</f>
        <v/>
      </c>
      <c r="CF471" t="str">
        <f>""</f>
        <v/>
      </c>
      <c r="CG471" t="str">
        <f>""</f>
        <v/>
      </c>
      <c r="CH471" t="str">
        <f>""</f>
        <v/>
      </c>
    </row>
    <row r="472" spans="1:86" x14ac:dyDescent="0.25">
      <c r="A472" t="s">
        <v>3387</v>
      </c>
      <c r="B472" t="s">
        <v>3388</v>
      </c>
      <c r="C472" t="s">
        <v>1991</v>
      </c>
      <c r="D472" t="s">
        <v>2010</v>
      </c>
      <c r="E472" t="s">
        <v>3389</v>
      </c>
      <c r="H472" t="s">
        <v>3390</v>
      </c>
      <c r="I472" t="s">
        <v>2381</v>
      </c>
      <c r="J472" t="str">
        <f>"75602"</f>
        <v>75602</v>
      </c>
      <c r="K472" t="s">
        <v>1998</v>
      </c>
      <c r="L472" t="s">
        <v>2045</v>
      </c>
      <c r="M472" t="s">
        <v>3391</v>
      </c>
      <c r="N472" t="s">
        <v>1991</v>
      </c>
      <c r="O472" t="s">
        <v>1992</v>
      </c>
      <c r="P472" t="s">
        <v>1992</v>
      </c>
      <c r="Q472" t="s">
        <v>1991</v>
      </c>
      <c r="R472" t="s">
        <v>1991</v>
      </c>
      <c r="S472" t="s">
        <v>1992</v>
      </c>
      <c r="T472" t="s">
        <v>1992</v>
      </c>
      <c r="U472" t="s">
        <v>1991</v>
      </c>
      <c r="V472" t="s">
        <v>1991</v>
      </c>
      <c r="W472" t="s">
        <v>1991</v>
      </c>
      <c r="X472" t="s">
        <v>1992</v>
      </c>
      <c r="Y472" t="s">
        <v>1991</v>
      </c>
      <c r="AE472" t="s">
        <v>2047</v>
      </c>
      <c r="AF472" t="s">
        <v>2001</v>
      </c>
      <c r="AG472" t="s">
        <v>1991</v>
      </c>
      <c r="AH472">
        <v>60</v>
      </c>
      <c r="AI472">
        <v>30</v>
      </c>
      <c r="AJ472" t="s">
        <v>3392</v>
      </c>
      <c r="AK472">
        <v>332</v>
      </c>
      <c r="AL472">
        <v>76524</v>
      </c>
      <c r="AM472" t="s">
        <v>3393</v>
      </c>
      <c r="AN472" t="s">
        <v>1053</v>
      </c>
      <c r="AO472" t="s">
        <v>1053</v>
      </c>
      <c r="AP472" t="s">
        <v>2069</v>
      </c>
      <c r="AQ472" t="s">
        <v>1053</v>
      </c>
      <c r="AR472" t="s">
        <v>2069</v>
      </c>
      <c r="AS472" t="s">
        <v>3387</v>
      </c>
      <c r="AT472" t="s">
        <v>3394</v>
      </c>
      <c r="AU472" t="s">
        <v>1053</v>
      </c>
      <c r="AV472" t="s">
        <v>1053</v>
      </c>
      <c r="AW472" t="s">
        <v>2069</v>
      </c>
      <c r="AX472" t="s">
        <v>1053</v>
      </c>
      <c r="AY472" t="s">
        <v>2069</v>
      </c>
      <c r="AZ472" t="s">
        <v>3395</v>
      </c>
      <c r="BA472" t="s">
        <v>3394</v>
      </c>
      <c r="BB472" t="s">
        <v>1053</v>
      </c>
      <c r="BC472" t="s">
        <v>2069</v>
      </c>
      <c r="BD472" t="s">
        <v>1053</v>
      </c>
      <c r="BE472" t="s">
        <v>2069</v>
      </c>
      <c r="BF472" t="s">
        <v>1053</v>
      </c>
      <c r="BG472" t="s">
        <v>235</v>
      </c>
      <c r="BH472" t="s">
        <v>2098</v>
      </c>
      <c r="BI472" t="s">
        <v>1053</v>
      </c>
      <c r="BJ472" t="s">
        <v>2069</v>
      </c>
      <c r="BK472" t="s">
        <v>1053</v>
      </c>
      <c r="BL472" t="s">
        <v>2069</v>
      </c>
      <c r="BM472" t="s">
        <v>2099</v>
      </c>
      <c r="BN472" t="s">
        <v>2100</v>
      </c>
      <c r="BO472" t="s">
        <v>1053</v>
      </c>
      <c r="BP472" t="s">
        <v>2101</v>
      </c>
      <c r="BQ472" t="s">
        <v>1599</v>
      </c>
      <c r="BR472" t="s">
        <v>1053</v>
      </c>
      <c r="BS472" t="s">
        <v>1053</v>
      </c>
      <c r="BT472" t="s">
        <v>1053</v>
      </c>
      <c r="BU472" t="s">
        <v>1053</v>
      </c>
      <c r="BV472" t="s">
        <v>2056</v>
      </c>
      <c r="BX472" t="str">
        <f>"SMTWTFS 0700-1930"</f>
        <v>SMTWTFS 0700-1930</v>
      </c>
      <c r="BY472" t="str">
        <f>"SMTWTFS 0700-1930"</f>
        <v>SMTWTFS 0700-1930</v>
      </c>
      <c r="BZ472" t="str">
        <f>"SMTWTFS 0700-1930"</f>
        <v>SMTWTFS 0700-1930</v>
      </c>
      <c r="CA472" t="str">
        <f>"SMTWTFS 0700-1930"</f>
        <v>SMTWTFS 0700-1930</v>
      </c>
      <c r="CB472" t="str">
        <f>""</f>
        <v/>
      </c>
      <c r="CC472" t="str">
        <f>""</f>
        <v/>
      </c>
      <c r="CD472" t="str">
        <f>""</f>
        <v/>
      </c>
      <c r="CE472" t="str">
        <f>""</f>
        <v/>
      </c>
      <c r="CF472" t="str">
        <f>"SMTWTFS 0700-1930"</f>
        <v>SMTWTFS 0700-1930</v>
      </c>
      <c r="CG472" t="str">
        <f>""</f>
        <v/>
      </c>
      <c r="CH472" t="str">
        <f>"SMTWTFS 0000-2359"</f>
        <v>SMTWTFS 0000-2359</v>
      </c>
    </row>
    <row r="473" spans="1:86" x14ac:dyDescent="0.25">
      <c r="A473" t="s">
        <v>3396</v>
      </c>
      <c r="B473" t="s">
        <v>3397</v>
      </c>
      <c r="C473" t="s">
        <v>1992</v>
      </c>
      <c r="D473" t="s">
        <v>2028</v>
      </c>
      <c r="E473" t="s">
        <v>3398</v>
      </c>
      <c r="F473" t="s">
        <v>3399</v>
      </c>
      <c r="H473" t="s">
        <v>3117</v>
      </c>
      <c r="I473" t="s">
        <v>576</v>
      </c>
      <c r="J473" t="str">
        <f>"98826"</f>
        <v>98826</v>
      </c>
      <c r="K473" t="s">
        <v>1998</v>
      </c>
      <c r="L473" t="s">
        <v>231</v>
      </c>
      <c r="M473" t="s">
        <v>2000</v>
      </c>
      <c r="N473" t="s">
        <v>1992</v>
      </c>
      <c r="O473" t="s">
        <v>1992</v>
      </c>
      <c r="P473" t="s">
        <v>1992</v>
      </c>
      <c r="Q473" t="s">
        <v>1992</v>
      </c>
      <c r="R473" t="s">
        <v>1992</v>
      </c>
      <c r="S473" t="s">
        <v>1992</v>
      </c>
      <c r="T473" t="s">
        <v>1992</v>
      </c>
      <c r="U473" t="s">
        <v>1992</v>
      </c>
      <c r="V473" t="s">
        <v>1991</v>
      </c>
      <c r="W473" t="s">
        <v>1991</v>
      </c>
      <c r="AB473" t="s">
        <v>3118</v>
      </c>
      <c r="AF473" t="s">
        <v>2064</v>
      </c>
      <c r="AG473" t="s">
        <v>1991</v>
      </c>
      <c r="AH473">
        <v>30</v>
      </c>
      <c r="AI473">
        <v>30</v>
      </c>
      <c r="AJ473" t="s">
        <v>3400</v>
      </c>
      <c r="AK473">
        <v>1243</v>
      </c>
      <c r="BF473" t="s">
        <v>1053</v>
      </c>
      <c r="BG473" t="s">
        <v>5036</v>
      </c>
      <c r="BH473" t="s">
        <v>240</v>
      </c>
      <c r="BI473" t="s">
        <v>1053</v>
      </c>
      <c r="BJ473" t="s">
        <v>1053</v>
      </c>
      <c r="BK473" t="s">
        <v>1053</v>
      </c>
      <c r="BM473" t="s">
        <v>241</v>
      </c>
      <c r="BN473" t="s">
        <v>242</v>
      </c>
      <c r="BO473" t="s">
        <v>1053</v>
      </c>
      <c r="BP473" t="s">
        <v>358</v>
      </c>
      <c r="BQ473" t="s">
        <v>3401</v>
      </c>
      <c r="BR473" t="s">
        <v>1053</v>
      </c>
      <c r="BS473" t="s">
        <v>1053</v>
      </c>
      <c r="BT473" t="s">
        <v>1053</v>
      </c>
      <c r="BU473" t="s">
        <v>1053</v>
      </c>
      <c r="BV473" t="s">
        <v>241</v>
      </c>
      <c r="BW473" t="s">
        <v>242</v>
      </c>
      <c r="BX473" t="str">
        <f>""</f>
        <v/>
      </c>
      <c r="BY473" t="str">
        <f>""</f>
        <v/>
      </c>
      <c r="BZ473" t="str">
        <f>""</f>
        <v/>
      </c>
      <c r="CA473" t="str">
        <f>""</f>
        <v/>
      </c>
      <c r="CB473" t="str">
        <f>""</f>
        <v/>
      </c>
      <c r="CC473" t="str">
        <f>""</f>
        <v/>
      </c>
      <c r="CD473" t="str">
        <f>""</f>
        <v/>
      </c>
      <c r="CE473" t="str">
        <f>""</f>
        <v/>
      </c>
      <c r="CF473" t="str">
        <f>""</f>
        <v/>
      </c>
      <c r="CG473" t="str">
        <f>""</f>
        <v/>
      </c>
      <c r="CH473" t="str">
        <f>""</f>
        <v/>
      </c>
    </row>
    <row r="474" spans="1:86" x14ac:dyDescent="0.25">
      <c r="A474" t="s">
        <v>3402</v>
      </c>
      <c r="B474" t="s">
        <v>3403</v>
      </c>
      <c r="C474" t="s">
        <v>1992</v>
      </c>
      <c r="D474" t="s">
        <v>1993</v>
      </c>
      <c r="E474" t="s">
        <v>3404</v>
      </c>
      <c r="F474" t="s">
        <v>3405</v>
      </c>
      <c r="H474" t="s">
        <v>3406</v>
      </c>
      <c r="I474" t="s">
        <v>401</v>
      </c>
      <c r="J474" t="str">
        <f>"83501-1617"</f>
        <v>83501-1617</v>
      </c>
      <c r="K474" t="s">
        <v>1998</v>
      </c>
      <c r="L474" t="s">
        <v>231</v>
      </c>
      <c r="M474" t="s">
        <v>3407</v>
      </c>
      <c r="N474" t="s">
        <v>1992</v>
      </c>
      <c r="O474" t="s">
        <v>1992</v>
      </c>
      <c r="P474" t="s">
        <v>1992</v>
      </c>
      <c r="Q474" t="s">
        <v>1992</v>
      </c>
      <c r="R474" t="s">
        <v>1992</v>
      </c>
      <c r="S474" t="s">
        <v>1992</v>
      </c>
      <c r="T474" t="s">
        <v>1992</v>
      </c>
      <c r="U474" t="s">
        <v>1992</v>
      </c>
      <c r="V474" t="s">
        <v>1991</v>
      </c>
      <c r="W474" t="s">
        <v>1992</v>
      </c>
      <c r="X474" t="s">
        <v>1992</v>
      </c>
      <c r="Y474" t="s">
        <v>1992</v>
      </c>
      <c r="Z474" t="s">
        <v>1991</v>
      </c>
      <c r="AE474" t="s">
        <v>3408</v>
      </c>
      <c r="AF474" t="s">
        <v>2064</v>
      </c>
      <c r="AG474" t="s">
        <v>1991</v>
      </c>
      <c r="AH474">
        <v>30</v>
      </c>
      <c r="AI474">
        <v>30</v>
      </c>
      <c r="AJ474" t="s">
        <v>3409</v>
      </c>
      <c r="AK474">
        <v>753</v>
      </c>
      <c r="AL474">
        <v>28100</v>
      </c>
      <c r="AM474" t="s">
        <v>2298</v>
      </c>
      <c r="AN474" t="s">
        <v>3410</v>
      </c>
      <c r="AO474" t="s">
        <v>1053</v>
      </c>
      <c r="BF474" t="s">
        <v>1053</v>
      </c>
      <c r="BG474" t="s">
        <v>5224</v>
      </c>
      <c r="BH474" t="s">
        <v>2055</v>
      </c>
      <c r="BI474" t="s">
        <v>1053</v>
      </c>
      <c r="BX474" t="str">
        <f>""</f>
        <v/>
      </c>
      <c r="BY474" t="str">
        <f>""</f>
        <v/>
      </c>
      <c r="BZ474" t="str">
        <f>""</f>
        <v/>
      </c>
      <c r="CA474" t="str">
        <f>""</f>
        <v/>
      </c>
      <c r="CB474" t="str">
        <f>""</f>
        <v/>
      </c>
      <c r="CC474" t="str">
        <f>""</f>
        <v/>
      </c>
      <c r="CD474" t="str">
        <f>""</f>
        <v/>
      </c>
      <c r="CE474" t="str">
        <f>""</f>
        <v/>
      </c>
      <c r="CF474" t="str">
        <f>""</f>
        <v/>
      </c>
      <c r="CG474" t="str">
        <f>""</f>
        <v/>
      </c>
      <c r="CH474" t="str">
        <f>""</f>
        <v/>
      </c>
    </row>
    <row r="475" spans="1:86" x14ac:dyDescent="0.25">
      <c r="A475" t="s">
        <v>3411</v>
      </c>
      <c r="B475" t="s">
        <v>3412</v>
      </c>
      <c r="C475" t="s">
        <v>1991</v>
      </c>
      <c r="D475" t="s">
        <v>2010</v>
      </c>
      <c r="E475" t="s">
        <v>3413</v>
      </c>
      <c r="F475" t="s">
        <v>3414</v>
      </c>
      <c r="H475" t="s">
        <v>3415</v>
      </c>
      <c r="I475" t="s">
        <v>2405</v>
      </c>
      <c r="J475" t="str">
        <f>"24501-1303"</f>
        <v>24501-1303</v>
      </c>
      <c r="K475" t="s">
        <v>1998</v>
      </c>
      <c r="L475" t="s">
        <v>408</v>
      </c>
      <c r="M475" t="s">
        <v>3416</v>
      </c>
      <c r="N475" t="s">
        <v>1991</v>
      </c>
      <c r="O475" t="s">
        <v>1991</v>
      </c>
      <c r="P475" t="s">
        <v>1992</v>
      </c>
      <c r="Q475" t="s">
        <v>1991</v>
      </c>
      <c r="R475" t="s">
        <v>1991</v>
      </c>
      <c r="S475" t="s">
        <v>1992</v>
      </c>
      <c r="T475" t="s">
        <v>1992</v>
      </c>
      <c r="U475" t="s">
        <v>1991</v>
      </c>
      <c r="V475" t="s">
        <v>1991</v>
      </c>
      <c r="W475" t="s">
        <v>1991</v>
      </c>
      <c r="X475" t="s">
        <v>1992</v>
      </c>
      <c r="Y475" t="s">
        <v>1992</v>
      </c>
      <c r="Z475" t="s">
        <v>1992</v>
      </c>
      <c r="AA475" t="s">
        <v>1991</v>
      </c>
      <c r="AE475" t="s">
        <v>2047</v>
      </c>
      <c r="AF475" t="s">
        <v>2016</v>
      </c>
      <c r="AG475" t="s">
        <v>1991</v>
      </c>
      <c r="AH475">
        <v>45</v>
      </c>
      <c r="AI475">
        <v>30</v>
      </c>
      <c r="AJ475" t="s">
        <v>3417</v>
      </c>
      <c r="AK475">
        <v>706</v>
      </c>
      <c r="AL475">
        <v>67720</v>
      </c>
      <c r="AM475" t="s">
        <v>3418</v>
      </c>
      <c r="AN475" t="s">
        <v>1053</v>
      </c>
      <c r="AO475" t="s">
        <v>1053</v>
      </c>
      <c r="AP475" t="s">
        <v>2069</v>
      </c>
      <c r="AQ475" t="s">
        <v>1053</v>
      </c>
      <c r="AR475" t="s">
        <v>2069</v>
      </c>
      <c r="AS475" t="s">
        <v>3411</v>
      </c>
      <c r="AT475" t="s">
        <v>3419</v>
      </c>
      <c r="AU475" t="s">
        <v>1053</v>
      </c>
      <c r="AV475" t="s">
        <v>1053</v>
      </c>
      <c r="AW475" t="s">
        <v>2069</v>
      </c>
      <c r="AX475" t="s">
        <v>1053</v>
      </c>
      <c r="AY475" t="s">
        <v>2069</v>
      </c>
      <c r="AZ475" t="s">
        <v>3411</v>
      </c>
      <c r="BA475" t="s">
        <v>3419</v>
      </c>
      <c r="BB475" t="s">
        <v>1053</v>
      </c>
      <c r="BC475" t="s">
        <v>2069</v>
      </c>
      <c r="BD475" t="s">
        <v>1053</v>
      </c>
      <c r="BE475" t="s">
        <v>2069</v>
      </c>
      <c r="BF475" t="s">
        <v>1053</v>
      </c>
      <c r="BG475" t="s">
        <v>703</v>
      </c>
      <c r="BH475" t="s">
        <v>3569</v>
      </c>
      <c r="BI475" t="s">
        <v>1053</v>
      </c>
      <c r="BJ475" t="s">
        <v>1053</v>
      </c>
      <c r="BK475" t="s">
        <v>1053</v>
      </c>
      <c r="BL475" t="s">
        <v>1053</v>
      </c>
      <c r="BM475" t="s">
        <v>705</v>
      </c>
      <c r="BO475" t="s">
        <v>1053</v>
      </c>
      <c r="BP475" t="s">
        <v>2375</v>
      </c>
      <c r="BQ475" t="s">
        <v>427</v>
      </c>
      <c r="BR475" t="s">
        <v>1053</v>
      </c>
      <c r="BS475" t="s">
        <v>1053</v>
      </c>
      <c r="BT475" t="s">
        <v>1053</v>
      </c>
      <c r="BU475" t="s">
        <v>1053</v>
      </c>
      <c r="BV475" t="s">
        <v>416</v>
      </c>
      <c r="BW475" t="s">
        <v>417</v>
      </c>
      <c r="BX475" t="str">
        <f>"SMTWTFS 0500-1300 1600-2359"</f>
        <v>SMTWTFS 0500-1300 1600-2359</v>
      </c>
      <c r="BY475" t="str">
        <f>"SMTWTFS 0500-1300 1600-2359"</f>
        <v>SMTWTFS 0500-1300 1600-2359</v>
      </c>
      <c r="BZ475" t="str">
        <f>"SMTWTFS 0500-1300 1600-2359"</f>
        <v>SMTWTFS 0500-1300 1600-2359</v>
      </c>
      <c r="CA475" t="str">
        <f>"SMTWTFS 0500-1300 1600-2359"</f>
        <v>SMTWTFS 0500-1300 1600-2359</v>
      </c>
      <c r="CB475" t="str">
        <f>""</f>
        <v/>
      </c>
      <c r="CC475" t="str">
        <f>"SMTWTFS 0500-1300 1600-2359"</f>
        <v>SMTWTFS 0500-1300 1600-2359</v>
      </c>
      <c r="CD475" t="str">
        <f>""</f>
        <v/>
      </c>
      <c r="CE475" t="str">
        <f>""</f>
        <v/>
      </c>
      <c r="CF475" t="str">
        <f>"SMTWTFS 0500-1300 1600-2359"</f>
        <v>SMTWTFS 0500-1300 1600-2359</v>
      </c>
      <c r="CG475" t="str">
        <f>""</f>
        <v/>
      </c>
      <c r="CH475" t="str">
        <f>""</f>
        <v/>
      </c>
    </row>
    <row r="476" spans="1:86" x14ac:dyDescent="0.25">
      <c r="A476" t="s">
        <v>3420</v>
      </c>
      <c r="B476" t="s">
        <v>3421</v>
      </c>
      <c r="C476" t="s">
        <v>1992</v>
      </c>
      <c r="D476" t="s">
        <v>2010</v>
      </c>
      <c r="E476" t="s">
        <v>3422</v>
      </c>
      <c r="H476" t="s">
        <v>3423</v>
      </c>
      <c r="I476" t="s">
        <v>2367</v>
      </c>
      <c r="J476" t="str">
        <f>"61455-7321"</f>
        <v>61455-7321</v>
      </c>
      <c r="K476" t="s">
        <v>1998</v>
      </c>
      <c r="L476" t="s">
        <v>1999</v>
      </c>
      <c r="M476" t="s">
        <v>2000</v>
      </c>
      <c r="N476" t="s">
        <v>1992</v>
      </c>
      <c r="O476" t="s">
        <v>1992</v>
      </c>
      <c r="P476" t="s">
        <v>1992</v>
      </c>
      <c r="Q476" t="s">
        <v>1992</v>
      </c>
      <c r="R476" t="s">
        <v>1992</v>
      </c>
      <c r="S476" t="s">
        <v>1992</v>
      </c>
      <c r="T476" t="s">
        <v>1992</v>
      </c>
      <c r="U476" t="s">
        <v>1992</v>
      </c>
      <c r="V476" t="s">
        <v>1991</v>
      </c>
      <c r="W476" t="s">
        <v>1991</v>
      </c>
      <c r="X476" t="s">
        <v>1992</v>
      </c>
      <c r="Y476" t="s">
        <v>1992</v>
      </c>
      <c r="Z476" t="s">
        <v>1992</v>
      </c>
      <c r="AA476" t="s">
        <v>1992</v>
      </c>
      <c r="AF476" t="s">
        <v>2001</v>
      </c>
      <c r="AG476" t="s">
        <v>1991</v>
      </c>
      <c r="AH476">
        <v>30</v>
      </c>
      <c r="AI476">
        <v>30</v>
      </c>
      <c r="AJ476" t="s">
        <v>3424</v>
      </c>
      <c r="AK476">
        <v>703</v>
      </c>
      <c r="AL476">
        <v>18400</v>
      </c>
      <c r="AM476" t="s">
        <v>3425</v>
      </c>
      <c r="AN476" t="s">
        <v>3426</v>
      </c>
      <c r="BF476" t="s">
        <v>1053</v>
      </c>
      <c r="BG476" t="s">
        <v>1640</v>
      </c>
      <c r="BH476" t="s">
        <v>798</v>
      </c>
      <c r="BI476" t="s">
        <v>1053</v>
      </c>
      <c r="BJ476" t="s">
        <v>1053</v>
      </c>
      <c r="BK476" t="s">
        <v>1053</v>
      </c>
      <c r="BO476" t="s">
        <v>1053</v>
      </c>
      <c r="BP476" t="s">
        <v>653</v>
      </c>
      <c r="BQ476" t="s">
        <v>2376</v>
      </c>
      <c r="BR476" t="s">
        <v>1053</v>
      </c>
      <c r="BS476" t="s">
        <v>1053</v>
      </c>
      <c r="BT476" t="s">
        <v>1053</v>
      </c>
      <c r="BV476" t="s">
        <v>987</v>
      </c>
      <c r="BX476" t="str">
        <f>"SMTWTFS 0600-0800 2012-2212"</f>
        <v>SMTWTFS 0600-0800 2012-2212</v>
      </c>
      <c r="BY476" t="str">
        <f>""</f>
        <v/>
      </c>
      <c r="BZ476" t="str">
        <f>""</f>
        <v/>
      </c>
      <c r="CA476" t="str">
        <f>""</f>
        <v/>
      </c>
      <c r="CB476" t="str">
        <f>""</f>
        <v/>
      </c>
      <c r="CC476" t="str">
        <f>""</f>
        <v/>
      </c>
      <c r="CD476" t="str">
        <f>""</f>
        <v/>
      </c>
      <c r="CE476" t="str">
        <f>""</f>
        <v/>
      </c>
      <c r="CF476" t="str">
        <f>""</f>
        <v/>
      </c>
      <c r="CG476" t="str">
        <f>""</f>
        <v/>
      </c>
      <c r="CH476" t="str">
        <f>""</f>
        <v/>
      </c>
    </row>
    <row r="477" spans="1:86" x14ac:dyDescent="0.25">
      <c r="A477" t="s">
        <v>3427</v>
      </c>
      <c r="B477" t="s">
        <v>3428</v>
      </c>
      <c r="C477" t="s">
        <v>1992</v>
      </c>
      <c r="D477" t="s">
        <v>1993</v>
      </c>
      <c r="E477" t="s">
        <v>3429</v>
      </c>
      <c r="F477" t="s">
        <v>3430</v>
      </c>
      <c r="H477" t="s">
        <v>3431</v>
      </c>
      <c r="I477" t="s">
        <v>2352</v>
      </c>
      <c r="J477" t="str">
        <f>"49701"</f>
        <v>49701</v>
      </c>
      <c r="K477" t="s">
        <v>1998</v>
      </c>
      <c r="L477" t="s">
        <v>1999</v>
      </c>
      <c r="M477" t="s">
        <v>3520</v>
      </c>
      <c r="N477" t="s">
        <v>1992</v>
      </c>
      <c r="O477" t="s">
        <v>1992</v>
      </c>
      <c r="P477" t="s">
        <v>1992</v>
      </c>
      <c r="Q477" t="s">
        <v>1992</v>
      </c>
      <c r="R477" t="s">
        <v>1992</v>
      </c>
      <c r="S477" t="s">
        <v>1992</v>
      </c>
      <c r="T477" t="s">
        <v>1992</v>
      </c>
      <c r="U477" t="s">
        <v>1992</v>
      </c>
      <c r="V477" t="s">
        <v>1991</v>
      </c>
      <c r="W477" t="s">
        <v>1992</v>
      </c>
      <c r="X477" t="s">
        <v>1992</v>
      </c>
      <c r="Y477" t="s">
        <v>1991</v>
      </c>
      <c r="Z477" t="s">
        <v>1992</v>
      </c>
      <c r="AA477" t="s">
        <v>1992</v>
      </c>
      <c r="AF477" t="s">
        <v>2016</v>
      </c>
      <c r="AG477" t="s">
        <v>1991</v>
      </c>
      <c r="AH477">
        <v>30</v>
      </c>
      <c r="AI477">
        <v>30</v>
      </c>
      <c r="AJ477" t="s">
        <v>3432</v>
      </c>
      <c r="AK477">
        <v>590</v>
      </c>
      <c r="AL477">
        <v>875</v>
      </c>
      <c r="AM477" t="s">
        <v>3433</v>
      </c>
      <c r="AN477" t="s">
        <v>445</v>
      </c>
      <c r="AO477" t="s">
        <v>2311</v>
      </c>
      <c r="BF477" t="s">
        <v>1053</v>
      </c>
      <c r="BG477" t="s">
        <v>643</v>
      </c>
      <c r="BH477" t="s">
        <v>644</v>
      </c>
      <c r="BI477" t="s">
        <v>1053</v>
      </c>
      <c r="BK477" t="s">
        <v>1053</v>
      </c>
      <c r="BM477" t="s">
        <v>2313</v>
      </c>
      <c r="BN477" t="s">
        <v>2314</v>
      </c>
      <c r="BO477" t="s">
        <v>1053</v>
      </c>
      <c r="BP477" t="s">
        <v>2356</v>
      </c>
      <c r="BQ477" t="s">
        <v>2316</v>
      </c>
      <c r="BR477" t="s">
        <v>1053</v>
      </c>
      <c r="BT477" t="s">
        <v>1053</v>
      </c>
      <c r="BV477" t="s">
        <v>3434</v>
      </c>
      <c r="BW477" t="s">
        <v>3435</v>
      </c>
      <c r="BX477" t="str">
        <f>""</f>
        <v/>
      </c>
      <c r="BY477" t="str">
        <f>""</f>
        <v/>
      </c>
      <c r="BZ477" t="str">
        <f>""</f>
        <v/>
      </c>
      <c r="CA477" t="str">
        <f>""</f>
        <v/>
      </c>
      <c r="CB477" t="str">
        <f>""</f>
        <v/>
      </c>
      <c r="CC477" t="str">
        <f>""</f>
        <v/>
      </c>
      <c r="CD477" t="str">
        <f>""</f>
        <v/>
      </c>
      <c r="CE477" t="str">
        <f>""</f>
        <v/>
      </c>
      <c r="CF477" t="str">
        <f>""</f>
        <v/>
      </c>
      <c r="CG477" t="str">
        <f>""</f>
        <v/>
      </c>
      <c r="CH477" t="str">
        <f>""</f>
        <v/>
      </c>
    </row>
    <row r="478" spans="1:86" x14ac:dyDescent="0.25">
      <c r="A478" t="s">
        <v>3436</v>
      </c>
      <c r="B478" t="s">
        <v>3437</v>
      </c>
      <c r="C478" t="s">
        <v>1992</v>
      </c>
      <c r="D478" t="s">
        <v>2010</v>
      </c>
      <c r="E478" t="s">
        <v>3438</v>
      </c>
      <c r="H478" t="s">
        <v>3439</v>
      </c>
      <c r="I478" t="s">
        <v>803</v>
      </c>
      <c r="J478" t="str">
        <f>"59538-1732"</f>
        <v>59538-1732</v>
      </c>
      <c r="K478" t="s">
        <v>1998</v>
      </c>
      <c r="L478" t="s">
        <v>231</v>
      </c>
      <c r="M478" t="s">
        <v>2063</v>
      </c>
      <c r="N478" t="s">
        <v>1992</v>
      </c>
      <c r="O478" t="s">
        <v>1992</v>
      </c>
      <c r="P478" t="s">
        <v>1992</v>
      </c>
      <c r="Q478" t="s">
        <v>1992</v>
      </c>
      <c r="R478" t="s">
        <v>1992</v>
      </c>
      <c r="S478" t="s">
        <v>1992</v>
      </c>
      <c r="T478" t="s">
        <v>1992</v>
      </c>
      <c r="U478" t="s">
        <v>1992</v>
      </c>
      <c r="V478" t="s">
        <v>1991</v>
      </c>
      <c r="W478" t="s">
        <v>1991</v>
      </c>
      <c r="X478" t="s">
        <v>1992</v>
      </c>
      <c r="Y478" t="s">
        <v>1992</v>
      </c>
      <c r="Z478" t="s">
        <v>1992</v>
      </c>
      <c r="AA478" t="s">
        <v>1992</v>
      </c>
      <c r="AF478" t="s">
        <v>2048</v>
      </c>
      <c r="AG478" t="s">
        <v>1991</v>
      </c>
      <c r="AH478">
        <v>30</v>
      </c>
      <c r="AI478">
        <v>30</v>
      </c>
      <c r="AJ478" t="s">
        <v>3440</v>
      </c>
      <c r="AK478">
        <v>2254</v>
      </c>
      <c r="AL478">
        <v>2120</v>
      </c>
      <c r="AN478" t="s">
        <v>2066</v>
      </c>
      <c r="AO478" t="s">
        <v>2063</v>
      </c>
      <c r="AU478" t="s">
        <v>1053</v>
      </c>
      <c r="AV478" t="s">
        <v>2063</v>
      </c>
      <c r="BF478" t="s">
        <v>1053</v>
      </c>
      <c r="BG478" t="s">
        <v>2019</v>
      </c>
      <c r="BH478" t="s">
        <v>240</v>
      </c>
      <c r="BI478" t="s">
        <v>1053</v>
      </c>
      <c r="BJ478" t="s">
        <v>1053</v>
      </c>
      <c r="BK478" t="s">
        <v>1053</v>
      </c>
      <c r="BM478" t="s">
        <v>241</v>
      </c>
      <c r="BN478" t="s">
        <v>242</v>
      </c>
      <c r="BO478" t="s">
        <v>1053</v>
      </c>
      <c r="BP478" t="s">
        <v>239</v>
      </c>
      <c r="BQ478" t="s">
        <v>240</v>
      </c>
      <c r="BR478" t="s">
        <v>1053</v>
      </c>
      <c r="BS478" t="s">
        <v>1053</v>
      </c>
      <c r="BT478" t="s">
        <v>1053</v>
      </c>
      <c r="BU478" t="s">
        <v>1053</v>
      </c>
      <c r="BV478" t="s">
        <v>241</v>
      </c>
      <c r="BW478" t="s">
        <v>242</v>
      </c>
      <c r="BX478" t="str">
        <f>"SMTWTFS 1255-1525"</f>
        <v>SMTWTFS 1255-1525</v>
      </c>
      <c r="BY478" t="str">
        <f>""</f>
        <v/>
      </c>
      <c r="BZ478" t="str">
        <f>""</f>
        <v/>
      </c>
      <c r="CA478" t="str">
        <f>""</f>
        <v/>
      </c>
      <c r="CB478" t="str">
        <f>""</f>
        <v/>
      </c>
      <c r="CC478" t="str">
        <f>""</f>
        <v/>
      </c>
      <c r="CD478" t="str">
        <f>""</f>
        <v/>
      </c>
      <c r="CE478" t="str">
        <f>""</f>
        <v/>
      </c>
      <c r="CF478" t="str">
        <f>""</f>
        <v/>
      </c>
      <c r="CG478" t="str">
        <f>""</f>
        <v/>
      </c>
      <c r="CH478" t="str">
        <f>""</f>
        <v/>
      </c>
    </row>
    <row r="479" spans="1:86" x14ac:dyDescent="0.25">
      <c r="A479" t="s">
        <v>3441</v>
      </c>
      <c r="B479" t="s">
        <v>3442</v>
      </c>
      <c r="C479" t="s">
        <v>1992</v>
      </c>
      <c r="D479" t="s">
        <v>2331</v>
      </c>
      <c r="E479" t="s">
        <v>1762</v>
      </c>
      <c r="F479" t="s">
        <v>3598</v>
      </c>
      <c r="H479" t="s">
        <v>3443</v>
      </c>
      <c r="I479" t="s">
        <v>5524</v>
      </c>
      <c r="J479" t="str">
        <f>"64658"</f>
        <v>64658</v>
      </c>
      <c r="K479" t="s">
        <v>1998</v>
      </c>
      <c r="L479" t="s">
        <v>1999</v>
      </c>
      <c r="M479" t="s">
        <v>2000</v>
      </c>
      <c r="N479" t="s">
        <v>1992</v>
      </c>
      <c r="O479" t="s">
        <v>1992</v>
      </c>
      <c r="P479" t="s">
        <v>1992</v>
      </c>
      <c r="Q479" t="s">
        <v>1992</v>
      </c>
      <c r="R479" t="s">
        <v>1992</v>
      </c>
      <c r="S479" t="s">
        <v>1992</v>
      </c>
      <c r="T479" t="s">
        <v>1992</v>
      </c>
      <c r="U479" t="s">
        <v>1992</v>
      </c>
      <c r="V479" t="s">
        <v>1991</v>
      </c>
      <c r="W479" t="s">
        <v>1991</v>
      </c>
      <c r="AF479" t="s">
        <v>2001</v>
      </c>
      <c r="AG479" t="s">
        <v>1991</v>
      </c>
      <c r="AH479">
        <v>30</v>
      </c>
      <c r="AI479">
        <v>30</v>
      </c>
      <c r="AJ479" t="s">
        <v>3444</v>
      </c>
      <c r="AK479">
        <v>862</v>
      </c>
      <c r="AM479" t="s">
        <v>3598</v>
      </c>
      <c r="BF479" t="s">
        <v>1053</v>
      </c>
      <c r="BG479" t="s">
        <v>235</v>
      </c>
      <c r="BH479" t="s">
        <v>2372</v>
      </c>
      <c r="BI479" t="s">
        <v>1053</v>
      </c>
      <c r="BJ479" t="s">
        <v>1053</v>
      </c>
      <c r="BK479" t="s">
        <v>1053</v>
      </c>
      <c r="BL479" t="s">
        <v>1053</v>
      </c>
      <c r="BM479" t="s">
        <v>2373</v>
      </c>
      <c r="BN479" t="s">
        <v>2374</v>
      </c>
      <c r="BO479" t="s">
        <v>1053</v>
      </c>
      <c r="BP479" t="s">
        <v>3445</v>
      </c>
      <c r="BQ479" t="s">
        <v>2316</v>
      </c>
      <c r="BR479" t="s">
        <v>1053</v>
      </c>
      <c r="BS479" t="s">
        <v>1053</v>
      </c>
      <c r="BT479" t="s">
        <v>1053</v>
      </c>
      <c r="BU479" t="s">
        <v>1053</v>
      </c>
      <c r="BV479" t="s">
        <v>987</v>
      </c>
      <c r="BX479" t="str">
        <f>""</f>
        <v/>
      </c>
      <c r="BY479" t="str">
        <f>""</f>
        <v/>
      </c>
      <c r="BZ479" t="str">
        <f>""</f>
        <v/>
      </c>
      <c r="CA479" t="str">
        <f>""</f>
        <v/>
      </c>
      <c r="CB479" t="str">
        <f>""</f>
        <v/>
      </c>
      <c r="CC479" t="str">
        <f>""</f>
        <v/>
      </c>
      <c r="CD479" t="str">
        <f>""</f>
        <v/>
      </c>
      <c r="CE479" t="str">
        <f>""</f>
        <v/>
      </c>
      <c r="CF479" t="str">
        <f>""</f>
        <v/>
      </c>
      <c r="CG479" t="str">
        <f>""</f>
        <v/>
      </c>
      <c r="CH479" t="str">
        <f>""</f>
        <v/>
      </c>
    </row>
    <row r="480" spans="1:86" x14ac:dyDescent="0.25">
      <c r="A480" t="s">
        <v>3446</v>
      </c>
      <c r="B480" t="s">
        <v>3447</v>
      </c>
      <c r="C480" t="s">
        <v>1992</v>
      </c>
      <c r="D480" t="s">
        <v>2010</v>
      </c>
      <c r="E480" t="s">
        <v>3448</v>
      </c>
      <c r="H480" t="s">
        <v>3449</v>
      </c>
      <c r="I480" t="s">
        <v>2367</v>
      </c>
      <c r="J480" t="str">
        <f>"61938-3920"</f>
        <v>61938-3920</v>
      </c>
      <c r="K480" t="s">
        <v>1998</v>
      </c>
      <c r="L480" t="s">
        <v>1999</v>
      </c>
      <c r="M480" t="s">
        <v>2063</v>
      </c>
      <c r="N480" t="s">
        <v>1992</v>
      </c>
      <c r="O480" t="s">
        <v>1992</v>
      </c>
      <c r="P480" t="s">
        <v>1992</v>
      </c>
      <c r="Q480" t="s">
        <v>1992</v>
      </c>
      <c r="R480" t="s">
        <v>1992</v>
      </c>
      <c r="S480" t="s">
        <v>1992</v>
      </c>
      <c r="T480" t="s">
        <v>1992</v>
      </c>
      <c r="U480" t="s">
        <v>1992</v>
      </c>
      <c r="V480" t="s">
        <v>1991</v>
      </c>
      <c r="W480" t="s">
        <v>1991</v>
      </c>
      <c r="X480" t="s">
        <v>1992</v>
      </c>
      <c r="Y480" t="s">
        <v>1992</v>
      </c>
      <c r="Z480" t="s">
        <v>1992</v>
      </c>
      <c r="AF480" t="s">
        <v>2001</v>
      </c>
      <c r="AG480" t="s">
        <v>1991</v>
      </c>
      <c r="AH480">
        <v>30</v>
      </c>
      <c r="AI480">
        <v>30</v>
      </c>
      <c r="AJ480" t="s">
        <v>3450</v>
      </c>
      <c r="AK480">
        <v>732</v>
      </c>
      <c r="AL480">
        <v>19200</v>
      </c>
      <c r="AM480" t="s">
        <v>3451</v>
      </c>
      <c r="AN480" t="s">
        <v>2066</v>
      </c>
      <c r="AO480" t="s">
        <v>2063</v>
      </c>
      <c r="BF480" t="s">
        <v>1053</v>
      </c>
      <c r="BG480" t="s">
        <v>2371</v>
      </c>
      <c r="BH480" t="s">
        <v>3076</v>
      </c>
      <c r="BI480" t="s">
        <v>1053</v>
      </c>
      <c r="BJ480" t="s">
        <v>1053</v>
      </c>
      <c r="BK480" t="s">
        <v>1053</v>
      </c>
      <c r="BL480" t="s">
        <v>1053</v>
      </c>
      <c r="BM480" t="s">
        <v>2373</v>
      </c>
      <c r="BN480" t="s">
        <v>2374</v>
      </c>
      <c r="BO480" t="s">
        <v>1053</v>
      </c>
      <c r="BP480" t="s">
        <v>2375</v>
      </c>
      <c r="BQ480" t="s">
        <v>3452</v>
      </c>
      <c r="BR480" t="s">
        <v>1053</v>
      </c>
      <c r="BT480" t="s">
        <v>1053</v>
      </c>
      <c r="BX480" t="str">
        <f>"SMTWTFS 0430-0600 0900-1130 1800-2330"</f>
        <v>SMTWTFS 0430-0600 0900-1130 1800-2330</v>
      </c>
      <c r="BY480" t="str">
        <f>""</f>
        <v/>
      </c>
      <c r="BZ480" t="str">
        <f>""</f>
        <v/>
      </c>
      <c r="CA480" t="str">
        <f>""</f>
        <v/>
      </c>
      <c r="CB480" t="str">
        <f>""</f>
        <v/>
      </c>
      <c r="CC480" t="str">
        <f>""</f>
        <v/>
      </c>
      <c r="CD480" t="str">
        <f>""</f>
        <v/>
      </c>
      <c r="CE480" t="str">
        <f>""</f>
        <v/>
      </c>
      <c r="CF480" t="str">
        <f>""</f>
        <v/>
      </c>
      <c r="CG480" t="str">
        <f>""</f>
        <v/>
      </c>
      <c r="CH480" t="str">
        <f>""</f>
        <v/>
      </c>
    </row>
    <row r="481" spans="1:86" x14ac:dyDescent="0.25">
      <c r="A481" t="s">
        <v>3453</v>
      </c>
      <c r="B481" t="s">
        <v>3454</v>
      </c>
      <c r="C481" t="s">
        <v>1992</v>
      </c>
      <c r="D481" t="s">
        <v>2010</v>
      </c>
      <c r="E481" t="s">
        <v>3455</v>
      </c>
      <c r="H481" t="s">
        <v>3456</v>
      </c>
      <c r="I481" t="s">
        <v>2309</v>
      </c>
      <c r="J481" t="str">
        <f>"41056"</f>
        <v>41056</v>
      </c>
      <c r="K481" t="s">
        <v>1998</v>
      </c>
      <c r="L481" t="s">
        <v>1999</v>
      </c>
      <c r="M481" t="s">
        <v>2063</v>
      </c>
      <c r="N481" t="s">
        <v>1992</v>
      </c>
      <c r="O481" t="s">
        <v>1992</v>
      </c>
      <c r="P481" t="s">
        <v>1992</v>
      </c>
      <c r="Q481" t="s">
        <v>1992</v>
      </c>
      <c r="R481" t="s">
        <v>1992</v>
      </c>
      <c r="S481" t="s">
        <v>1992</v>
      </c>
      <c r="T481" t="s">
        <v>1992</v>
      </c>
      <c r="U481" t="s">
        <v>1992</v>
      </c>
      <c r="V481" t="s">
        <v>1991</v>
      </c>
      <c r="W481" t="s">
        <v>1991</v>
      </c>
      <c r="X481" t="s">
        <v>1992</v>
      </c>
      <c r="Y481" t="s">
        <v>1992</v>
      </c>
      <c r="Z481" t="s">
        <v>1992</v>
      </c>
      <c r="AF481" t="s">
        <v>2016</v>
      </c>
      <c r="AG481" t="s">
        <v>1991</v>
      </c>
      <c r="AH481">
        <v>30</v>
      </c>
      <c r="AI481">
        <v>30</v>
      </c>
      <c r="AJ481" t="s">
        <v>3457</v>
      </c>
      <c r="AK481">
        <v>505</v>
      </c>
      <c r="AL481">
        <v>9179</v>
      </c>
      <c r="AN481" t="s">
        <v>2066</v>
      </c>
      <c r="AO481" t="s">
        <v>2311</v>
      </c>
      <c r="BF481" t="s">
        <v>1053</v>
      </c>
      <c r="BG481" t="s">
        <v>2097</v>
      </c>
      <c r="BH481" t="s">
        <v>2312</v>
      </c>
      <c r="BI481" t="s">
        <v>1053</v>
      </c>
      <c r="BJ481" t="s">
        <v>2069</v>
      </c>
      <c r="BK481" t="s">
        <v>1053</v>
      </c>
      <c r="BL481" t="s">
        <v>2069</v>
      </c>
      <c r="BM481" t="s">
        <v>2313</v>
      </c>
      <c r="BN481" t="s">
        <v>2314</v>
      </c>
      <c r="BO481" t="s">
        <v>1053</v>
      </c>
      <c r="BP481" t="s">
        <v>301</v>
      </c>
      <c r="BQ481" t="s">
        <v>2316</v>
      </c>
      <c r="BR481" t="s">
        <v>1053</v>
      </c>
      <c r="BT481" t="s">
        <v>1053</v>
      </c>
      <c r="BX481" t="str">
        <f>"S--W-F- 0430-0600; -M--T-S 0001-0030 2300-2359"</f>
        <v>S--W-F- 0430-0600; -M--T-S 0001-0030 2300-2359</v>
      </c>
      <c r="BY481" t="str">
        <f>""</f>
        <v/>
      </c>
      <c r="BZ481" t="str">
        <f>""</f>
        <v/>
      </c>
      <c r="CA481" t="str">
        <f>""</f>
        <v/>
      </c>
      <c r="CB481" t="str">
        <f>""</f>
        <v/>
      </c>
      <c r="CC481" t="str">
        <f>""</f>
        <v/>
      </c>
      <c r="CD481" t="str">
        <f>""</f>
        <v/>
      </c>
      <c r="CE481" t="str">
        <f>""</f>
        <v/>
      </c>
      <c r="CF481" t="str">
        <f>""</f>
        <v/>
      </c>
      <c r="CG481" t="str">
        <f>""</f>
        <v/>
      </c>
      <c r="CH481" t="str">
        <f>""</f>
        <v/>
      </c>
    </row>
    <row r="482" spans="1:86" x14ac:dyDescent="0.25">
      <c r="A482" t="s">
        <v>3458</v>
      </c>
      <c r="B482" t="s">
        <v>3459</v>
      </c>
      <c r="C482" t="s">
        <v>1992</v>
      </c>
      <c r="D482" t="s">
        <v>1993</v>
      </c>
      <c r="E482" t="s">
        <v>3460</v>
      </c>
      <c r="F482" t="s">
        <v>3461</v>
      </c>
      <c r="H482" t="s">
        <v>3462</v>
      </c>
      <c r="I482" t="s">
        <v>401</v>
      </c>
      <c r="J482" t="str">
        <f>"83638-4408"</f>
        <v>83638-4408</v>
      </c>
      <c r="K482" t="s">
        <v>1998</v>
      </c>
      <c r="L482" t="s">
        <v>231</v>
      </c>
      <c r="M482" t="s">
        <v>2063</v>
      </c>
      <c r="N482" t="s">
        <v>1992</v>
      </c>
      <c r="O482" t="s">
        <v>1992</v>
      </c>
      <c r="P482" t="s">
        <v>1992</v>
      </c>
      <c r="Q482" t="s">
        <v>1992</v>
      </c>
      <c r="R482" t="s">
        <v>1992</v>
      </c>
      <c r="S482" t="s">
        <v>1992</v>
      </c>
      <c r="T482" t="s">
        <v>1992</v>
      </c>
      <c r="U482" t="s">
        <v>1992</v>
      </c>
      <c r="V482" t="s">
        <v>1991</v>
      </c>
      <c r="W482" t="s">
        <v>1992</v>
      </c>
      <c r="X482" t="s">
        <v>1992</v>
      </c>
      <c r="Y482" t="s">
        <v>1992</v>
      </c>
      <c r="Z482" t="s">
        <v>1991</v>
      </c>
      <c r="AE482" t="s">
        <v>746</v>
      </c>
      <c r="AF482" t="s">
        <v>2064</v>
      </c>
      <c r="AG482" t="s">
        <v>1991</v>
      </c>
      <c r="AH482">
        <v>30</v>
      </c>
      <c r="AI482">
        <v>30</v>
      </c>
      <c r="AJ482" t="s">
        <v>3463</v>
      </c>
      <c r="AK482">
        <v>5048</v>
      </c>
      <c r="AL482">
        <v>2188</v>
      </c>
      <c r="AM482" t="s">
        <v>2298</v>
      </c>
      <c r="AN482" t="s">
        <v>3464</v>
      </c>
      <c r="AO482" t="s">
        <v>1053</v>
      </c>
      <c r="BF482" t="s">
        <v>1053</v>
      </c>
      <c r="BG482" t="s">
        <v>5224</v>
      </c>
      <c r="BH482" t="s">
        <v>2055</v>
      </c>
      <c r="BI482" t="s">
        <v>1053</v>
      </c>
      <c r="BX482" t="str">
        <f>""</f>
        <v/>
      </c>
      <c r="BY482" t="str">
        <f>""</f>
        <v/>
      </c>
      <c r="BZ482" t="str">
        <f>""</f>
        <v/>
      </c>
      <c r="CA482" t="str">
        <f>""</f>
        <v/>
      </c>
      <c r="CB482" t="str">
        <f>""</f>
        <v/>
      </c>
      <c r="CC482" t="str">
        <f>""</f>
        <v/>
      </c>
      <c r="CD482" t="str">
        <f>""</f>
        <v/>
      </c>
      <c r="CE482" t="str">
        <f>""</f>
        <v/>
      </c>
      <c r="CF482" t="str">
        <f>""</f>
        <v/>
      </c>
      <c r="CG482" t="str">
        <f>""</f>
        <v/>
      </c>
      <c r="CH482" t="str">
        <f>""</f>
        <v/>
      </c>
    </row>
    <row r="483" spans="1:86" x14ac:dyDescent="0.25">
      <c r="A483" t="s">
        <v>3465</v>
      </c>
      <c r="B483" t="s">
        <v>3466</v>
      </c>
      <c r="C483" t="s">
        <v>1992</v>
      </c>
      <c r="D483" t="s">
        <v>2010</v>
      </c>
      <c r="E483" t="s">
        <v>3467</v>
      </c>
      <c r="H483" t="s">
        <v>3468</v>
      </c>
      <c r="I483" t="s">
        <v>779</v>
      </c>
      <c r="J483" t="str">
        <f>"39648"</f>
        <v>39648</v>
      </c>
      <c r="K483" t="s">
        <v>1998</v>
      </c>
      <c r="L483" t="s">
        <v>408</v>
      </c>
      <c r="M483" t="s">
        <v>2000</v>
      </c>
      <c r="N483" t="s">
        <v>1992</v>
      </c>
      <c r="O483" t="s">
        <v>1992</v>
      </c>
      <c r="P483" t="s">
        <v>1992</v>
      </c>
      <c r="Q483" t="s">
        <v>1992</v>
      </c>
      <c r="R483" t="s">
        <v>1992</v>
      </c>
      <c r="S483" t="s">
        <v>1992</v>
      </c>
      <c r="T483" t="s">
        <v>1992</v>
      </c>
      <c r="U483" t="s">
        <v>1992</v>
      </c>
      <c r="V483" t="s">
        <v>1991</v>
      </c>
      <c r="W483" t="s">
        <v>1991</v>
      </c>
      <c r="X483" t="s">
        <v>1992</v>
      </c>
      <c r="Y483" t="s">
        <v>1992</v>
      </c>
      <c r="Z483" t="s">
        <v>1992</v>
      </c>
      <c r="AF483" t="s">
        <v>2001</v>
      </c>
      <c r="AG483" t="s">
        <v>1991</v>
      </c>
      <c r="AH483">
        <v>30</v>
      </c>
      <c r="AI483">
        <v>30</v>
      </c>
      <c r="AJ483" t="s">
        <v>3469</v>
      </c>
      <c r="AK483">
        <v>405</v>
      </c>
      <c r="AL483">
        <v>13607</v>
      </c>
      <c r="AN483" t="s">
        <v>2066</v>
      </c>
      <c r="AO483" t="s">
        <v>2063</v>
      </c>
      <c r="AU483" t="s">
        <v>1053</v>
      </c>
      <c r="AV483" t="s">
        <v>1053</v>
      </c>
      <c r="BF483" t="s">
        <v>1053</v>
      </c>
      <c r="BG483" t="s">
        <v>2097</v>
      </c>
      <c r="BH483" t="s">
        <v>781</v>
      </c>
      <c r="BI483" t="s">
        <v>1053</v>
      </c>
      <c r="BJ483" t="s">
        <v>1053</v>
      </c>
      <c r="BK483" t="s">
        <v>1053</v>
      </c>
      <c r="BL483" t="s">
        <v>1053</v>
      </c>
      <c r="BM483" t="s">
        <v>416</v>
      </c>
      <c r="BN483" t="s">
        <v>782</v>
      </c>
      <c r="BO483" t="s">
        <v>1053</v>
      </c>
      <c r="BP483" t="s">
        <v>986</v>
      </c>
      <c r="BQ483" t="s">
        <v>6636</v>
      </c>
      <c r="BR483" t="s">
        <v>1053</v>
      </c>
      <c r="BS483" t="s">
        <v>1053</v>
      </c>
      <c r="BT483" t="s">
        <v>1053</v>
      </c>
      <c r="BU483" t="s">
        <v>1053</v>
      </c>
      <c r="BV483" t="s">
        <v>1049</v>
      </c>
      <c r="BW483" t="s">
        <v>782</v>
      </c>
      <c r="BX483" t="str">
        <f>"SMTWTFS 1200-1630"</f>
        <v>SMTWTFS 1200-1630</v>
      </c>
      <c r="BY483" t="str">
        <f>""</f>
        <v/>
      </c>
      <c r="BZ483" t="str">
        <f>""</f>
        <v/>
      </c>
      <c r="CA483" t="str">
        <f>""</f>
        <v/>
      </c>
      <c r="CB483" t="str">
        <f>""</f>
        <v/>
      </c>
      <c r="CC483" t="str">
        <f>""</f>
        <v/>
      </c>
      <c r="CD483" t="str">
        <f>""</f>
        <v/>
      </c>
      <c r="CE483" t="str">
        <f>""</f>
        <v/>
      </c>
      <c r="CF483" t="str">
        <f>""</f>
        <v/>
      </c>
      <c r="CG483" t="str">
        <f>""</f>
        <v/>
      </c>
      <c r="CH483" t="str">
        <f>""</f>
        <v/>
      </c>
    </row>
    <row r="484" spans="1:86" x14ac:dyDescent="0.25">
      <c r="A484" t="s">
        <v>6637</v>
      </c>
      <c r="B484" t="s">
        <v>6638</v>
      </c>
      <c r="C484" t="s">
        <v>1991</v>
      </c>
      <c r="D484" t="s">
        <v>2010</v>
      </c>
      <c r="E484" t="s">
        <v>6639</v>
      </c>
      <c r="H484" t="s">
        <v>6640</v>
      </c>
      <c r="I484" t="s">
        <v>2061</v>
      </c>
      <c r="J484" t="str">
        <f>"95340"</f>
        <v>95340</v>
      </c>
      <c r="K484" t="s">
        <v>1998</v>
      </c>
      <c r="L484" t="s">
        <v>2062</v>
      </c>
      <c r="M484" t="s">
        <v>6641</v>
      </c>
      <c r="N484" t="s">
        <v>1991</v>
      </c>
      <c r="O484" t="s">
        <v>1991</v>
      </c>
      <c r="P484" t="s">
        <v>1992</v>
      </c>
      <c r="Q484" t="s">
        <v>1991</v>
      </c>
      <c r="R484" t="s">
        <v>1992</v>
      </c>
      <c r="S484" t="s">
        <v>1992</v>
      </c>
      <c r="T484" t="s">
        <v>1992</v>
      </c>
      <c r="U484" t="s">
        <v>1991</v>
      </c>
      <c r="V484" t="s">
        <v>1991</v>
      </c>
      <c r="W484" t="s">
        <v>1991</v>
      </c>
      <c r="X484" t="s">
        <v>1992</v>
      </c>
      <c r="Y484" t="s">
        <v>1992</v>
      </c>
      <c r="Z484" t="s">
        <v>1991</v>
      </c>
      <c r="AA484" t="s">
        <v>1992</v>
      </c>
      <c r="AE484" t="s">
        <v>2047</v>
      </c>
      <c r="AF484" t="s">
        <v>2064</v>
      </c>
      <c r="AG484" t="s">
        <v>1991</v>
      </c>
      <c r="AH484">
        <v>60</v>
      </c>
      <c r="AI484">
        <v>30</v>
      </c>
      <c r="AJ484" t="s">
        <v>6642</v>
      </c>
      <c r="AK484">
        <v>172</v>
      </c>
      <c r="AL484">
        <v>76313</v>
      </c>
      <c r="AM484" t="s">
        <v>2298</v>
      </c>
      <c r="AN484" t="s">
        <v>1053</v>
      </c>
      <c r="AO484" t="s">
        <v>1053</v>
      </c>
      <c r="AP484" t="s">
        <v>2069</v>
      </c>
      <c r="AQ484" t="s">
        <v>1053</v>
      </c>
      <c r="AR484" t="s">
        <v>2069</v>
      </c>
      <c r="AS484" t="s">
        <v>6637</v>
      </c>
      <c r="AT484" t="s">
        <v>6643</v>
      </c>
      <c r="AU484" t="s">
        <v>1053</v>
      </c>
      <c r="AV484" t="s">
        <v>1053</v>
      </c>
      <c r="AW484" t="s">
        <v>2069</v>
      </c>
      <c r="AX484" t="s">
        <v>1053</v>
      </c>
      <c r="AY484" t="s">
        <v>2069</v>
      </c>
      <c r="AZ484" t="s">
        <v>6644</v>
      </c>
      <c r="BA484" t="s">
        <v>6643</v>
      </c>
      <c r="BB484" t="s">
        <v>1053</v>
      </c>
      <c r="BC484" t="s">
        <v>2069</v>
      </c>
      <c r="BD484" t="s">
        <v>1053</v>
      </c>
      <c r="BE484" t="s">
        <v>2069</v>
      </c>
      <c r="BF484" t="s">
        <v>1053</v>
      </c>
      <c r="BG484" t="s">
        <v>2067</v>
      </c>
      <c r="BH484" t="s">
        <v>3252</v>
      </c>
      <c r="BI484" t="s">
        <v>1053</v>
      </c>
      <c r="BJ484" t="s">
        <v>2069</v>
      </c>
      <c r="BK484" t="s">
        <v>1053</v>
      </c>
      <c r="BL484" t="s">
        <v>2069</v>
      </c>
      <c r="BM484" t="s">
        <v>2070</v>
      </c>
      <c r="BN484" t="s">
        <v>2071</v>
      </c>
      <c r="BO484" t="s">
        <v>1053</v>
      </c>
      <c r="BP484" t="s">
        <v>614</v>
      </c>
      <c r="BQ484" t="s">
        <v>2073</v>
      </c>
      <c r="BR484" t="s">
        <v>1053</v>
      </c>
      <c r="BS484" t="s">
        <v>1053</v>
      </c>
      <c r="BT484" t="s">
        <v>1053</v>
      </c>
      <c r="BU484" t="s">
        <v>1053</v>
      </c>
      <c r="BV484" t="s">
        <v>2074</v>
      </c>
      <c r="BX484" t="str">
        <f>"SMTWTFS 0715-2145"</f>
        <v>SMTWTFS 0715-2145</v>
      </c>
      <c r="BY484" t="str">
        <f>"SMTWTFS 0715-2110"</f>
        <v>SMTWTFS 0715-2110</v>
      </c>
      <c r="BZ484" t="str">
        <f>"SMTWTFS 0715-2110"</f>
        <v>SMTWTFS 0715-2110</v>
      </c>
      <c r="CA484" t="str">
        <f>"SMTWTFS 0715-2110"</f>
        <v>SMTWTFS 0715-2110</v>
      </c>
      <c r="CB484" t="str">
        <f>""</f>
        <v/>
      </c>
      <c r="CC484" t="str">
        <f>"SMTWTFS 0715-2145"</f>
        <v>SMTWTFS 0715-2145</v>
      </c>
      <c r="CD484" t="str">
        <f>""</f>
        <v/>
      </c>
      <c r="CE484" t="str">
        <f>""</f>
        <v/>
      </c>
      <c r="CF484" t="str">
        <f>""</f>
        <v/>
      </c>
      <c r="CG484" t="str">
        <f>""</f>
        <v/>
      </c>
      <c r="CH484" t="str">
        <f>"SMTWTFS 0001-2359"</f>
        <v>SMTWTFS 0001-2359</v>
      </c>
    </row>
    <row r="485" spans="1:86" x14ac:dyDescent="0.25">
      <c r="A485" t="s">
        <v>6645</v>
      </c>
      <c r="B485" t="s">
        <v>6646</v>
      </c>
      <c r="C485" t="s">
        <v>1992</v>
      </c>
      <c r="D485" t="s">
        <v>2010</v>
      </c>
      <c r="E485" t="s">
        <v>6647</v>
      </c>
      <c r="H485" t="s">
        <v>6648</v>
      </c>
      <c r="I485" t="s">
        <v>2381</v>
      </c>
      <c r="J485" t="str">
        <f>"76657"</f>
        <v>76657</v>
      </c>
      <c r="K485" t="s">
        <v>1998</v>
      </c>
      <c r="L485" t="s">
        <v>2045</v>
      </c>
      <c r="M485" t="s">
        <v>2063</v>
      </c>
      <c r="N485" t="s">
        <v>1992</v>
      </c>
      <c r="O485" t="s">
        <v>1992</v>
      </c>
      <c r="P485" t="s">
        <v>1992</v>
      </c>
      <c r="Q485" t="s">
        <v>1992</v>
      </c>
      <c r="R485" t="s">
        <v>1992</v>
      </c>
      <c r="S485" t="s">
        <v>1992</v>
      </c>
      <c r="T485" t="s">
        <v>1992</v>
      </c>
      <c r="U485" t="s">
        <v>1992</v>
      </c>
      <c r="V485" t="s">
        <v>1991</v>
      </c>
      <c r="W485" t="s">
        <v>1991</v>
      </c>
      <c r="X485" t="s">
        <v>1992</v>
      </c>
      <c r="Y485" t="s">
        <v>1992</v>
      </c>
      <c r="Z485" t="s">
        <v>1992</v>
      </c>
      <c r="AF485" t="s">
        <v>2001</v>
      </c>
      <c r="AG485" t="s">
        <v>1991</v>
      </c>
      <c r="AH485">
        <v>30</v>
      </c>
      <c r="AI485">
        <v>30</v>
      </c>
      <c r="AJ485" t="s">
        <v>6649</v>
      </c>
      <c r="AK485">
        <v>711</v>
      </c>
      <c r="AL485">
        <v>4845</v>
      </c>
      <c r="AM485" t="s">
        <v>6650</v>
      </c>
      <c r="AN485" t="s">
        <v>2066</v>
      </c>
      <c r="AO485" t="s">
        <v>2063</v>
      </c>
      <c r="BF485" t="s">
        <v>1053</v>
      </c>
      <c r="BG485" t="s">
        <v>235</v>
      </c>
      <c r="BH485" t="s">
        <v>2098</v>
      </c>
      <c r="BI485" t="s">
        <v>1053</v>
      </c>
      <c r="BJ485" t="s">
        <v>2069</v>
      </c>
      <c r="BK485" t="s">
        <v>1053</v>
      </c>
      <c r="BL485" t="s">
        <v>2069</v>
      </c>
      <c r="BM485" t="s">
        <v>2099</v>
      </c>
      <c r="BN485" t="s">
        <v>2100</v>
      </c>
      <c r="BO485" t="s">
        <v>1053</v>
      </c>
      <c r="BP485" t="s">
        <v>2101</v>
      </c>
      <c r="BQ485" t="s">
        <v>6651</v>
      </c>
      <c r="BR485" t="s">
        <v>1053</v>
      </c>
      <c r="BS485" t="s">
        <v>1053</v>
      </c>
      <c r="BT485" t="s">
        <v>1053</v>
      </c>
      <c r="BU485" t="s">
        <v>1053</v>
      </c>
      <c r="BV485" t="s">
        <v>2056</v>
      </c>
      <c r="BX485" t="str">
        <f>""</f>
        <v/>
      </c>
      <c r="BY485" t="str">
        <f>""</f>
        <v/>
      </c>
      <c r="BZ485" t="str">
        <f>""</f>
        <v/>
      </c>
      <c r="CA485" t="str">
        <f>""</f>
        <v/>
      </c>
      <c r="CB485" t="str">
        <f>""</f>
        <v/>
      </c>
      <c r="CC485" t="str">
        <f>""</f>
        <v/>
      </c>
      <c r="CD485" t="str">
        <f>""</f>
        <v/>
      </c>
      <c r="CE485" t="str">
        <f>""</f>
        <v/>
      </c>
      <c r="CF485" t="str">
        <f>""</f>
        <v/>
      </c>
      <c r="CG485" t="str">
        <f>""</f>
        <v/>
      </c>
      <c r="CH485" t="str">
        <f>"SMTWTFS 1051-1643"</f>
        <v>SMTWTFS 1051-1643</v>
      </c>
    </row>
    <row r="486" spans="1:86" x14ac:dyDescent="0.25">
      <c r="A486" t="s">
        <v>6652</v>
      </c>
      <c r="B486" t="s">
        <v>6653</v>
      </c>
      <c r="C486" t="s">
        <v>1992</v>
      </c>
      <c r="D486" t="s">
        <v>2331</v>
      </c>
      <c r="E486" t="s">
        <v>6654</v>
      </c>
      <c r="H486" t="s">
        <v>6655</v>
      </c>
      <c r="I486" t="s">
        <v>3623</v>
      </c>
      <c r="J486" t="str">
        <f>"46360-3246"</f>
        <v>46360-3246</v>
      </c>
      <c r="K486" t="s">
        <v>1998</v>
      </c>
      <c r="L486" t="s">
        <v>1999</v>
      </c>
      <c r="M486" t="s">
        <v>2063</v>
      </c>
      <c r="N486" t="s">
        <v>1992</v>
      </c>
      <c r="O486" t="s">
        <v>1992</v>
      </c>
      <c r="P486" t="s">
        <v>1992</v>
      </c>
      <c r="Q486" t="s">
        <v>1992</v>
      </c>
      <c r="R486" t="s">
        <v>1992</v>
      </c>
      <c r="S486" t="s">
        <v>1992</v>
      </c>
      <c r="T486" t="s">
        <v>1992</v>
      </c>
      <c r="U486" t="s">
        <v>1992</v>
      </c>
      <c r="V486" t="s">
        <v>1991</v>
      </c>
      <c r="W486" t="s">
        <v>1991</v>
      </c>
      <c r="X486" t="s">
        <v>1992</v>
      </c>
      <c r="Y486" t="s">
        <v>1992</v>
      </c>
      <c r="Z486" t="s">
        <v>1992</v>
      </c>
      <c r="AF486" t="s">
        <v>2001</v>
      </c>
      <c r="AG486" t="s">
        <v>1991</v>
      </c>
      <c r="AH486">
        <v>30</v>
      </c>
      <c r="AI486">
        <v>30</v>
      </c>
      <c r="AJ486" t="s">
        <v>6656</v>
      </c>
      <c r="AK486">
        <v>599</v>
      </c>
      <c r="AL486">
        <v>70000</v>
      </c>
      <c r="AN486" t="s">
        <v>2066</v>
      </c>
      <c r="AO486" t="s">
        <v>2063</v>
      </c>
      <c r="BF486" t="s">
        <v>1053</v>
      </c>
      <c r="BG486" t="s">
        <v>467</v>
      </c>
      <c r="BH486" t="s">
        <v>2312</v>
      </c>
      <c r="BI486" t="s">
        <v>1053</v>
      </c>
      <c r="BJ486" t="s">
        <v>2069</v>
      </c>
      <c r="BK486" t="s">
        <v>1053</v>
      </c>
      <c r="BL486" t="s">
        <v>2069</v>
      </c>
      <c r="BM486" t="s">
        <v>2313</v>
      </c>
      <c r="BN486" t="s">
        <v>2314</v>
      </c>
      <c r="BO486" t="s">
        <v>1053</v>
      </c>
      <c r="BP486" t="s">
        <v>301</v>
      </c>
      <c r="BQ486" t="s">
        <v>2316</v>
      </c>
      <c r="BR486" t="s">
        <v>1053</v>
      </c>
      <c r="BT486" t="s">
        <v>1053</v>
      </c>
      <c r="BX486" t="str">
        <f>""</f>
        <v/>
      </c>
      <c r="BY486" t="str">
        <f>""</f>
        <v/>
      </c>
      <c r="BZ486" t="str">
        <f>""</f>
        <v/>
      </c>
      <c r="CA486" t="str">
        <f>""</f>
        <v/>
      </c>
      <c r="CB486" t="str">
        <f>""</f>
        <v/>
      </c>
      <c r="CC486" t="str">
        <f>""</f>
        <v/>
      </c>
      <c r="CD486" t="str">
        <f>""</f>
        <v/>
      </c>
      <c r="CE486" t="str">
        <f>""</f>
        <v/>
      </c>
      <c r="CF486" t="str">
        <f>""</f>
        <v/>
      </c>
      <c r="CG486" t="str">
        <f>""</f>
        <v/>
      </c>
      <c r="CH486" t="str">
        <f>""</f>
        <v/>
      </c>
    </row>
    <row r="487" spans="1:86" x14ac:dyDescent="0.25">
      <c r="A487" t="s">
        <v>6657</v>
      </c>
      <c r="B487" t="s">
        <v>6658</v>
      </c>
      <c r="C487" t="s">
        <v>1992</v>
      </c>
      <c r="D487" t="s">
        <v>2010</v>
      </c>
      <c r="E487" t="s">
        <v>6659</v>
      </c>
      <c r="H487" t="s">
        <v>6660</v>
      </c>
      <c r="I487" t="s">
        <v>5258</v>
      </c>
      <c r="J487" t="str">
        <f>"69001-3779"</f>
        <v>69001-3779</v>
      </c>
      <c r="K487" t="s">
        <v>1998</v>
      </c>
      <c r="L487" t="s">
        <v>1999</v>
      </c>
      <c r="M487" t="s">
        <v>2063</v>
      </c>
      <c r="N487" t="s">
        <v>1992</v>
      </c>
      <c r="O487" t="s">
        <v>1992</v>
      </c>
      <c r="P487" t="s">
        <v>1992</v>
      </c>
      <c r="Q487" t="s">
        <v>1992</v>
      </c>
      <c r="R487" t="s">
        <v>1992</v>
      </c>
      <c r="S487" t="s">
        <v>1992</v>
      </c>
      <c r="T487" t="s">
        <v>1992</v>
      </c>
      <c r="U487" t="s">
        <v>1992</v>
      </c>
      <c r="V487" t="s">
        <v>1991</v>
      </c>
      <c r="W487" t="s">
        <v>1991</v>
      </c>
      <c r="X487" t="s">
        <v>1992</v>
      </c>
      <c r="Y487" t="s">
        <v>1992</v>
      </c>
      <c r="Z487" t="s">
        <v>1992</v>
      </c>
      <c r="AF487" t="s">
        <v>2001</v>
      </c>
      <c r="AG487" t="s">
        <v>1991</v>
      </c>
      <c r="AH487">
        <v>30</v>
      </c>
      <c r="AI487">
        <v>30</v>
      </c>
      <c r="AJ487" t="s">
        <v>6661</v>
      </c>
      <c r="AK487">
        <v>2512</v>
      </c>
      <c r="AL487">
        <v>8400</v>
      </c>
      <c r="AN487" t="s">
        <v>2066</v>
      </c>
      <c r="AO487" t="s">
        <v>2063</v>
      </c>
      <c r="BF487" t="s">
        <v>1053</v>
      </c>
      <c r="BG487" t="s">
        <v>2097</v>
      </c>
      <c r="BH487" t="s">
        <v>798</v>
      </c>
      <c r="BI487" t="s">
        <v>1053</v>
      </c>
      <c r="BK487" t="s">
        <v>1053</v>
      </c>
      <c r="BL487" t="s">
        <v>1053</v>
      </c>
      <c r="BO487" t="s">
        <v>1053</v>
      </c>
      <c r="BP487" t="s">
        <v>653</v>
      </c>
      <c r="BQ487" t="s">
        <v>2376</v>
      </c>
      <c r="BR487" t="s">
        <v>1053</v>
      </c>
      <c r="BX487" t="str">
        <f>""</f>
        <v/>
      </c>
      <c r="BY487" t="str">
        <f>""</f>
        <v/>
      </c>
      <c r="BZ487" t="str">
        <f>""</f>
        <v/>
      </c>
      <c r="CA487" t="str">
        <f>""</f>
        <v/>
      </c>
      <c r="CB487" t="str">
        <f>""</f>
        <v/>
      </c>
      <c r="CC487" t="str">
        <f>""</f>
        <v/>
      </c>
      <c r="CD487" t="str">
        <f>""</f>
        <v/>
      </c>
      <c r="CE487" t="str">
        <f>""</f>
        <v/>
      </c>
      <c r="CF487" t="str">
        <f>""</f>
        <v/>
      </c>
      <c r="CG487" t="str">
        <f>""</f>
        <v/>
      </c>
      <c r="CH487" t="str">
        <f>""</f>
        <v/>
      </c>
    </row>
    <row r="488" spans="1:86" x14ac:dyDescent="0.25">
      <c r="A488" t="s">
        <v>6662</v>
      </c>
      <c r="B488" t="s">
        <v>6663</v>
      </c>
      <c r="D488" t="s">
        <v>2089</v>
      </c>
      <c r="E488" t="s">
        <v>6664</v>
      </c>
      <c r="F488" t="s">
        <v>497</v>
      </c>
      <c r="H488" t="s">
        <v>1681</v>
      </c>
      <c r="I488" t="s">
        <v>2014</v>
      </c>
      <c r="J488" t="str">
        <f>"21704"</f>
        <v>21704</v>
      </c>
      <c r="K488" t="s">
        <v>1998</v>
      </c>
      <c r="L488" t="s">
        <v>499</v>
      </c>
      <c r="M488" t="s">
        <v>500</v>
      </c>
      <c r="O488" t="s">
        <v>1991</v>
      </c>
      <c r="AF488" t="s">
        <v>2016</v>
      </c>
      <c r="AG488" t="s">
        <v>1991</v>
      </c>
      <c r="AJ488" t="s">
        <v>2090</v>
      </c>
      <c r="AM488" t="s">
        <v>6665</v>
      </c>
      <c r="BX488" t="str">
        <f>""</f>
        <v/>
      </c>
      <c r="BY488" t="str">
        <f>""</f>
        <v/>
      </c>
      <c r="BZ488" t="str">
        <f>""</f>
        <v/>
      </c>
      <c r="CA488" t="str">
        <f>""</f>
        <v/>
      </c>
      <c r="CB488" t="str">
        <f>""</f>
        <v/>
      </c>
      <c r="CC488" t="str">
        <f>""</f>
        <v/>
      </c>
      <c r="CD488" t="str">
        <f>""</f>
        <v/>
      </c>
      <c r="CE488" t="str">
        <f>""</f>
        <v/>
      </c>
      <c r="CF488" t="str">
        <f>""</f>
        <v/>
      </c>
      <c r="CG488" t="str">
        <f>""</f>
        <v/>
      </c>
      <c r="CH488" t="str">
        <f>""</f>
        <v/>
      </c>
    </row>
    <row r="489" spans="1:86" x14ac:dyDescent="0.25">
      <c r="A489" t="s">
        <v>6666</v>
      </c>
      <c r="B489" t="s">
        <v>6667</v>
      </c>
      <c r="C489" t="s">
        <v>1991</v>
      </c>
      <c r="D489" t="s">
        <v>2010</v>
      </c>
      <c r="E489" t="s">
        <v>6668</v>
      </c>
      <c r="H489" t="s">
        <v>6669</v>
      </c>
      <c r="I489" t="s">
        <v>592</v>
      </c>
      <c r="J489" t="str">
        <f>"06450"</f>
        <v>06450</v>
      </c>
      <c r="K489" t="s">
        <v>1998</v>
      </c>
      <c r="L489" t="s">
        <v>2033</v>
      </c>
      <c r="M489" t="s">
        <v>6670</v>
      </c>
      <c r="N489" t="s">
        <v>1991</v>
      </c>
      <c r="O489" t="s">
        <v>1992</v>
      </c>
      <c r="P489" t="s">
        <v>1992</v>
      </c>
      <c r="Q489" t="s">
        <v>1992</v>
      </c>
      <c r="R489" t="s">
        <v>1992</v>
      </c>
      <c r="S489" t="s">
        <v>1992</v>
      </c>
      <c r="T489" t="s">
        <v>1992</v>
      </c>
      <c r="U489" t="s">
        <v>1991</v>
      </c>
      <c r="V489" t="s">
        <v>1991</v>
      </c>
      <c r="W489" t="s">
        <v>1991</v>
      </c>
      <c r="X489" t="s">
        <v>1992</v>
      </c>
      <c r="Y489" t="s">
        <v>1992</v>
      </c>
      <c r="Z489" t="s">
        <v>1992</v>
      </c>
      <c r="AE489" t="s">
        <v>6671</v>
      </c>
      <c r="AF489" t="s">
        <v>2016</v>
      </c>
      <c r="AG489" t="s">
        <v>1991</v>
      </c>
      <c r="AH489">
        <v>30</v>
      </c>
      <c r="AI489">
        <v>30</v>
      </c>
      <c r="AJ489" t="s">
        <v>6672</v>
      </c>
      <c r="AK489">
        <v>143</v>
      </c>
      <c r="AL489">
        <v>57000</v>
      </c>
      <c r="AM489" t="s">
        <v>6673</v>
      </c>
      <c r="AN489" t="s">
        <v>1053</v>
      </c>
      <c r="AO489" t="s">
        <v>1053</v>
      </c>
      <c r="AP489" t="s">
        <v>1053</v>
      </c>
      <c r="AQ489" t="s">
        <v>1053</v>
      </c>
      <c r="AR489" t="s">
        <v>1053</v>
      </c>
      <c r="AS489" t="s">
        <v>6666</v>
      </c>
      <c r="AT489" t="s">
        <v>6674</v>
      </c>
      <c r="AU489" t="s">
        <v>1053</v>
      </c>
      <c r="AV489" t="s">
        <v>1053</v>
      </c>
      <c r="AW489" t="s">
        <v>1053</v>
      </c>
      <c r="AX489" t="s">
        <v>1053</v>
      </c>
      <c r="AY489" t="s">
        <v>1053</v>
      </c>
      <c r="AZ489" t="s">
        <v>6666</v>
      </c>
      <c r="BA489" t="s">
        <v>6674</v>
      </c>
      <c r="BB489" t="s">
        <v>1053</v>
      </c>
      <c r="BC489" t="s">
        <v>1053</v>
      </c>
      <c r="BD489" t="s">
        <v>1053</v>
      </c>
      <c r="BE489" t="s">
        <v>1053</v>
      </c>
      <c r="BF489" t="s">
        <v>1053</v>
      </c>
      <c r="BG489" t="s">
        <v>597</v>
      </c>
      <c r="BH489" t="s">
        <v>6675</v>
      </c>
      <c r="BI489" t="s">
        <v>1053</v>
      </c>
      <c r="BJ489" t="s">
        <v>1053</v>
      </c>
      <c r="BK489" t="s">
        <v>1053</v>
      </c>
      <c r="BL489" t="s">
        <v>1053</v>
      </c>
      <c r="BO489" t="s">
        <v>1053</v>
      </c>
      <c r="BP489" t="s">
        <v>6676</v>
      </c>
      <c r="BQ489" t="s">
        <v>6677</v>
      </c>
      <c r="BR489" t="s">
        <v>1053</v>
      </c>
      <c r="BS489" t="s">
        <v>1053</v>
      </c>
      <c r="BT489" t="s">
        <v>1053</v>
      </c>
      <c r="BU489" t="s">
        <v>1053</v>
      </c>
      <c r="BX489" t="str">
        <f>"-MTWTF- 0630-1145 1245-1500"</f>
        <v>-MTWTF- 0630-1145 1245-1500</v>
      </c>
      <c r="BY489" t="str">
        <f>""</f>
        <v/>
      </c>
      <c r="BZ489" t="str">
        <f>"-MTWTF- 0630-1145 1245-1500"</f>
        <v>-MTWTF- 0630-1145 1245-1500</v>
      </c>
      <c r="CA489" t="str">
        <f>"-MTWTF- 0630-1145 1245-1500"</f>
        <v>-MTWTF- 0630-1145 1245-1500</v>
      </c>
      <c r="CB489" t="str">
        <f>""</f>
        <v/>
      </c>
      <c r="CC489" t="str">
        <f>""</f>
        <v/>
      </c>
      <c r="CD489" t="str">
        <f>""</f>
        <v/>
      </c>
      <c r="CE489" t="str">
        <f>""</f>
        <v/>
      </c>
      <c r="CF489" t="str">
        <f>""</f>
        <v/>
      </c>
      <c r="CG489" t="str">
        <f>""</f>
        <v/>
      </c>
      <c r="CH489" t="str">
        <f>""</f>
        <v/>
      </c>
    </row>
    <row r="490" spans="1:86" x14ac:dyDescent="0.25">
      <c r="A490" t="s">
        <v>6678</v>
      </c>
      <c r="B490" t="s">
        <v>6679</v>
      </c>
      <c r="C490" t="s">
        <v>1992</v>
      </c>
      <c r="D490" t="s">
        <v>1993</v>
      </c>
      <c r="E490" t="s">
        <v>6680</v>
      </c>
      <c r="F490" t="s">
        <v>6681</v>
      </c>
      <c r="H490" t="s">
        <v>6682</v>
      </c>
      <c r="I490" t="s">
        <v>2061</v>
      </c>
      <c r="J490" t="str">
        <f>"95345"</f>
        <v>95345</v>
      </c>
      <c r="K490" t="s">
        <v>1998</v>
      </c>
      <c r="L490" t="s">
        <v>2062</v>
      </c>
      <c r="M490" t="s">
        <v>2063</v>
      </c>
      <c r="N490" t="s">
        <v>1992</v>
      </c>
      <c r="O490" t="s">
        <v>1992</v>
      </c>
      <c r="P490" t="s">
        <v>1992</v>
      </c>
      <c r="Q490" t="s">
        <v>1992</v>
      </c>
      <c r="R490" t="s">
        <v>1992</v>
      </c>
      <c r="S490" t="s">
        <v>1992</v>
      </c>
      <c r="T490" t="s">
        <v>1992</v>
      </c>
      <c r="U490" t="s">
        <v>1992</v>
      </c>
      <c r="V490" t="s">
        <v>1991</v>
      </c>
      <c r="W490" t="s">
        <v>1992</v>
      </c>
      <c r="X490" t="s">
        <v>1992</v>
      </c>
      <c r="Y490" t="s">
        <v>1992</v>
      </c>
      <c r="Z490" t="s">
        <v>1991</v>
      </c>
      <c r="AF490" t="s">
        <v>2064</v>
      </c>
      <c r="AG490" t="s">
        <v>1991</v>
      </c>
      <c r="AH490">
        <v>30</v>
      </c>
      <c r="AI490">
        <v>30</v>
      </c>
      <c r="AJ490" t="s">
        <v>6683</v>
      </c>
      <c r="AK490">
        <v>2577</v>
      </c>
      <c r="AM490" t="s">
        <v>2298</v>
      </c>
      <c r="AN490" t="s">
        <v>308</v>
      </c>
      <c r="AO490" t="s">
        <v>2063</v>
      </c>
      <c r="BF490" t="s">
        <v>1053</v>
      </c>
      <c r="BG490" t="s">
        <v>309</v>
      </c>
      <c r="BH490" t="s">
        <v>2301</v>
      </c>
      <c r="BI490" t="s">
        <v>1053</v>
      </c>
      <c r="BK490" t="s">
        <v>1053</v>
      </c>
      <c r="BO490" t="s">
        <v>1053</v>
      </c>
      <c r="BP490" t="s">
        <v>518</v>
      </c>
      <c r="BQ490" t="s">
        <v>3820</v>
      </c>
      <c r="BR490" t="s">
        <v>1053</v>
      </c>
      <c r="BT490" t="s">
        <v>1053</v>
      </c>
      <c r="BV490" t="s">
        <v>2070</v>
      </c>
      <c r="BW490">
        <v>0</v>
      </c>
      <c r="BX490" t="str">
        <f>""</f>
        <v/>
      </c>
      <c r="BY490" t="str">
        <f>""</f>
        <v/>
      </c>
      <c r="BZ490" t="str">
        <f>""</f>
        <v/>
      </c>
      <c r="CA490" t="str">
        <f>""</f>
        <v/>
      </c>
      <c r="CB490" t="str">
        <f>""</f>
        <v/>
      </c>
      <c r="CC490" t="str">
        <f>""</f>
        <v/>
      </c>
      <c r="CD490" t="str">
        <f>""</f>
        <v/>
      </c>
      <c r="CE490" t="str">
        <f>""</f>
        <v/>
      </c>
      <c r="CF490" t="str">
        <f>""</f>
        <v/>
      </c>
      <c r="CG490" t="str">
        <f>""</f>
        <v/>
      </c>
      <c r="CH490" t="str">
        <f>""</f>
        <v/>
      </c>
    </row>
    <row r="491" spans="1:86" x14ac:dyDescent="0.25">
      <c r="A491" t="s">
        <v>6684</v>
      </c>
      <c r="B491" t="s">
        <v>6685</v>
      </c>
      <c r="C491" t="s">
        <v>1992</v>
      </c>
      <c r="D491" t="s">
        <v>2331</v>
      </c>
      <c r="E491" t="s">
        <v>6686</v>
      </c>
      <c r="H491" t="s">
        <v>6687</v>
      </c>
      <c r="I491" t="s">
        <v>2061</v>
      </c>
      <c r="J491" t="str">
        <f>"93638"</f>
        <v>93638</v>
      </c>
      <c r="K491" t="s">
        <v>1998</v>
      </c>
      <c r="L491" t="s">
        <v>2062</v>
      </c>
      <c r="M491" t="s">
        <v>6688</v>
      </c>
      <c r="N491" t="s">
        <v>1992</v>
      </c>
      <c r="O491" t="s">
        <v>1992</v>
      </c>
      <c r="P491" t="s">
        <v>1992</v>
      </c>
      <c r="Q491" t="s">
        <v>1992</v>
      </c>
      <c r="R491" t="s">
        <v>1992</v>
      </c>
      <c r="S491" t="s">
        <v>1992</v>
      </c>
      <c r="T491" t="s">
        <v>1992</v>
      </c>
      <c r="U491" t="s">
        <v>1992</v>
      </c>
      <c r="V491" t="s">
        <v>1991</v>
      </c>
      <c r="W491" t="s">
        <v>1991</v>
      </c>
      <c r="X491" t="s">
        <v>1992</v>
      </c>
      <c r="Y491" t="s">
        <v>1992</v>
      </c>
      <c r="Z491" t="s">
        <v>1992</v>
      </c>
      <c r="AA491" t="s">
        <v>1992</v>
      </c>
      <c r="AF491" t="s">
        <v>2064</v>
      </c>
      <c r="AG491" t="s">
        <v>1991</v>
      </c>
      <c r="AH491">
        <v>30</v>
      </c>
      <c r="AI491">
        <v>30</v>
      </c>
      <c r="AJ491" t="s">
        <v>3671</v>
      </c>
      <c r="AK491">
        <v>289</v>
      </c>
      <c r="AL491">
        <v>54959</v>
      </c>
      <c r="AM491" t="s">
        <v>3672</v>
      </c>
      <c r="AN491" t="s">
        <v>2066</v>
      </c>
      <c r="AO491" t="s">
        <v>2063</v>
      </c>
      <c r="BF491" t="s">
        <v>1053</v>
      </c>
      <c r="BG491" t="s">
        <v>2067</v>
      </c>
      <c r="BH491" t="s">
        <v>2068</v>
      </c>
      <c r="BI491" t="s">
        <v>1053</v>
      </c>
      <c r="BJ491" t="s">
        <v>2069</v>
      </c>
      <c r="BK491" t="s">
        <v>1053</v>
      </c>
      <c r="BL491" t="s">
        <v>2069</v>
      </c>
      <c r="BM491" t="s">
        <v>2070</v>
      </c>
      <c r="BN491" t="s">
        <v>2071</v>
      </c>
      <c r="BO491" t="s">
        <v>1053</v>
      </c>
      <c r="BP491" t="s">
        <v>614</v>
      </c>
      <c r="BQ491" t="s">
        <v>2073</v>
      </c>
      <c r="BR491" t="s">
        <v>1053</v>
      </c>
      <c r="BS491" t="s">
        <v>1053</v>
      </c>
      <c r="BT491" t="s">
        <v>1053</v>
      </c>
      <c r="BU491" t="s">
        <v>1053</v>
      </c>
      <c r="BV491" t="s">
        <v>3673</v>
      </c>
      <c r="BW491" t="s">
        <v>2075</v>
      </c>
      <c r="BX491" t="str">
        <f>""</f>
        <v/>
      </c>
      <c r="BY491" t="str">
        <f>""</f>
        <v/>
      </c>
      <c r="BZ491" t="str">
        <f>""</f>
        <v/>
      </c>
      <c r="CA491" t="str">
        <f>""</f>
        <v/>
      </c>
      <c r="CB491" t="str">
        <f>""</f>
        <v/>
      </c>
      <c r="CC491" t="str">
        <f>""</f>
        <v/>
      </c>
      <c r="CD491" t="str">
        <f>""</f>
        <v/>
      </c>
      <c r="CE491" t="str">
        <f>""</f>
        <v/>
      </c>
      <c r="CF491" t="str">
        <f>""</f>
        <v/>
      </c>
      <c r="CG491" t="str">
        <f>""</f>
        <v/>
      </c>
      <c r="CH491" t="str">
        <f>""</f>
        <v/>
      </c>
    </row>
    <row r="492" spans="1:86" x14ac:dyDescent="0.25">
      <c r="A492" t="s">
        <v>3674</v>
      </c>
      <c r="B492" t="s">
        <v>3675</v>
      </c>
      <c r="D492" t="s">
        <v>2089</v>
      </c>
      <c r="E492" t="s">
        <v>3676</v>
      </c>
      <c r="H492" t="s">
        <v>3677</v>
      </c>
      <c r="I492" t="s">
        <v>592</v>
      </c>
      <c r="J492" t="str">
        <f>"06443"</f>
        <v>06443</v>
      </c>
      <c r="L492" t="s">
        <v>717</v>
      </c>
      <c r="M492" t="s">
        <v>718</v>
      </c>
      <c r="O492" t="s">
        <v>1992</v>
      </c>
      <c r="AF492" t="s">
        <v>2016</v>
      </c>
      <c r="AG492" t="s">
        <v>1991</v>
      </c>
      <c r="AJ492" t="s">
        <v>2090</v>
      </c>
      <c r="AM492" t="s">
        <v>719</v>
      </c>
      <c r="BX492" t="str">
        <f>""</f>
        <v/>
      </c>
      <c r="BY492" t="str">
        <f>""</f>
        <v/>
      </c>
      <c r="BZ492" t="str">
        <f>""</f>
        <v/>
      </c>
      <c r="CA492" t="str">
        <f>""</f>
        <v/>
      </c>
      <c r="CB492" t="str">
        <f>""</f>
        <v/>
      </c>
      <c r="CC492" t="str">
        <f>""</f>
        <v/>
      </c>
      <c r="CD492" t="str">
        <f>""</f>
        <v/>
      </c>
      <c r="CE492" t="str">
        <f>""</f>
        <v/>
      </c>
      <c r="CF492" t="str">
        <f>""</f>
        <v/>
      </c>
      <c r="CG492" t="str">
        <f>""</f>
        <v/>
      </c>
      <c r="CH492" t="str">
        <f>""</f>
        <v/>
      </c>
    </row>
    <row r="493" spans="1:86" x14ac:dyDescent="0.25">
      <c r="A493" t="s">
        <v>3678</v>
      </c>
      <c r="B493" t="s">
        <v>3679</v>
      </c>
      <c r="C493" t="s">
        <v>1992</v>
      </c>
      <c r="D493" t="s">
        <v>2010</v>
      </c>
      <c r="E493" t="s">
        <v>3680</v>
      </c>
      <c r="H493" t="s">
        <v>3681</v>
      </c>
      <c r="I493" t="s">
        <v>2367</v>
      </c>
      <c r="J493" t="str">
        <f>"61342"</f>
        <v>61342</v>
      </c>
      <c r="K493" t="s">
        <v>1998</v>
      </c>
      <c r="L493" t="s">
        <v>1999</v>
      </c>
      <c r="M493" t="s">
        <v>2063</v>
      </c>
      <c r="N493" t="s">
        <v>1992</v>
      </c>
      <c r="O493" t="s">
        <v>1992</v>
      </c>
      <c r="P493" t="s">
        <v>1992</v>
      </c>
      <c r="Q493" t="s">
        <v>1992</v>
      </c>
      <c r="R493" t="s">
        <v>1992</v>
      </c>
      <c r="S493" t="s">
        <v>1992</v>
      </c>
      <c r="T493" t="s">
        <v>1992</v>
      </c>
      <c r="U493" t="s">
        <v>1992</v>
      </c>
      <c r="V493" t="s">
        <v>1991</v>
      </c>
      <c r="W493" t="s">
        <v>1991</v>
      </c>
      <c r="X493" t="s">
        <v>1991</v>
      </c>
      <c r="Y493" t="s">
        <v>1991</v>
      </c>
      <c r="Z493" t="s">
        <v>1991</v>
      </c>
      <c r="AF493" t="s">
        <v>2001</v>
      </c>
      <c r="AG493" t="s">
        <v>1991</v>
      </c>
      <c r="AH493">
        <v>30</v>
      </c>
      <c r="AI493">
        <v>30</v>
      </c>
      <c r="AJ493" t="s">
        <v>3682</v>
      </c>
      <c r="AK493">
        <v>742</v>
      </c>
      <c r="AL493">
        <v>7072</v>
      </c>
      <c r="AN493" t="s">
        <v>2066</v>
      </c>
      <c r="AO493" t="s">
        <v>2063</v>
      </c>
      <c r="BF493" t="s">
        <v>1053</v>
      </c>
      <c r="BG493" t="s">
        <v>1640</v>
      </c>
      <c r="BH493" t="s">
        <v>798</v>
      </c>
      <c r="BI493" t="s">
        <v>1053</v>
      </c>
      <c r="BK493" t="s">
        <v>1053</v>
      </c>
      <c r="BL493" t="s">
        <v>1053</v>
      </c>
      <c r="BO493" t="s">
        <v>1053</v>
      </c>
      <c r="BP493" t="s">
        <v>653</v>
      </c>
      <c r="BQ493" t="s">
        <v>2523</v>
      </c>
      <c r="BR493" t="s">
        <v>1053</v>
      </c>
      <c r="BX493" t="str">
        <f>"SMTWTFS 0749-0949 1244-1444 1606-2020"</f>
        <v>SMTWTFS 0749-0949 1244-1444 1606-2020</v>
      </c>
      <c r="BY493" t="str">
        <f>""</f>
        <v/>
      </c>
      <c r="BZ493" t="str">
        <f>""</f>
        <v/>
      </c>
      <c r="CA493" t="str">
        <f>""</f>
        <v/>
      </c>
      <c r="CB493" t="str">
        <f>""</f>
        <v/>
      </c>
      <c r="CC493" t="str">
        <f>""</f>
        <v/>
      </c>
      <c r="CD493" t="str">
        <f>""</f>
        <v/>
      </c>
      <c r="CE493" t="str">
        <f>""</f>
        <v/>
      </c>
      <c r="CF493" t="str">
        <f>""</f>
        <v/>
      </c>
      <c r="CG493" t="str">
        <f>""</f>
        <v/>
      </c>
      <c r="CH493" t="str">
        <f>""</f>
        <v/>
      </c>
    </row>
    <row r="494" spans="1:86" x14ac:dyDescent="0.25">
      <c r="A494" t="s">
        <v>3683</v>
      </c>
      <c r="B494" t="s">
        <v>3684</v>
      </c>
      <c r="C494" t="s">
        <v>1992</v>
      </c>
      <c r="D494" t="s">
        <v>1993</v>
      </c>
      <c r="E494" t="s">
        <v>3685</v>
      </c>
      <c r="F494" t="s">
        <v>3686</v>
      </c>
      <c r="H494" t="s">
        <v>3687</v>
      </c>
      <c r="I494" t="s">
        <v>576</v>
      </c>
      <c r="J494" t="str">
        <f>"98272"</f>
        <v>98272</v>
      </c>
      <c r="K494" t="s">
        <v>1998</v>
      </c>
      <c r="L494" t="s">
        <v>231</v>
      </c>
      <c r="M494" t="s">
        <v>2000</v>
      </c>
      <c r="N494" t="s">
        <v>1992</v>
      </c>
      <c r="O494" t="s">
        <v>1992</v>
      </c>
      <c r="P494" t="s">
        <v>1992</v>
      </c>
      <c r="Q494" t="s">
        <v>1992</v>
      </c>
      <c r="R494" t="s">
        <v>1992</v>
      </c>
      <c r="S494" t="s">
        <v>1992</v>
      </c>
      <c r="T494" t="s">
        <v>1992</v>
      </c>
      <c r="U494" t="s">
        <v>1992</v>
      </c>
      <c r="V494" t="s">
        <v>1991</v>
      </c>
      <c r="Z494" t="s">
        <v>1991</v>
      </c>
      <c r="AB494" t="s">
        <v>3688</v>
      </c>
      <c r="AF494" t="s">
        <v>2064</v>
      </c>
      <c r="AG494" t="s">
        <v>1991</v>
      </c>
      <c r="AH494">
        <v>15</v>
      </c>
      <c r="AI494">
        <v>15</v>
      </c>
      <c r="AJ494" t="s">
        <v>3689</v>
      </c>
      <c r="AK494">
        <v>79</v>
      </c>
      <c r="AL494">
        <v>4278</v>
      </c>
      <c r="AM494" t="s">
        <v>3690</v>
      </c>
      <c r="BX494" t="str">
        <f>""</f>
        <v/>
      </c>
      <c r="BY494" t="str">
        <f>""</f>
        <v/>
      </c>
      <c r="BZ494" t="str">
        <f>""</f>
        <v/>
      </c>
      <c r="CA494" t="str">
        <f>""</f>
        <v/>
      </c>
      <c r="CB494" t="str">
        <f>""</f>
        <v/>
      </c>
      <c r="CC494" t="str">
        <f>""</f>
        <v/>
      </c>
      <c r="CD494" t="str">
        <f>""</f>
        <v/>
      </c>
      <c r="CE494" t="str">
        <f>""</f>
        <v/>
      </c>
      <c r="CF494" t="str">
        <f>""</f>
        <v/>
      </c>
      <c r="CG494" t="str">
        <f>""</f>
        <v/>
      </c>
      <c r="CH494" t="str">
        <f>""</f>
        <v/>
      </c>
    </row>
    <row r="495" spans="1:86" x14ac:dyDescent="0.25">
      <c r="A495" t="s">
        <v>3691</v>
      </c>
      <c r="B495" t="s">
        <v>3692</v>
      </c>
      <c r="C495" t="s">
        <v>1991</v>
      </c>
      <c r="D495" t="s">
        <v>2010</v>
      </c>
      <c r="E495" t="s">
        <v>3693</v>
      </c>
      <c r="H495" t="s">
        <v>3694</v>
      </c>
      <c r="I495" t="s">
        <v>779</v>
      </c>
      <c r="J495" t="str">
        <f>"39301"</f>
        <v>39301</v>
      </c>
      <c r="K495" t="s">
        <v>1998</v>
      </c>
      <c r="L495" t="s">
        <v>408</v>
      </c>
      <c r="M495" t="s">
        <v>3695</v>
      </c>
      <c r="N495" t="s">
        <v>1991</v>
      </c>
      <c r="O495" t="s">
        <v>1992</v>
      </c>
      <c r="P495" t="s">
        <v>1992</v>
      </c>
      <c r="Q495" t="s">
        <v>1991</v>
      </c>
      <c r="R495" t="s">
        <v>1991</v>
      </c>
      <c r="S495" t="s">
        <v>1992</v>
      </c>
      <c r="T495" t="s">
        <v>1992</v>
      </c>
      <c r="U495" t="s">
        <v>1991</v>
      </c>
      <c r="V495" t="s">
        <v>1991</v>
      </c>
      <c r="W495" t="s">
        <v>1991</v>
      </c>
      <c r="X495" t="s">
        <v>1992</v>
      </c>
      <c r="Y495" t="s">
        <v>1992</v>
      </c>
      <c r="Z495" t="s">
        <v>1992</v>
      </c>
      <c r="AA495" t="s">
        <v>1991</v>
      </c>
      <c r="AE495" t="s">
        <v>2047</v>
      </c>
      <c r="AF495" t="s">
        <v>2001</v>
      </c>
      <c r="AG495" t="s">
        <v>1991</v>
      </c>
      <c r="AH495">
        <v>60</v>
      </c>
      <c r="AI495">
        <v>30</v>
      </c>
      <c r="AJ495" t="s">
        <v>3696</v>
      </c>
      <c r="AK495">
        <v>336</v>
      </c>
      <c r="AL495">
        <v>38200</v>
      </c>
      <c r="AM495" t="s">
        <v>3697</v>
      </c>
      <c r="AN495" t="s">
        <v>1053</v>
      </c>
      <c r="AO495" t="s">
        <v>1053</v>
      </c>
      <c r="AP495" t="s">
        <v>2069</v>
      </c>
      <c r="AQ495" t="s">
        <v>1053</v>
      </c>
      <c r="AR495" t="s">
        <v>2069</v>
      </c>
      <c r="AS495" t="s">
        <v>3691</v>
      </c>
      <c r="AT495" t="s">
        <v>3698</v>
      </c>
      <c r="AU495" t="s">
        <v>1053</v>
      </c>
      <c r="AV495" t="s">
        <v>1053</v>
      </c>
      <c r="AW495" t="s">
        <v>2069</v>
      </c>
      <c r="AX495" t="s">
        <v>1053</v>
      </c>
      <c r="AY495" t="s">
        <v>2069</v>
      </c>
      <c r="AZ495" t="s">
        <v>3691</v>
      </c>
      <c r="BA495" t="s">
        <v>3698</v>
      </c>
      <c r="BB495" t="s">
        <v>1053</v>
      </c>
      <c r="BC495" t="s">
        <v>2069</v>
      </c>
      <c r="BD495" t="s">
        <v>1053</v>
      </c>
      <c r="BE495" t="s">
        <v>2069</v>
      </c>
      <c r="BF495" t="s">
        <v>1053</v>
      </c>
      <c r="BG495" t="s">
        <v>703</v>
      </c>
      <c r="BH495" t="s">
        <v>3699</v>
      </c>
      <c r="BI495" t="s">
        <v>1053</v>
      </c>
      <c r="BJ495" t="s">
        <v>1053</v>
      </c>
      <c r="BK495" t="s">
        <v>1053</v>
      </c>
      <c r="BL495" t="s">
        <v>1053</v>
      </c>
      <c r="BM495" t="s">
        <v>416</v>
      </c>
      <c r="BN495" t="s">
        <v>417</v>
      </c>
      <c r="BO495" t="s">
        <v>1053</v>
      </c>
      <c r="BP495" t="s">
        <v>653</v>
      </c>
      <c r="BQ495" t="s">
        <v>427</v>
      </c>
      <c r="BR495" t="s">
        <v>1053</v>
      </c>
      <c r="BS495" t="s">
        <v>1053</v>
      </c>
      <c r="BT495" t="s">
        <v>1053</v>
      </c>
      <c r="BU495" t="s">
        <v>1053</v>
      </c>
      <c r="BV495" t="s">
        <v>416</v>
      </c>
      <c r="BW495" t="s">
        <v>417</v>
      </c>
      <c r="BX495" t="str">
        <f>"SMTWTFS 0000-2359"</f>
        <v>SMTWTFS 0000-2359</v>
      </c>
      <c r="BY495" t="str">
        <f>"SMTWTFS 1000-1715"</f>
        <v>SMTWTFS 1000-1715</v>
      </c>
      <c r="BZ495" t="str">
        <f>"SMTWTFS 1000-1715"</f>
        <v>SMTWTFS 1000-1715</v>
      </c>
      <c r="CA495" t="str">
        <f>"SMTWTFS 1000-1715"</f>
        <v>SMTWTFS 1000-1715</v>
      </c>
      <c r="CB495" t="str">
        <f>"SMTWTFS 1000-1715"</f>
        <v>SMTWTFS 1000-1715</v>
      </c>
      <c r="CC495" t="str">
        <f>""</f>
        <v/>
      </c>
      <c r="CD495" t="str">
        <f>""</f>
        <v/>
      </c>
      <c r="CE495" t="str">
        <f>""</f>
        <v/>
      </c>
      <c r="CF495" t="str">
        <f>"SMTWTFS 1000-1730"</f>
        <v>SMTWTFS 1000-1730</v>
      </c>
      <c r="CG495" t="str">
        <f>""</f>
        <v/>
      </c>
      <c r="CH495" t="str">
        <f>"SMTWTFS 0000-2359"</f>
        <v>SMTWTFS 0000-2359</v>
      </c>
    </row>
    <row r="496" spans="1:86" x14ac:dyDescent="0.25">
      <c r="A496" t="s">
        <v>3700</v>
      </c>
      <c r="B496" t="s">
        <v>3701</v>
      </c>
      <c r="C496" t="s">
        <v>1991</v>
      </c>
      <c r="D496" t="s">
        <v>2010</v>
      </c>
      <c r="E496" t="s">
        <v>3702</v>
      </c>
      <c r="F496" t="s">
        <v>3703</v>
      </c>
      <c r="H496" t="s">
        <v>3704</v>
      </c>
      <c r="I496" t="s">
        <v>3705</v>
      </c>
      <c r="J496" t="str">
        <f>"38103"</f>
        <v>38103</v>
      </c>
      <c r="K496" t="s">
        <v>1998</v>
      </c>
      <c r="L496" t="s">
        <v>1999</v>
      </c>
      <c r="M496" t="s">
        <v>3706</v>
      </c>
      <c r="N496" t="s">
        <v>1991</v>
      </c>
      <c r="O496" t="s">
        <v>1991</v>
      </c>
      <c r="P496" t="s">
        <v>1992</v>
      </c>
      <c r="Q496" t="s">
        <v>1991</v>
      </c>
      <c r="R496" t="s">
        <v>1991</v>
      </c>
      <c r="S496" t="s">
        <v>1992</v>
      </c>
      <c r="T496" t="s">
        <v>1992</v>
      </c>
      <c r="U496" t="s">
        <v>1991</v>
      </c>
      <c r="V496" t="s">
        <v>1991</v>
      </c>
      <c r="W496" t="s">
        <v>1991</v>
      </c>
      <c r="X496" t="s">
        <v>1992</v>
      </c>
      <c r="Y496" t="s">
        <v>1992</v>
      </c>
      <c r="Z496" t="s">
        <v>1992</v>
      </c>
      <c r="AE496" t="s">
        <v>2047</v>
      </c>
      <c r="AF496" t="s">
        <v>2001</v>
      </c>
      <c r="AG496" t="s">
        <v>1991</v>
      </c>
      <c r="AH496">
        <v>60</v>
      </c>
      <c r="AI496">
        <v>45</v>
      </c>
      <c r="AJ496" t="s">
        <v>3707</v>
      </c>
      <c r="AK496">
        <v>258</v>
      </c>
      <c r="AL496">
        <v>670900</v>
      </c>
      <c r="AM496" t="s">
        <v>3708</v>
      </c>
      <c r="AN496" t="s">
        <v>1053</v>
      </c>
      <c r="AO496" t="s">
        <v>1053</v>
      </c>
      <c r="AP496" t="s">
        <v>2069</v>
      </c>
      <c r="AQ496" t="s">
        <v>1053</v>
      </c>
      <c r="AR496" t="s">
        <v>2069</v>
      </c>
      <c r="AS496" t="s">
        <v>3700</v>
      </c>
      <c r="AT496" t="s">
        <v>3709</v>
      </c>
      <c r="AU496" t="s">
        <v>1053</v>
      </c>
      <c r="AV496" t="s">
        <v>1053</v>
      </c>
      <c r="AW496" t="s">
        <v>2069</v>
      </c>
      <c r="AX496" t="s">
        <v>1053</v>
      </c>
      <c r="AY496" t="s">
        <v>2069</v>
      </c>
      <c r="AZ496" t="s">
        <v>3700</v>
      </c>
      <c r="BA496" t="s">
        <v>3709</v>
      </c>
      <c r="BB496" t="s">
        <v>1053</v>
      </c>
      <c r="BC496" t="s">
        <v>2069</v>
      </c>
      <c r="BD496" t="s">
        <v>1053</v>
      </c>
      <c r="BE496" t="s">
        <v>2069</v>
      </c>
      <c r="BF496" t="s">
        <v>1053</v>
      </c>
      <c r="BG496" t="s">
        <v>2371</v>
      </c>
      <c r="BH496" t="s">
        <v>339</v>
      </c>
      <c r="BI496" t="s">
        <v>1053</v>
      </c>
      <c r="BJ496" t="s">
        <v>1053</v>
      </c>
      <c r="BK496" t="s">
        <v>1053</v>
      </c>
      <c r="BL496" t="s">
        <v>1053</v>
      </c>
      <c r="BM496" t="s">
        <v>2373</v>
      </c>
      <c r="BN496" t="s">
        <v>2374</v>
      </c>
      <c r="BO496" t="s">
        <v>1053</v>
      </c>
      <c r="BP496" t="s">
        <v>2375</v>
      </c>
      <c r="BQ496" t="s">
        <v>1032</v>
      </c>
      <c r="BR496" t="s">
        <v>1053</v>
      </c>
      <c r="BT496" t="s">
        <v>1053</v>
      </c>
      <c r="BX496" t="str">
        <f>"SMTWTFS 0545-2315"</f>
        <v>SMTWTFS 0545-2315</v>
      </c>
      <c r="BY496" t="str">
        <f>"SMTWTFS 0545-2300"</f>
        <v>SMTWTFS 0545-2300</v>
      </c>
      <c r="BZ496" t="str">
        <f>"SMTWTFS 0545-2300"</f>
        <v>SMTWTFS 0545-2300</v>
      </c>
      <c r="CA496" t="str">
        <f>"SMTWTFS 0545-2300"</f>
        <v>SMTWTFS 0545-2300</v>
      </c>
      <c r="CB496" t="str">
        <f>""</f>
        <v/>
      </c>
      <c r="CC496" t="str">
        <f>"SMTWTFS 0545-2315"</f>
        <v>SMTWTFS 0545-2315</v>
      </c>
      <c r="CD496" t="str">
        <f>""</f>
        <v/>
      </c>
      <c r="CE496" t="str">
        <f>""</f>
        <v/>
      </c>
      <c r="CF496" t="str">
        <f>"SMTWTFS 0545-2300"</f>
        <v>SMTWTFS 0545-2300</v>
      </c>
      <c r="CG496" t="str">
        <f>""</f>
        <v/>
      </c>
      <c r="CH496" t="str">
        <f>""</f>
        <v/>
      </c>
    </row>
    <row r="497" spans="1:86" x14ac:dyDescent="0.25">
      <c r="A497" t="s">
        <v>3710</v>
      </c>
      <c r="B497" t="s">
        <v>3711</v>
      </c>
      <c r="C497" t="s">
        <v>1991</v>
      </c>
      <c r="D497" t="s">
        <v>2010</v>
      </c>
      <c r="E497" t="s">
        <v>3712</v>
      </c>
      <c r="H497" t="s">
        <v>3713</v>
      </c>
      <c r="I497" t="s">
        <v>2032</v>
      </c>
      <c r="J497" t="str">
        <f>"08830-2707"</f>
        <v>08830-2707</v>
      </c>
      <c r="K497" t="s">
        <v>1998</v>
      </c>
      <c r="L497" t="s">
        <v>2033</v>
      </c>
      <c r="M497" t="s">
        <v>2034</v>
      </c>
      <c r="N497" t="s">
        <v>1991</v>
      </c>
      <c r="O497" t="s">
        <v>1991</v>
      </c>
      <c r="P497" t="s">
        <v>1992</v>
      </c>
      <c r="Q497" t="s">
        <v>1992</v>
      </c>
      <c r="R497" t="s">
        <v>1992</v>
      </c>
      <c r="S497" t="s">
        <v>1992</v>
      </c>
      <c r="T497" t="s">
        <v>1992</v>
      </c>
      <c r="U497" t="s">
        <v>1992</v>
      </c>
      <c r="V497" t="s">
        <v>1991</v>
      </c>
      <c r="W497" t="s">
        <v>1991</v>
      </c>
      <c r="X497" t="s">
        <v>1991</v>
      </c>
      <c r="Y497" t="s">
        <v>1992</v>
      </c>
      <c r="Z497" t="s">
        <v>1992</v>
      </c>
      <c r="AA497" t="s">
        <v>1991</v>
      </c>
      <c r="AE497" t="s">
        <v>3714</v>
      </c>
      <c r="AF497" t="s">
        <v>2016</v>
      </c>
      <c r="AG497" t="s">
        <v>1991</v>
      </c>
      <c r="AH497">
        <v>30</v>
      </c>
      <c r="AI497">
        <v>30</v>
      </c>
      <c r="AJ497" t="s">
        <v>3715</v>
      </c>
      <c r="AK497">
        <v>59</v>
      </c>
      <c r="AL497">
        <v>22548</v>
      </c>
      <c r="AN497" t="s">
        <v>1053</v>
      </c>
      <c r="AO497" t="s">
        <v>1053</v>
      </c>
      <c r="AP497" t="s">
        <v>1053</v>
      </c>
      <c r="AQ497" t="s">
        <v>1053</v>
      </c>
      <c r="AS497" t="s">
        <v>3710</v>
      </c>
      <c r="AT497" t="s">
        <v>3716</v>
      </c>
      <c r="AU497" t="s">
        <v>1053</v>
      </c>
      <c r="AV497" t="s">
        <v>1053</v>
      </c>
      <c r="AW497" t="s">
        <v>1053</v>
      </c>
      <c r="AX497" t="s">
        <v>1053</v>
      </c>
      <c r="AZ497" t="s">
        <v>3710</v>
      </c>
      <c r="BA497" t="s">
        <v>3716</v>
      </c>
      <c r="BB497" t="s">
        <v>1053</v>
      </c>
      <c r="BC497" t="s">
        <v>1053</v>
      </c>
      <c r="BD497" t="s">
        <v>1053</v>
      </c>
      <c r="BE497" t="s">
        <v>1053</v>
      </c>
      <c r="BF497" t="s">
        <v>1053</v>
      </c>
      <c r="BG497" t="s">
        <v>1512</v>
      </c>
      <c r="BH497" t="s">
        <v>3717</v>
      </c>
      <c r="BI497" t="s">
        <v>1053</v>
      </c>
      <c r="BJ497" t="s">
        <v>1053</v>
      </c>
      <c r="BK497" t="s">
        <v>1053</v>
      </c>
      <c r="BL497" t="s">
        <v>1053</v>
      </c>
      <c r="BM497" t="s">
        <v>1514</v>
      </c>
      <c r="BN497" t="s">
        <v>1066</v>
      </c>
      <c r="BO497" t="s">
        <v>1053</v>
      </c>
      <c r="BP497" t="s">
        <v>3718</v>
      </c>
      <c r="BQ497" t="s">
        <v>1067</v>
      </c>
      <c r="BR497" t="s">
        <v>1053</v>
      </c>
      <c r="BS497" t="s">
        <v>1053</v>
      </c>
      <c r="BT497" t="s">
        <v>1053</v>
      </c>
      <c r="BU497" t="s">
        <v>1053</v>
      </c>
      <c r="BV497" t="s">
        <v>1068</v>
      </c>
      <c r="BW497" t="s">
        <v>1069</v>
      </c>
      <c r="BX497" t="str">
        <f>"S-----S 0700-2030; -MTWTF- 0530-2230"</f>
        <v>S-----S 0700-2030; -MTWTF- 0530-2230</v>
      </c>
      <c r="BY497" t="str">
        <f>""</f>
        <v/>
      </c>
      <c r="BZ497" t="str">
        <f>""</f>
        <v/>
      </c>
      <c r="CA497" t="str">
        <f>"S-----S 0700-2030; -MTWTF- 0530-2100"</f>
        <v>S-----S 0700-2030; -MTWTF- 0530-2100</v>
      </c>
      <c r="CB497" t="str">
        <f>""</f>
        <v/>
      </c>
      <c r="CC497" t="str">
        <f>"S-----S 0700-2030; -MTWTF- 0530-2230"</f>
        <v>S-----S 0700-2030; -MTWTF- 0530-2230</v>
      </c>
      <c r="CD497" t="str">
        <f>""</f>
        <v/>
      </c>
      <c r="CE497" t="str">
        <f>""</f>
        <v/>
      </c>
      <c r="CF497" t="str">
        <f>""</f>
        <v/>
      </c>
      <c r="CG497" t="str">
        <f>""</f>
        <v/>
      </c>
      <c r="CH497" t="str">
        <f>"SMTWTFS 0000-2359"</f>
        <v>SMTWTFS 0000-2359</v>
      </c>
    </row>
    <row r="498" spans="1:86" x14ac:dyDescent="0.25">
      <c r="A498" t="s">
        <v>3719</v>
      </c>
      <c r="B498" t="s">
        <v>3720</v>
      </c>
      <c r="C498" t="s">
        <v>1992</v>
      </c>
      <c r="D498" t="s">
        <v>1993</v>
      </c>
      <c r="E498" t="s">
        <v>3721</v>
      </c>
      <c r="F498" t="s">
        <v>3722</v>
      </c>
      <c r="H498" t="s">
        <v>3687</v>
      </c>
      <c r="I498" t="s">
        <v>576</v>
      </c>
      <c r="J498" t="str">
        <f>"98272"</f>
        <v>98272</v>
      </c>
      <c r="K498" t="s">
        <v>1998</v>
      </c>
      <c r="L498" t="s">
        <v>231</v>
      </c>
      <c r="M498" t="s">
        <v>2000</v>
      </c>
      <c r="N498" t="s">
        <v>1992</v>
      </c>
      <c r="O498" t="s">
        <v>1992</v>
      </c>
      <c r="P498" t="s">
        <v>1992</v>
      </c>
      <c r="Q498" t="s">
        <v>1992</v>
      </c>
      <c r="R498" t="s">
        <v>1992</v>
      </c>
      <c r="S498" t="s">
        <v>1992</v>
      </c>
      <c r="T498" t="s">
        <v>1992</v>
      </c>
      <c r="U498" t="s">
        <v>1992</v>
      </c>
      <c r="V498" t="s">
        <v>1991</v>
      </c>
      <c r="W498" t="s">
        <v>1992</v>
      </c>
      <c r="X498" t="s">
        <v>1992</v>
      </c>
      <c r="Y498" t="s">
        <v>1992</v>
      </c>
      <c r="Z498" t="s">
        <v>1991</v>
      </c>
      <c r="AB498" t="s">
        <v>3688</v>
      </c>
      <c r="AF498" t="s">
        <v>2064</v>
      </c>
      <c r="AG498" t="s">
        <v>1991</v>
      </c>
      <c r="AH498">
        <v>30</v>
      </c>
      <c r="AI498">
        <v>30</v>
      </c>
      <c r="AJ498" t="s">
        <v>3723</v>
      </c>
      <c r="AK498">
        <v>81</v>
      </c>
      <c r="AL498">
        <v>4278</v>
      </c>
      <c r="AM498" t="s">
        <v>3724</v>
      </c>
      <c r="AN498" t="s">
        <v>3725</v>
      </c>
      <c r="BF498" t="s">
        <v>1053</v>
      </c>
      <c r="BG498" t="s">
        <v>394</v>
      </c>
      <c r="BH498" t="s">
        <v>311</v>
      </c>
      <c r="BI498" t="s">
        <v>1053</v>
      </c>
      <c r="BJ498" t="s">
        <v>1053</v>
      </c>
      <c r="BK498" t="s">
        <v>1053</v>
      </c>
      <c r="BL498" t="s">
        <v>1053</v>
      </c>
      <c r="BO498" t="s">
        <v>357</v>
      </c>
      <c r="BP498" t="s">
        <v>357</v>
      </c>
      <c r="BQ498" t="s">
        <v>357</v>
      </c>
      <c r="BR498" t="s">
        <v>1053</v>
      </c>
      <c r="BX498" t="str">
        <f>""</f>
        <v/>
      </c>
      <c r="BY498" t="str">
        <f>""</f>
        <v/>
      </c>
      <c r="BZ498" t="str">
        <f>""</f>
        <v/>
      </c>
      <c r="CA498" t="str">
        <f>""</f>
        <v/>
      </c>
      <c r="CB498" t="str">
        <f>""</f>
        <v/>
      </c>
      <c r="CC498" t="str">
        <f>""</f>
        <v/>
      </c>
      <c r="CD498" t="str">
        <f>""</f>
        <v/>
      </c>
      <c r="CE498" t="str">
        <f>""</f>
        <v/>
      </c>
      <c r="CF498" t="str">
        <f>""</f>
        <v/>
      </c>
      <c r="CG498" t="str">
        <f>""</f>
        <v/>
      </c>
      <c r="CH498" t="str">
        <f>""</f>
        <v/>
      </c>
    </row>
    <row r="499" spans="1:86" x14ac:dyDescent="0.25">
      <c r="A499" t="s">
        <v>3726</v>
      </c>
      <c r="B499" t="s">
        <v>3727</v>
      </c>
      <c r="C499" t="s">
        <v>1992</v>
      </c>
      <c r="D499" t="s">
        <v>2010</v>
      </c>
      <c r="E499" t="s">
        <v>3728</v>
      </c>
      <c r="F499" t="s">
        <v>3729</v>
      </c>
      <c r="H499" t="s">
        <v>3730</v>
      </c>
      <c r="I499" t="s">
        <v>2295</v>
      </c>
      <c r="J499" t="str">
        <f>"97501"</f>
        <v>97501</v>
      </c>
      <c r="K499" t="s">
        <v>1998</v>
      </c>
      <c r="L499" t="s">
        <v>2062</v>
      </c>
      <c r="M499" t="s">
        <v>2000</v>
      </c>
      <c r="N499" t="s">
        <v>1992</v>
      </c>
      <c r="O499" t="s">
        <v>1992</v>
      </c>
      <c r="P499" t="s">
        <v>1992</v>
      </c>
      <c r="Q499" t="s">
        <v>1992</v>
      </c>
      <c r="R499" t="s">
        <v>1992</v>
      </c>
      <c r="S499" t="s">
        <v>1992</v>
      </c>
      <c r="T499" t="s">
        <v>1992</v>
      </c>
      <c r="U499" t="s">
        <v>1992</v>
      </c>
      <c r="V499" t="s">
        <v>1991</v>
      </c>
      <c r="W499" t="s">
        <v>1992</v>
      </c>
      <c r="X499" t="s">
        <v>1992</v>
      </c>
      <c r="Y499" t="s">
        <v>1991</v>
      </c>
      <c r="Z499" t="s">
        <v>1991</v>
      </c>
      <c r="AA499" t="s">
        <v>1991</v>
      </c>
      <c r="AE499" t="s">
        <v>3731</v>
      </c>
      <c r="AF499" t="s">
        <v>2064</v>
      </c>
      <c r="AG499" t="s">
        <v>1991</v>
      </c>
      <c r="AH499">
        <v>30</v>
      </c>
      <c r="AI499">
        <v>30</v>
      </c>
      <c r="AJ499" t="s">
        <v>3732</v>
      </c>
      <c r="AK499">
        <v>1379</v>
      </c>
      <c r="AL499">
        <v>17000</v>
      </c>
      <c r="AM499" t="s">
        <v>3733</v>
      </c>
      <c r="AN499" t="s">
        <v>450</v>
      </c>
      <c r="AO499" t="s">
        <v>2063</v>
      </c>
      <c r="BF499" t="s">
        <v>1053</v>
      </c>
      <c r="BG499" t="s">
        <v>309</v>
      </c>
      <c r="BH499" t="s">
        <v>2301</v>
      </c>
      <c r="BI499" t="s">
        <v>1053</v>
      </c>
      <c r="BK499" t="s">
        <v>1053</v>
      </c>
      <c r="BO499" t="s">
        <v>1053</v>
      </c>
      <c r="BP499" t="s">
        <v>310</v>
      </c>
      <c r="BQ499" t="s">
        <v>311</v>
      </c>
      <c r="BR499" t="s">
        <v>1053</v>
      </c>
      <c r="BS499" t="s">
        <v>1053</v>
      </c>
      <c r="BT499" t="s">
        <v>1053</v>
      </c>
      <c r="BU499" t="s">
        <v>1053</v>
      </c>
      <c r="BX499" t="str">
        <f>""</f>
        <v/>
      </c>
      <c r="BY499" t="str">
        <f>""</f>
        <v/>
      </c>
      <c r="BZ499" t="str">
        <f>""</f>
        <v/>
      </c>
      <c r="CA499" t="str">
        <f>""</f>
        <v/>
      </c>
      <c r="CB499" t="str">
        <f>""</f>
        <v/>
      </c>
      <c r="CC499" t="str">
        <f>""</f>
        <v/>
      </c>
      <c r="CD499" t="str">
        <f>""</f>
        <v/>
      </c>
      <c r="CE499" t="str">
        <f>""</f>
        <v/>
      </c>
      <c r="CF499" t="str">
        <f>""</f>
        <v/>
      </c>
      <c r="CG499" t="str">
        <f>""</f>
        <v/>
      </c>
      <c r="CH499" t="str">
        <f>""</f>
        <v/>
      </c>
    </row>
    <row r="500" spans="1:86" x14ac:dyDescent="0.25">
      <c r="A500" t="s">
        <v>3734</v>
      </c>
      <c r="B500" t="s">
        <v>3735</v>
      </c>
      <c r="C500" t="s">
        <v>1992</v>
      </c>
      <c r="D500" t="s">
        <v>2028</v>
      </c>
      <c r="E500" t="s">
        <v>3736</v>
      </c>
      <c r="F500" t="s">
        <v>3737</v>
      </c>
      <c r="H500" t="s">
        <v>3738</v>
      </c>
      <c r="I500" t="s">
        <v>558</v>
      </c>
      <c r="J500" t="str">
        <f>"33407"</f>
        <v>33407</v>
      </c>
      <c r="K500" t="s">
        <v>1998</v>
      </c>
      <c r="L500" t="s">
        <v>408</v>
      </c>
      <c r="M500" t="s">
        <v>2000</v>
      </c>
      <c r="N500" t="s">
        <v>1992</v>
      </c>
      <c r="O500" t="s">
        <v>1992</v>
      </c>
      <c r="P500" t="s">
        <v>1992</v>
      </c>
      <c r="Q500" t="s">
        <v>1992</v>
      </c>
      <c r="R500" t="s">
        <v>1992</v>
      </c>
      <c r="S500" t="s">
        <v>1992</v>
      </c>
      <c r="T500" t="s">
        <v>1992</v>
      </c>
      <c r="U500" t="s">
        <v>1992</v>
      </c>
      <c r="V500" t="s">
        <v>1991</v>
      </c>
      <c r="X500" t="s">
        <v>1991</v>
      </c>
      <c r="AF500" t="s">
        <v>2016</v>
      </c>
      <c r="AG500" t="s">
        <v>1991</v>
      </c>
      <c r="AH500">
        <v>30</v>
      </c>
      <c r="AI500">
        <v>60</v>
      </c>
      <c r="AJ500" t="s">
        <v>3739</v>
      </c>
      <c r="AK500">
        <v>17</v>
      </c>
      <c r="AM500" t="s">
        <v>3740</v>
      </c>
      <c r="BX500" t="str">
        <f>""</f>
        <v/>
      </c>
      <c r="BY500" t="str">
        <f>""</f>
        <v/>
      </c>
      <c r="BZ500" t="str">
        <f>""</f>
        <v/>
      </c>
      <c r="CA500" t="str">
        <f>""</f>
        <v/>
      </c>
      <c r="CB500" t="str">
        <f>""</f>
        <v/>
      </c>
      <c r="CC500" t="str">
        <f>""</f>
        <v/>
      </c>
      <c r="CD500" t="str">
        <f>""</f>
        <v/>
      </c>
      <c r="CE500" t="str">
        <f>""</f>
        <v/>
      </c>
      <c r="CF500" t="str">
        <f>""</f>
        <v/>
      </c>
      <c r="CG500" t="str">
        <f>""</f>
        <v/>
      </c>
      <c r="CH500" t="str">
        <f>""</f>
        <v/>
      </c>
    </row>
    <row r="501" spans="1:86" x14ac:dyDescent="0.25">
      <c r="A501" t="s">
        <v>3741</v>
      </c>
      <c r="B501" t="s">
        <v>3742</v>
      </c>
      <c r="C501" t="s">
        <v>1992</v>
      </c>
      <c r="D501" t="s">
        <v>2028</v>
      </c>
      <c r="E501" t="s">
        <v>3743</v>
      </c>
      <c r="F501" t="s">
        <v>4991</v>
      </c>
      <c r="H501" t="s">
        <v>3744</v>
      </c>
      <c r="I501" t="s">
        <v>2061</v>
      </c>
      <c r="J501" t="str">
        <f>"95037-3617"</f>
        <v>95037-3617</v>
      </c>
      <c r="K501" t="s">
        <v>1998</v>
      </c>
      <c r="L501" t="s">
        <v>2062</v>
      </c>
      <c r="M501" t="s">
        <v>2063</v>
      </c>
      <c r="N501" t="s">
        <v>1992</v>
      </c>
      <c r="O501" t="s">
        <v>1992</v>
      </c>
      <c r="P501" t="s">
        <v>1992</v>
      </c>
      <c r="Q501" t="s">
        <v>1992</v>
      </c>
      <c r="R501" t="s">
        <v>1992</v>
      </c>
      <c r="S501" t="s">
        <v>1992</v>
      </c>
      <c r="T501" t="s">
        <v>1992</v>
      </c>
      <c r="U501" t="s">
        <v>1992</v>
      </c>
      <c r="V501" t="s">
        <v>1991</v>
      </c>
      <c r="X501" t="s">
        <v>1991</v>
      </c>
      <c r="Z501" t="s">
        <v>1991</v>
      </c>
      <c r="AF501" t="s">
        <v>2064</v>
      </c>
      <c r="AG501" t="s">
        <v>1991</v>
      </c>
      <c r="AH501">
        <v>15</v>
      </c>
      <c r="AI501">
        <v>15</v>
      </c>
      <c r="AJ501" t="s">
        <v>3745</v>
      </c>
      <c r="AK501">
        <v>353</v>
      </c>
      <c r="BF501" t="s">
        <v>1053</v>
      </c>
      <c r="BG501" t="s">
        <v>309</v>
      </c>
      <c r="BH501" t="s">
        <v>2301</v>
      </c>
      <c r="BI501" t="s">
        <v>1053</v>
      </c>
      <c r="BK501" t="s">
        <v>1053</v>
      </c>
      <c r="BO501" t="s">
        <v>1053</v>
      </c>
      <c r="BP501" t="s">
        <v>310</v>
      </c>
      <c r="BQ501" t="s">
        <v>311</v>
      </c>
      <c r="BR501" t="s">
        <v>1053</v>
      </c>
      <c r="BS501" t="s">
        <v>1053</v>
      </c>
      <c r="BT501" t="s">
        <v>1053</v>
      </c>
      <c r="BU501" t="s">
        <v>1053</v>
      </c>
      <c r="BX501" t="str">
        <f>""</f>
        <v/>
      </c>
      <c r="BY501" t="str">
        <f>""</f>
        <v/>
      </c>
      <c r="BZ501" t="str">
        <f>""</f>
        <v/>
      </c>
      <c r="CA501" t="str">
        <f>""</f>
        <v/>
      </c>
      <c r="CB501" t="str">
        <f>""</f>
        <v/>
      </c>
      <c r="CC501" t="str">
        <f>""</f>
        <v/>
      </c>
      <c r="CD501" t="str">
        <f>""</f>
        <v/>
      </c>
      <c r="CE501" t="str">
        <f>""</f>
        <v/>
      </c>
      <c r="CF501" t="str">
        <f>""</f>
        <v/>
      </c>
      <c r="CG501" t="str">
        <f>""</f>
        <v/>
      </c>
      <c r="CH501" t="str">
        <f>""</f>
        <v/>
      </c>
    </row>
    <row r="502" spans="1:86" x14ac:dyDescent="0.25">
      <c r="A502" t="s">
        <v>3746</v>
      </c>
      <c r="B502" t="s">
        <v>3747</v>
      </c>
      <c r="C502" t="s">
        <v>1991</v>
      </c>
      <c r="D502" t="s">
        <v>2010</v>
      </c>
      <c r="E502" t="s">
        <v>3748</v>
      </c>
      <c r="F502" t="s">
        <v>3749</v>
      </c>
      <c r="H502" t="s">
        <v>3750</v>
      </c>
      <c r="I502" t="s">
        <v>2381</v>
      </c>
      <c r="J502" t="str">
        <f>"75670-5330"</f>
        <v>75670-5330</v>
      </c>
      <c r="K502" t="s">
        <v>1998</v>
      </c>
      <c r="L502" t="s">
        <v>2045</v>
      </c>
      <c r="M502" t="s">
        <v>3751</v>
      </c>
      <c r="N502" t="s">
        <v>1991</v>
      </c>
      <c r="O502" t="s">
        <v>1992</v>
      </c>
      <c r="P502" t="s">
        <v>1992</v>
      </c>
      <c r="Q502" t="s">
        <v>1992</v>
      </c>
      <c r="R502" t="s">
        <v>1992</v>
      </c>
      <c r="S502" t="s">
        <v>1992</v>
      </c>
      <c r="T502" t="s">
        <v>1992</v>
      </c>
      <c r="U502" t="s">
        <v>1991</v>
      </c>
      <c r="V502" t="s">
        <v>1991</v>
      </c>
      <c r="W502" t="s">
        <v>1991</v>
      </c>
      <c r="X502" t="s">
        <v>1992</v>
      </c>
      <c r="Y502" t="s">
        <v>1992</v>
      </c>
      <c r="Z502" t="s">
        <v>1992</v>
      </c>
      <c r="AE502" t="s">
        <v>2047</v>
      </c>
      <c r="AF502" t="s">
        <v>2001</v>
      </c>
      <c r="AG502" t="s">
        <v>1991</v>
      </c>
      <c r="AH502">
        <v>60</v>
      </c>
      <c r="AI502">
        <v>30</v>
      </c>
      <c r="AJ502" t="s">
        <v>3752</v>
      </c>
      <c r="AK502">
        <v>370</v>
      </c>
      <c r="AL502">
        <v>23965</v>
      </c>
      <c r="AN502" t="s">
        <v>1053</v>
      </c>
      <c r="AO502" t="s">
        <v>1053</v>
      </c>
      <c r="AP502" t="s">
        <v>2069</v>
      </c>
      <c r="AQ502" t="s">
        <v>1053</v>
      </c>
      <c r="AR502" t="s">
        <v>2069</v>
      </c>
      <c r="AS502" t="s">
        <v>3746</v>
      </c>
      <c r="AT502" t="s">
        <v>3753</v>
      </c>
      <c r="AU502" t="s">
        <v>1053</v>
      </c>
      <c r="AV502" t="s">
        <v>1053</v>
      </c>
      <c r="AW502" t="s">
        <v>2069</v>
      </c>
      <c r="AX502" t="s">
        <v>1053</v>
      </c>
      <c r="AY502" t="s">
        <v>2069</v>
      </c>
      <c r="AZ502" t="s">
        <v>3395</v>
      </c>
      <c r="BA502" t="s">
        <v>3394</v>
      </c>
      <c r="BB502" t="s">
        <v>1053</v>
      </c>
      <c r="BC502" t="s">
        <v>2069</v>
      </c>
      <c r="BD502" t="s">
        <v>1053</v>
      </c>
      <c r="BE502" t="s">
        <v>2069</v>
      </c>
      <c r="BF502" t="s">
        <v>1053</v>
      </c>
      <c r="BG502" t="s">
        <v>235</v>
      </c>
      <c r="BH502" t="s">
        <v>2098</v>
      </c>
      <c r="BI502" t="s">
        <v>1053</v>
      </c>
      <c r="BJ502" t="s">
        <v>2069</v>
      </c>
      <c r="BK502" t="s">
        <v>1053</v>
      </c>
      <c r="BL502" t="s">
        <v>2069</v>
      </c>
      <c r="BM502" t="s">
        <v>2099</v>
      </c>
      <c r="BN502" t="s">
        <v>2100</v>
      </c>
      <c r="BO502" t="s">
        <v>1053</v>
      </c>
      <c r="BP502" t="s">
        <v>2101</v>
      </c>
      <c r="BQ502" t="s">
        <v>2055</v>
      </c>
      <c r="BR502" t="s">
        <v>1053</v>
      </c>
      <c r="BS502" t="s">
        <v>1053</v>
      </c>
      <c r="BT502" t="s">
        <v>1053</v>
      </c>
      <c r="BU502" t="s">
        <v>1053</v>
      </c>
      <c r="BV502" t="s">
        <v>2056</v>
      </c>
      <c r="BX502" t="str">
        <f>"S-----S 0700-1000 1700-2030; -MTWTF- 0700-1600 1630-2030"</f>
        <v>S-----S 0700-1000 1700-2030; -MTWTF- 0700-1600 1630-2030</v>
      </c>
      <c r="BY502" t="str">
        <f>""</f>
        <v/>
      </c>
      <c r="BZ502" t="str">
        <f>"S-----S 0700-1000 1700-2030; -MTWTF- 0700-1600 1630-2030"</f>
        <v>S-----S 0700-1000 1700-2030; -MTWTF- 0700-1600 1630-2030</v>
      </c>
      <c r="CA502" t="str">
        <f>"S-----S 0700-1000 1700-2030; -MTWTF- 0700-1600 1630-2030"</f>
        <v>S-----S 0700-1000 1700-2030; -MTWTF- 0700-1600 1630-2030</v>
      </c>
      <c r="CB502" t="str">
        <f>""</f>
        <v/>
      </c>
      <c r="CC502" t="str">
        <f>""</f>
        <v/>
      </c>
      <c r="CD502" t="str">
        <f>""</f>
        <v/>
      </c>
      <c r="CE502" t="str">
        <f>""</f>
        <v/>
      </c>
      <c r="CF502" t="str">
        <f>""</f>
        <v/>
      </c>
      <c r="CG502" t="str">
        <f>""</f>
        <v/>
      </c>
      <c r="CH502" t="str">
        <f>"SMTWTFS 0000-2359"</f>
        <v>SMTWTFS 0000-2359</v>
      </c>
    </row>
    <row r="503" spans="1:86" x14ac:dyDescent="0.25">
      <c r="A503" t="s">
        <v>3754</v>
      </c>
      <c r="B503" t="s">
        <v>3755</v>
      </c>
      <c r="C503" t="s">
        <v>1992</v>
      </c>
      <c r="D503" t="s">
        <v>1993</v>
      </c>
      <c r="E503" t="s">
        <v>3756</v>
      </c>
      <c r="F503" t="s">
        <v>3757</v>
      </c>
      <c r="H503" t="s">
        <v>3758</v>
      </c>
      <c r="I503" t="s">
        <v>660</v>
      </c>
      <c r="J503" t="str">
        <f>"03101-2333"</f>
        <v>03101-2333</v>
      </c>
      <c r="K503" t="s">
        <v>1998</v>
      </c>
      <c r="L503" t="s">
        <v>2033</v>
      </c>
      <c r="M503" t="s">
        <v>2000</v>
      </c>
      <c r="N503" t="s">
        <v>1992</v>
      </c>
      <c r="O503" t="s">
        <v>1992</v>
      </c>
      <c r="P503" t="s">
        <v>1992</v>
      </c>
      <c r="Q503" t="s">
        <v>1992</v>
      </c>
      <c r="R503" t="s">
        <v>1992</v>
      </c>
      <c r="S503" t="s">
        <v>1992</v>
      </c>
      <c r="T503" t="s">
        <v>1992</v>
      </c>
      <c r="U503" t="s">
        <v>1992</v>
      </c>
      <c r="V503" t="s">
        <v>1991</v>
      </c>
      <c r="W503" t="s">
        <v>1992</v>
      </c>
      <c r="X503" t="s">
        <v>1992</v>
      </c>
      <c r="Y503" t="s">
        <v>1992</v>
      </c>
      <c r="Z503" t="s">
        <v>1991</v>
      </c>
      <c r="AA503" t="s">
        <v>1992</v>
      </c>
      <c r="AE503" t="s">
        <v>3759</v>
      </c>
      <c r="AF503" t="s">
        <v>2016</v>
      </c>
      <c r="AG503" t="s">
        <v>1991</v>
      </c>
      <c r="AH503">
        <v>30</v>
      </c>
      <c r="AI503">
        <v>30</v>
      </c>
      <c r="AJ503" t="s">
        <v>3760</v>
      </c>
      <c r="AK503">
        <v>175</v>
      </c>
      <c r="BX503" t="str">
        <f>"S------ 0515-1930; -MTWT-- 0515-2030; -----FS 0515-2130"</f>
        <v>S------ 0515-1930; -MTWT-- 0515-2030; -----FS 0515-2130</v>
      </c>
      <c r="BY503" t="str">
        <f>""</f>
        <v/>
      </c>
      <c r="BZ503" t="str">
        <f>""</f>
        <v/>
      </c>
      <c r="CA503" t="str">
        <f>""</f>
        <v/>
      </c>
      <c r="CB503" t="str">
        <f>"S------ 0515-1930; -MTWT-- 0515-2030; -----FS 0515-2130"</f>
        <v>S------ 0515-1930; -MTWT-- 0515-2030; -----FS 0515-2130</v>
      </c>
      <c r="CC503" t="str">
        <f>""</f>
        <v/>
      </c>
      <c r="CD503" t="str">
        <f>""</f>
        <v/>
      </c>
      <c r="CE503" t="str">
        <f>""</f>
        <v/>
      </c>
      <c r="CF503" t="str">
        <f>""</f>
        <v/>
      </c>
      <c r="CG503" t="str">
        <f>""</f>
        <v/>
      </c>
      <c r="CH503" t="str">
        <f>""</f>
        <v/>
      </c>
    </row>
    <row r="504" spans="1:86" x14ac:dyDescent="0.25">
      <c r="A504" t="s">
        <v>3761</v>
      </c>
      <c r="B504" t="s">
        <v>3762</v>
      </c>
      <c r="C504" t="s">
        <v>1991</v>
      </c>
      <c r="D504" t="s">
        <v>2010</v>
      </c>
      <c r="E504" t="s">
        <v>3763</v>
      </c>
      <c r="H504" t="s">
        <v>3764</v>
      </c>
      <c r="I504" t="s">
        <v>558</v>
      </c>
      <c r="J504" t="str">
        <f>"33147"</f>
        <v>33147</v>
      </c>
      <c r="K504" t="s">
        <v>1998</v>
      </c>
      <c r="L504" t="s">
        <v>408</v>
      </c>
      <c r="M504" t="s">
        <v>3765</v>
      </c>
      <c r="N504" t="s">
        <v>1991</v>
      </c>
      <c r="O504" t="s">
        <v>1991</v>
      </c>
      <c r="P504" t="s">
        <v>1992</v>
      </c>
      <c r="Q504" t="s">
        <v>1991</v>
      </c>
      <c r="R504" t="s">
        <v>1991</v>
      </c>
      <c r="S504" t="s">
        <v>1992</v>
      </c>
      <c r="T504" t="s">
        <v>1991</v>
      </c>
      <c r="U504" t="s">
        <v>1991</v>
      </c>
      <c r="V504" t="s">
        <v>1991</v>
      </c>
      <c r="W504" t="s">
        <v>1991</v>
      </c>
      <c r="X504" t="s">
        <v>1991</v>
      </c>
      <c r="Y504" t="s">
        <v>1992</v>
      </c>
      <c r="Z504" t="s">
        <v>1991</v>
      </c>
      <c r="AA504" t="s">
        <v>1991</v>
      </c>
      <c r="AE504" t="s">
        <v>2047</v>
      </c>
      <c r="AF504" t="s">
        <v>2016</v>
      </c>
      <c r="AG504" t="s">
        <v>1991</v>
      </c>
      <c r="AH504">
        <v>60</v>
      </c>
      <c r="AI504">
        <v>30</v>
      </c>
      <c r="AJ504" t="s">
        <v>3766</v>
      </c>
      <c r="AK504">
        <v>4</v>
      </c>
      <c r="AL504">
        <v>404500</v>
      </c>
      <c r="AN504" t="s">
        <v>1053</v>
      </c>
      <c r="AO504" t="s">
        <v>1053</v>
      </c>
      <c r="AP504" t="s">
        <v>1053</v>
      </c>
      <c r="AQ504" t="s">
        <v>1053</v>
      </c>
      <c r="AR504" t="s">
        <v>1053</v>
      </c>
      <c r="AS504" t="s">
        <v>3761</v>
      </c>
      <c r="AT504" t="s">
        <v>3514</v>
      </c>
      <c r="AU504" t="s">
        <v>1053</v>
      </c>
      <c r="AV504" t="s">
        <v>1053</v>
      </c>
      <c r="AW504" t="s">
        <v>1053</v>
      </c>
      <c r="AX504" t="s">
        <v>1053</v>
      </c>
      <c r="AY504" t="s">
        <v>1053</v>
      </c>
      <c r="AZ504" t="s">
        <v>1052</v>
      </c>
      <c r="BA504" t="s">
        <v>3514</v>
      </c>
      <c r="BB504" t="s">
        <v>1053</v>
      </c>
      <c r="BC504" t="s">
        <v>1053</v>
      </c>
      <c r="BD504" t="s">
        <v>1053</v>
      </c>
      <c r="BE504" t="s">
        <v>1053</v>
      </c>
      <c r="BF504" t="s">
        <v>1053</v>
      </c>
      <c r="BG504" t="s">
        <v>3767</v>
      </c>
      <c r="BH504" t="s">
        <v>3768</v>
      </c>
      <c r="BI504" t="s">
        <v>1053</v>
      </c>
      <c r="BJ504" t="s">
        <v>1053</v>
      </c>
      <c r="BK504" t="s">
        <v>1053</v>
      </c>
      <c r="BL504" t="s">
        <v>1053</v>
      </c>
      <c r="BM504" t="s">
        <v>1052</v>
      </c>
      <c r="BN504" t="s">
        <v>3514</v>
      </c>
      <c r="BO504" t="s">
        <v>1053</v>
      </c>
      <c r="BP504" t="s">
        <v>3769</v>
      </c>
      <c r="BQ504" t="s">
        <v>564</v>
      </c>
      <c r="BR504" t="s">
        <v>1053</v>
      </c>
      <c r="BS504" t="s">
        <v>1053</v>
      </c>
      <c r="BT504" t="s">
        <v>1053</v>
      </c>
      <c r="BU504" t="s">
        <v>2069</v>
      </c>
      <c r="BV504" t="s">
        <v>1052</v>
      </c>
      <c r="BW504" t="s">
        <v>357</v>
      </c>
      <c r="BX504" t="str">
        <f>"SMTWTFS 0630-2100"</f>
        <v>SMTWTFS 0630-2100</v>
      </c>
      <c r="BY504" t="str">
        <f>"SMTWTFS 0630-2100"</f>
        <v>SMTWTFS 0630-2100</v>
      </c>
      <c r="BZ504" t="str">
        <f>"SMTWTFS 0630-2100"</f>
        <v>SMTWTFS 0630-2100</v>
      </c>
      <c r="CA504" t="str">
        <f>"SMTWTFS 0630-2100"</f>
        <v>SMTWTFS 0630-2100</v>
      </c>
      <c r="CB504" t="str">
        <f>""</f>
        <v/>
      </c>
      <c r="CC504" t="str">
        <f>"SMTWTFS 0630-2100"</f>
        <v>SMTWTFS 0630-2100</v>
      </c>
      <c r="CD504" t="str">
        <f>""</f>
        <v/>
      </c>
      <c r="CE504" t="str">
        <f>""</f>
        <v/>
      </c>
      <c r="CF504" t="str">
        <f>"SMTWTFS 0800-1700"</f>
        <v>SMTWTFS 0800-1700</v>
      </c>
      <c r="CG504" t="str">
        <f>""</f>
        <v/>
      </c>
      <c r="CH504" t="str">
        <f>""</f>
        <v/>
      </c>
    </row>
    <row r="505" spans="1:86" x14ac:dyDescent="0.25">
      <c r="A505" t="s">
        <v>3770</v>
      </c>
      <c r="B505" t="s">
        <v>3771</v>
      </c>
      <c r="C505" t="s">
        <v>1992</v>
      </c>
      <c r="D505" t="s">
        <v>2028</v>
      </c>
      <c r="E505" t="s">
        <v>3772</v>
      </c>
      <c r="H505" t="s">
        <v>3773</v>
      </c>
      <c r="I505" t="s">
        <v>2388</v>
      </c>
      <c r="J505" t="str">
        <f>"17057"</f>
        <v>17057</v>
      </c>
      <c r="K505" t="s">
        <v>1998</v>
      </c>
      <c r="L505" t="s">
        <v>2015</v>
      </c>
      <c r="M505" t="s">
        <v>2063</v>
      </c>
      <c r="N505" t="s">
        <v>1992</v>
      </c>
      <c r="O505" t="s">
        <v>1992</v>
      </c>
      <c r="P505" t="s">
        <v>1992</v>
      </c>
      <c r="Q505" t="s">
        <v>1992</v>
      </c>
      <c r="R505" t="s">
        <v>1992</v>
      </c>
      <c r="S505" t="s">
        <v>1992</v>
      </c>
      <c r="T505" t="s">
        <v>1992</v>
      </c>
      <c r="U505" t="s">
        <v>1992</v>
      </c>
      <c r="V505" t="s">
        <v>1991</v>
      </c>
      <c r="W505" t="s">
        <v>1991</v>
      </c>
      <c r="X505" t="s">
        <v>1992</v>
      </c>
      <c r="Y505" t="s">
        <v>1992</v>
      </c>
      <c r="Z505" t="s">
        <v>1992</v>
      </c>
      <c r="AF505" t="s">
        <v>2016</v>
      </c>
      <c r="AG505" t="s">
        <v>1991</v>
      </c>
      <c r="AH505">
        <v>30</v>
      </c>
      <c r="AI505">
        <v>30</v>
      </c>
      <c r="AJ505" t="s">
        <v>3774</v>
      </c>
      <c r="AK505">
        <v>303</v>
      </c>
      <c r="AL505">
        <v>8858</v>
      </c>
      <c r="AN505" t="s">
        <v>2066</v>
      </c>
      <c r="AO505" t="s">
        <v>2063</v>
      </c>
      <c r="BF505" t="s">
        <v>1053</v>
      </c>
      <c r="BG505" t="s">
        <v>235</v>
      </c>
      <c r="BH505" t="s">
        <v>3775</v>
      </c>
      <c r="BI505" t="s">
        <v>1053</v>
      </c>
      <c r="BJ505" t="s">
        <v>1053</v>
      </c>
      <c r="BK505" t="s">
        <v>1053</v>
      </c>
      <c r="BL505" t="s">
        <v>1053</v>
      </c>
      <c r="BM505" t="s">
        <v>3642</v>
      </c>
      <c r="BN505" t="s">
        <v>3643</v>
      </c>
      <c r="BO505" t="s">
        <v>1053</v>
      </c>
      <c r="BP505" t="s">
        <v>653</v>
      </c>
      <c r="BQ505" t="s">
        <v>318</v>
      </c>
      <c r="BR505" t="s">
        <v>1053</v>
      </c>
      <c r="BS505" t="s">
        <v>1053</v>
      </c>
      <c r="BT505" t="s">
        <v>1053</v>
      </c>
      <c r="BU505" t="s">
        <v>1053</v>
      </c>
      <c r="BV505" t="s">
        <v>319</v>
      </c>
      <c r="BW505" t="s">
        <v>226</v>
      </c>
      <c r="BX505" t="str">
        <f>""</f>
        <v/>
      </c>
      <c r="BY505" t="str">
        <f>""</f>
        <v/>
      </c>
      <c r="BZ505" t="str">
        <f>""</f>
        <v/>
      </c>
      <c r="CA505" t="str">
        <f>""</f>
        <v/>
      </c>
      <c r="CB505" t="str">
        <f>""</f>
        <v/>
      </c>
      <c r="CC505" t="str">
        <f>""</f>
        <v/>
      </c>
      <c r="CD505" t="str">
        <f>""</f>
        <v/>
      </c>
      <c r="CE505" t="str">
        <f>""</f>
        <v/>
      </c>
      <c r="CF505" t="str">
        <f>""</f>
        <v/>
      </c>
      <c r="CG505" t="str">
        <f>""</f>
        <v/>
      </c>
      <c r="CH505" t="str">
        <f>""</f>
        <v/>
      </c>
    </row>
    <row r="506" spans="1:86" x14ac:dyDescent="0.25">
      <c r="A506" t="s">
        <v>3776</v>
      </c>
      <c r="B506" t="s">
        <v>3777</v>
      </c>
      <c r="C506" t="s">
        <v>1992</v>
      </c>
      <c r="D506" t="s">
        <v>2028</v>
      </c>
      <c r="E506" t="s">
        <v>3778</v>
      </c>
      <c r="H506" t="s">
        <v>3779</v>
      </c>
      <c r="I506" t="s">
        <v>2381</v>
      </c>
      <c r="J506" t="str">
        <f>"75773-2453"</f>
        <v>75773-2453</v>
      </c>
      <c r="K506" t="s">
        <v>1998</v>
      </c>
      <c r="L506" t="s">
        <v>2045</v>
      </c>
      <c r="M506" t="s">
        <v>2063</v>
      </c>
      <c r="N506" t="s">
        <v>1992</v>
      </c>
      <c r="O506" t="s">
        <v>1991</v>
      </c>
      <c r="P506" t="s">
        <v>1992</v>
      </c>
      <c r="Q506" t="s">
        <v>1992</v>
      </c>
      <c r="R506" t="s">
        <v>1992</v>
      </c>
      <c r="S506" t="s">
        <v>1992</v>
      </c>
      <c r="T506" t="s">
        <v>1992</v>
      </c>
      <c r="U506" t="s">
        <v>1992</v>
      </c>
      <c r="V506" t="s">
        <v>1991</v>
      </c>
      <c r="W506" t="s">
        <v>1991</v>
      </c>
      <c r="X506" t="s">
        <v>1992</v>
      </c>
      <c r="Y506" t="s">
        <v>1992</v>
      </c>
      <c r="Z506" t="s">
        <v>1992</v>
      </c>
      <c r="AF506" t="s">
        <v>2001</v>
      </c>
      <c r="AG506" t="s">
        <v>1991</v>
      </c>
      <c r="AH506">
        <v>30</v>
      </c>
      <c r="AI506">
        <v>30</v>
      </c>
      <c r="AJ506" t="s">
        <v>3780</v>
      </c>
      <c r="AK506">
        <v>411</v>
      </c>
      <c r="AL506">
        <v>5091</v>
      </c>
      <c r="AN506" t="s">
        <v>2066</v>
      </c>
      <c r="AO506" t="s">
        <v>2063</v>
      </c>
      <c r="BF506" t="s">
        <v>1053</v>
      </c>
      <c r="BG506" t="s">
        <v>235</v>
      </c>
      <c r="BH506" t="s">
        <v>2098</v>
      </c>
      <c r="BI506" t="s">
        <v>1053</v>
      </c>
      <c r="BJ506" t="s">
        <v>2069</v>
      </c>
      <c r="BK506" t="s">
        <v>1053</v>
      </c>
      <c r="BL506" t="s">
        <v>2069</v>
      </c>
      <c r="BM506" t="s">
        <v>2099</v>
      </c>
      <c r="BN506" t="s">
        <v>2100</v>
      </c>
      <c r="BO506" t="s">
        <v>1053</v>
      </c>
      <c r="BP506" t="s">
        <v>2101</v>
      </c>
      <c r="BQ506" t="s">
        <v>2055</v>
      </c>
      <c r="BR506" t="s">
        <v>1053</v>
      </c>
      <c r="BS506" t="s">
        <v>1053</v>
      </c>
      <c r="BT506" t="s">
        <v>1053</v>
      </c>
      <c r="BU506" t="s">
        <v>1053</v>
      </c>
      <c r="BV506" t="s">
        <v>2056</v>
      </c>
      <c r="BX506" t="str">
        <f>"SMTWTFS 0900-1800"</f>
        <v>SMTWTFS 0900-1800</v>
      </c>
      <c r="BY506" t="str">
        <f>""</f>
        <v/>
      </c>
      <c r="BZ506" t="str">
        <f>""</f>
        <v/>
      </c>
      <c r="CA506" t="str">
        <f>""</f>
        <v/>
      </c>
      <c r="CB506" t="str">
        <f>""</f>
        <v/>
      </c>
      <c r="CC506" t="str">
        <f>"SMTWTFS 0900-1800"</f>
        <v>SMTWTFS 0900-1800</v>
      </c>
      <c r="CD506" t="str">
        <f>""</f>
        <v/>
      </c>
      <c r="CE506" t="str">
        <f>""</f>
        <v/>
      </c>
      <c r="CF506" t="str">
        <f>""</f>
        <v/>
      </c>
      <c r="CG506" t="str">
        <f>""</f>
        <v/>
      </c>
      <c r="CH506" t="str">
        <f>""</f>
        <v/>
      </c>
    </row>
    <row r="507" spans="1:86" x14ac:dyDescent="0.25">
      <c r="A507" t="s">
        <v>3781</v>
      </c>
      <c r="B507" t="s">
        <v>3782</v>
      </c>
      <c r="C507" t="s">
        <v>1992</v>
      </c>
      <c r="D507" t="s">
        <v>2028</v>
      </c>
      <c r="E507" t="s">
        <v>3783</v>
      </c>
      <c r="H507" t="s">
        <v>3784</v>
      </c>
      <c r="I507" t="s">
        <v>2388</v>
      </c>
      <c r="J507" t="str">
        <f>"17552"</f>
        <v>17552</v>
      </c>
      <c r="K507" t="s">
        <v>1998</v>
      </c>
      <c r="L507" t="s">
        <v>2015</v>
      </c>
      <c r="M507" t="s">
        <v>2063</v>
      </c>
      <c r="N507" t="s">
        <v>1992</v>
      </c>
      <c r="O507" t="s">
        <v>1992</v>
      </c>
      <c r="P507" t="s">
        <v>1992</v>
      </c>
      <c r="Q507" t="s">
        <v>1992</v>
      </c>
      <c r="R507" t="s">
        <v>1992</v>
      </c>
      <c r="S507" t="s">
        <v>1992</v>
      </c>
      <c r="T507" t="s">
        <v>1992</v>
      </c>
      <c r="U507" t="s">
        <v>1992</v>
      </c>
      <c r="V507" t="s">
        <v>1991</v>
      </c>
      <c r="W507" t="s">
        <v>1991</v>
      </c>
      <c r="X507" t="s">
        <v>1991</v>
      </c>
      <c r="Y507" t="s">
        <v>1992</v>
      </c>
      <c r="Z507" t="s">
        <v>1992</v>
      </c>
      <c r="AF507" t="s">
        <v>2016</v>
      </c>
      <c r="AG507" t="s">
        <v>1991</v>
      </c>
      <c r="AH507">
        <v>30</v>
      </c>
      <c r="AI507">
        <v>30</v>
      </c>
      <c r="AJ507" t="s">
        <v>3785</v>
      </c>
      <c r="AK507">
        <v>366</v>
      </c>
      <c r="AL507">
        <v>7056</v>
      </c>
      <c r="BF507" t="s">
        <v>1053</v>
      </c>
      <c r="BG507" t="s">
        <v>235</v>
      </c>
      <c r="BH507" t="s">
        <v>1395</v>
      </c>
      <c r="BI507" t="s">
        <v>1053</v>
      </c>
      <c r="BJ507" t="s">
        <v>1053</v>
      </c>
      <c r="BK507" t="s">
        <v>1053</v>
      </c>
      <c r="BL507" t="s">
        <v>1053</v>
      </c>
      <c r="BM507" t="s">
        <v>3642</v>
      </c>
      <c r="BN507" t="s">
        <v>3643</v>
      </c>
      <c r="BO507" t="s">
        <v>1053</v>
      </c>
      <c r="BP507" t="s">
        <v>653</v>
      </c>
      <c r="BQ507" t="s">
        <v>318</v>
      </c>
      <c r="BR507" t="s">
        <v>1053</v>
      </c>
      <c r="BS507" t="s">
        <v>1053</v>
      </c>
      <c r="BT507" t="s">
        <v>1053</v>
      </c>
      <c r="BU507" t="s">
        <v>1053</v>
      </c>
      <c r="BV507" t="s">
        <v>319</v>
      </c>
      <c r="BW507" t="s">
        <v>226</v>
      </c>
      <c r="BX507" t="str">
        <f>""</f>
        <v/>
      </c>
      <c r="BY507" t="str">
        <f>""</f>
        <v/>
      </c>
      <c r="BZ507" t="str">
        <f>""</f>
        <v/>
      </c>
      <c r="CA507" t="str">
        <f>""</f>
        <v/>
      </c>
      <c r="CB507" t="str">
        <f>""</f>
        <v/>
      </c>
      <c r="CC507" t="str">
        <f>""</f>
        <v/>
      </c>
      <c r="CD507" t="str">
        <f>""</f>
        <v/>
      </c>
      <c r="CE507" t="str">
        <f>""</f>
        <v/>
      </c>
      <c r="CF507" t="str">
        <f>""</f>
        <v/>
      </c>
      <c r="CG507" t="str">
        <f>""</f>
        <v/>
      </c>
      <c r="CH507" t="str">
        <f>""</f>
        <v/>
      </c>
    </row>
    <row r="508" spans="1:86" x14ac:dyDescent="0.25">
      <c r="A508" t="s">
        <v>3786</v>
      </c>
      <c r="B508" t="s">
        <v>3787</v>
      </c>
      <c r="C508" t="s">
        <v>1992</v>
      </c>
      <c r="D508" t="s">
        <v>2010</v>
      </c>
      <c r="E508" t="s">
        <v>3788</v>
      </c>
      <c r="F508" t="s">
        <v>3789</v>
      </c>
      <c r="H508" t="s">
        <v>3790</v>
      </c>
      <c r="I508" t="s">
        <v>1997</v>
      </c>
      <c r="J508" t="str">
        <f>"53221"</f>
        <v>53221</v>
      </c>
      <c r="K508" t="s">
        <v>1998</v>
      </c>
      <c r="L508" t="s">
        <v>1999</v>
      </c>
      <c r="M508" t="s">
        <v>2063</v>
      </c>
      <c r="N508" t="s">
        <v>1992</v>
      </c>
      <c r="O508" t="s">
        <v>1991</v>
      </c>
      <c r="P508" t="s">
        <v>1992</v>
      </c>
      <c r="Q508" t="s">
        <v>1992</v>
      </c>
      <c r="R508" t="s">
        <v>1992</v>
      </c>
      <c r="S508" t="s">
        <v>1992</v>
      </c>
      <c r="T508" t="s">
        <v>1992</v>
      </c>
      <c r="U508" t="s">
        <v>1992</v>
      </c>
      <c r="V508" t="s">
        <v>1991</v>
      </c>
      <c r="W508" t="s">
        <v>1991</v>
      </c>
      <c r="Y508" t="s">
        <v>1992</v>
      </c>
      <c r="Z508" t="s">
        <v>1992</v>
      </c>
      <c r="AF508" t="s">
        <v>2001</v>
      </c>
      <c r="AG508" t="s">
        <v>1991</v>
      </c>
      <c r="AH508">
        <v>30</v>
      </c>
      <c r="AI508">
        <v>30</v>
      </c>
      <c r="AJ508" t="s">
        <v>3791</v>
      </c>
      <c r="AK508">
        <v>729</v>
      </c>
      <c r="AL508">
        <v>573358</v>
      </c>
      <c r="AM508" t="s">
        <v>5065</v>
      </c>
      <c r="AN508" t="s">
        <v>5066</v>
      </c>
      <c r="AO508" t="s">
        <v>2311</v>
      </c>
      <c r="BF508" t="s">
        <v>1053</v>
      </c>
      <c r="BG508" t="s">
        <v>703</v>
      </c>
      <c r="BH508" t="s">
        <v>949</v>
      </c>
      <c r="BI508" t="s">
        <v>1053</v>
      </c>
      <c r="BJ508" t="s">
        <v>2069</v>
      </c>
      <c r="BK508" t="s">
        <v>1053</v>
      </c>
      <c r="BL508" t="s">
        <v>2069</v>
      </c>
      <c r="BM508" t="s">
        <v>287</v>
      </c>
      <c r="BN508" t="s">
        <v>288</v>
      </c>
      <c r="BO508" t="s">
        <v>1053</v>
      </c>
      <c r="BP508" t="s">
        <v>1563</v>
      </c>
      <c r="BQ508" t="s">
        <v>2006</v>
      </c>
      <c r="BR508" t="s">
        <v>1053</v>
      </c>
      <c r="BS508" t="s">
        <v>1053</v>
      </c>
      <c r="BT508" t="s">
        <v>1053</v>
      </c>
      <c r="BU508" t="s">
        <v>1053</v>
      </c>
      <c r="BV508" t="s">
        <v>951</v>
      </c>
      <c r="BW508" t="s">
        <v>952</v>
      </c>
      <c r="BX508" t="str">
        <f>"S------ 0745-2200; -MTWTFS 0600-2200"</f>
        <v>S------ 0745-2200; -MTWTFS 0600-2200</v>
      </c>
      <c r="BY508" t="str">
        <f>""</f>
        <v/>
      </c>
      <c r="BZ508" t="str">
        <f>""</f>
        <v/>
      </c>
      <c r="CA508" t="str">
        <f>""</f>
        <v/>
      </c>
      <c r="CB508" t="str">
        <f>""</f>
        <v/>
      </c>
      <c r="CC508" t="str">
        <f>"S------ 0745-2200; -MTWTFS 0600-2200"</f>
        <v>S------ 0745-2200; -MTWTFS 0600-2200</v>
      </c>
      <c r="CD508" t="str">
        <f>""</f>
        <v/>
      </c>
      <c r="CE508" t="str">
        <f>""</f>
        <v/>
      </c>
      <c r="CF508" t="str">
        <f>""</f>
        <v/>
      </c>
      <c r="CG508" t="str">
        <f>""</f>
        <v/>
      </c>
      <c r="CH508" t="str">
        <f>"SMTWTFS 0001-2359"</f>
        <v>SMTWTFS 0001-2359</v>
      </c>
    </row>
    <row r="509" spans="1:86" x14ac:dyDescent="0.25">
      <c r="A509" t="s">
        <v>5067</v>
      </c>
      <c r="B509" t="s">
        <v>5068</v>
      </c>
      <c r="C509" t="s">
        <v>1991</v>
      </c>
      <c r="D509" t="s">
        <v>2010</v>
      </c>
      <c r="E509" t="s">
        <v>5069</v>
      </c>
      <c r="H509" t="s">
        <v>3790</v>
      </c>
      <c r="I509" t="s">
        <v>1997</v>
      </c>
      <c r="J509" t="str">
        <f>"53203"</f>
        <v>53203</v>
      </c>
      <c r="K509" t="s">
        <v>1998</v>
      </c>
      <c r="L509" t="s">
        <v>1999</v>
      </c>
      <c r="M509" t="s">
        <v>5070</v>
      </c>
      <c r="N509" t="s">
        <v>1991</v>
      </c>
      <c r="O509" t="s">
        <v>1991</v>
      </c>
      <c r="P509" t="s">
        <v>1992</v>
      </c>
      <c r="Q509" t="s">
        <v>1991</v>
      </c>
      <c r="R509" t="s">
        <v>1991</v>
      </c>
      <c r="S509" t="s">
        <v>1992</v>
      </c>
      <c r="T509" t="s">
        <v>1992</v>
      </c>
      <c r="U509" t="s">
        <v>1991</v>
      </c>
      <c r="V509" t="s">
        <v>1991</v>
      </c>
      <c r="W509" t="s">
        <v>1991</v>
      </c>
      <c r="X509" t="s">
        <v>1992</v>
      </c>
      <c r="Y509" t="s">
        <v>1992</v>
      </c>
      <c r="Z509" t="s">
        <v>1991</v>
      </c>
      <c r="AA509" t="s">
        <v>1991</v>
      </c>
      <c r="AE509" t="s">
        <v>5071</v>
      </c>
      <c r="AF509" t="s">
        <v>2001</v>
      </c>
      <c r="AG509" t="s">
        <v>1991</v>
      </c>
      <c r="AH509">
        <v>60</v>
      </c>
      <c r="AI509">
        <v>30</v>
      </c>
      <c r="AJ509" t="s">
        <v>5072</v>
      </c>
      <c r="AK509">
        <v>587</v>
      </c>
      <c r="AL509">
        <v>604477</v>
      </c>
      <c r="AM509" t="s">
        <v>5073</v>
      </c>
      <c r="AN509" t="s">
        <v>1053</v>
      </c>
      <c r="AO509" t="s">
        <v>1053</v>
      </c>
      <c r="AP509" t="s">
        <v>2069</v>
      </c>
      <c r="AQ509" t="s">
        <v>1053</v>
      </c>
      <c r="AR509" t="s">
        <v>2069</v>
      </c>
      <c r="AS509" t="s">
        <v>5067</v>
      </c>
      <c r="AT509" t="s">
        <v>288</v>
      </c>
      <c r="AU509" t="s">
        <v>1053</v>
      </c>
      <c r="AV509" t="s">
        <v>1053</v>
      </c>
      <c r="AW509" t="s">
        <v>2069</v>
      </c>
      <c r="AX509" t="s">
        <v>1053</v>
      </c>
      <c r="AY509" t="s">
        <v>2069</v>
      </c>
      <c r="AZ509" t="s">
        <v>5067</v>
      </c>
      <c r="BA509" t="s">
        <v>288</v>
      </c>
      <c r="BB509" t="s">
        <v>1053</v>
      </c>
      <c r="BC509" t="s">
        <v>2069</v>
      </c>
      <c r="BD509" t="s">
        <v>1053</v>
      </c>
      <c r="BE509" t="s">
        <v>2069</v>
      </c>
      <c r="BF509" t="s">
        <v>1053</v>
      </c>
      <c r="BG509" t="s">
        <v>703</v>
      </c>
      <c r="BH509" t="s">
        <v>949</v>
      </c>
      <c r="BI509" t="s">
        <v>1053</v>
      </c>
      <c r="BJ509" t="s">
        <v>2069</v>
      </c>
      <c r="BK509" t="s">
        <v>1053</v>
      </c>
      <c r="BL509" t="s">
        <v>2069</v>
      </c>
      <c r="BM509" t="s">
        <v>287</v>
      </c>
      <c r="BN509" t="s">
        <v>2423</v>
      </c>
      <c r="BO509" t="s">
        <v>1053</v>
      </c>
      <c r="BP509" t="s">
        <v>2514</v>
      </c>
      <c r="BQ509" t="s">
        <v>2006</v>
      </c>
      <c r="BR509" t="s">
        <v>1053</v>
      </c>
      <c r="BS509" t="s">
        <v>1053</v>
      </c>
      <c r="BT509" t="s">
        <v>1053</v>
      </c>
      <c r="BU509" t="s">
        <v>1053</v>
      </c>
      <c r="BV509" t="s">
        <v>951</v>
      </c>
      <c r="BW509" t="s">
        <v>952</v>
      </c>
      <c r="BX509" t="str">
        <f>"SMTWTFS 0530-2200"</f>
        <v>SMTWTFS 0530-2200</v>
      </c>
      <c r="BY509" t="str">
        <f>"SMTWTFS 0530-2100"</f>
        <v>SMTWTFS 0530-2100</v>
      </c>
      <c r="BZ509" t="str">
        <f>"SMTWTFS 0530-2100"</f>
        <v>SMTWTFS 0530-2100</v>
      </c>
      <c r="CA509" t="str">
        <f>"SMTWTFS 0530-2100"</f>
        <v>SMTWTFS 0530-2100</v>
      </c>
      <c r="CB509" t="str">
        <f>""</f>
        <v/>
      </c>
      <c r="CC509" t="str">
        <f>"SMTWTFS 0530-2200"</f>
        <v>SMTWTFS 0530-2200</v>
      </c>
      <c r="CD509" t="str">
        <f>""</f>
        <v/>
      </c>
      <c r="CE509" t="str">
        <f>""</f>
        <v/>
      </c>
      <c r="CF509" t="str">
        <f>"SMTWTFS 0930-1730"</f>
        <v>SMTWTFS 0930-1730</v>
      </c>
      <c r="CG509" t="str">
        <f>""</f>
        <v/>
      </c>
      <c r="CH509" t="str">
        <f>""</f>
        <v/>
      </c>
    </row>
    <row r="510" spans="1:86" x14ac:dyDescent="0.25">
      <c r="A510" t="s">
        <v>5074</v>
      </c>
      <c r="B510" t="s">
        <v>5075</v>
      </c>
      <c r="C510" t="s">
        <v>1992</v>
      </c>
      <c r="D510" t="s">
        <v>1993</v>
      </c>
      <c r="E510" t="s">
        <v>5076</v>
      </c>
      <c r="F510" t="s">
        <v>5077</v>
      </c>
      <c r="H510" t="s">
        <v>5078</v>
      </c>
      <c r="I510" t="s">
        <v>2061</v>
      </c>
      <c r="J510" t="str">
        <f>"95519-9358"</f>
        <v>95519-9358</v>
      </c>
      <c r="K510" t="s">
        <v>1998</v>
      </c>
      <c r="L510" t="s">
        <v>2062</v>
      </c>
      <c r="M510" t="s">
        <v>2000</v>
      </c>
      <c r="N510" t="s">
        <v>1992</v>
      </c>
      <c r="O510" t="s">
        <v>1992</v>
      </c>
      <c r="P510" t="s">
        <v>1992</v>
      </c>
      <c r="Q510" t="s">
        <v>1992</v>
      </c>
      <c r="R510" t="s">
        <v>1992</v>
      </c>
      <c r="S510" t="s">
        <v>1992</v>
      </c>
      <c r="T510" t="s">
        <v>1992</v>
      </c>
      <c r="U510" t="s">
        <v>1992</v>
      </c>
      <c r="V510" t="s">
        <v>1991</v>
      </c>
      <c r="W510" t="s">
        <v>1992</v>
      </c>
      <c r="X510" t="s">
        <v>1992</v>
      </c>
      <c r="Y510" t="s">
        <v>1991</v>
      </c>
      <c r="Z510" t="s">
        <v>1992</v>
      </c>
      <c r="AF510" t="s">
        <v>2064</v>
      </c>
      <c r="AG510" t="s">
        <v>1991</v>
      </c>
      <c r="AH510">
        <v>30</v>
      </c>
      <c r="AI510">
        <v>30</v>
      </c>
      <c r="AJ510" t="s">
        <v>5079</v>
      </c>
      <c r="AK510">
        <v>205</v>
      </c>
      <c r="AM510" t="s">
        <v>2298</v>
      </c>
      <c r="AN510" t="s">
        <v>3819</v>
      </c>
      <c r="AO510" t="s">
        <v>2063</v>
      </c>
      <c r="BF510" t="s">
        <v>1053</v>
      </c>
      <c r="BG510" t="s">
        <v>309</v>
      </c>
      <c r="BH510" t="s">
        <v>2301</v>
      </c>
      <c r="BI510" t="s">
        <v>1053</v>
      </c>
      <c r="BK510" t="s">
        <v>1053</v>
      </c>
      <c r="BO510" t="s">
        <v>1053</v>
      </c>
      <c r="BP510" t="s">
        <v>310</v>
      </c>
      <c r="BQ510" t="s">
        <v>311</v>
      </c>
      <c r="BR510" t="s">
        <v>1053</v>
      </c>
      <c r="BS510" t="s">
        <v>1053</v>
      </c>
      <c r="BT510" t="s">
        <v>1053</v>
      </c>
      <c r="BU510" t="s">
        <v>1053</v>
      </c>
      <c r="BX510" t="str">
        <f>""</f>
        <v/>
      </c>
      <c r="BY510" t="str">
        <f>""</f>
        <v/>
      </c>
      <c r="BZ510" t="str">
        <f>""</f>
        <v/>
      </c>
      <c r="CA510" t="str">
        <f>""</f>
        <v/>
      </c>
      <c r="CB510" t="str">
        <f>""</f>
        <v/>
      </c>
      <c r="CC510" t="str">
        <f>""</f>
        <v/>
      </c>
      <c r="CD510" t="str">
        <f>""</f>
        <v/>
      </c>
      <c r="CE510" t="str">
        <f>""</f>
        <v/>
      </c>
      <c r="CF510" t="str">
        <f>""</f>
        <v/>
      </c>
      <c r="CG510" t="str">
        <f>""</f>
        <v/>
      </c>
      <c r="CH510" t="str">
        <f>""</f>
        <v/>
      </c>
    </row>
    <row r="511" spans="1:86" x14ac:dyDescent="0.25">
      <c r="A511" t="s">
        <v>5080</v>
      </c>
      <c r="B511" t="s">
        <v>5081</v>
      </c>
      <c r="C511" t="s">
        <v>1992</v>
      </c>
      <c r="D511" t="s">
        <v>2010</v>
      </c>
      <c r="E511" t="s">
        <v>5082</v>
      </c>
      <c r="F511" t="s">
        <v>5083</v>
      </c>
      <c r="H511" t="s">
        <v>5084</v>
      </c>
      <c r="I511" t="s">
        <v>2367</v>
      </c>
      <c r="J511" t="str">
        <f>"61265-1302"</f>
        <v>61265-1302</v>
      </c>
      <c r="K511" t="s">
        <v>1998</v>
      </c>
      <c r="L511" t="s">
        <v>1999</v>
      </c>
      <c r="M511" t="s">
        <v>5085</v>
      </c>
      <c r="N511" t="s">
        <v>1992</v>
      </c>
      <c r="O511" t="s">
        <v>1992</v>
      </c>
      <c r="P511" t="s">
        <v>1992</v>
      </c>
      <c r="Q511" t="s">
        <v>1992</v>
      </c>
      <c r="R511" t="s">
        <v>1992</v>
      </c>
      <c r="S511" t="s">
        <v>1992</v>
      </c>
      <c r="T511" t="s">
        <v>1992</v>
      </c>
      <c r="U511" t="s">
        <v>1992</v>
      </c>
      <c r="V511" t="s">
        <v>1991</v>
      </c>
      <c r="W511" t="s">
        <v>1992</v>
      </c>
      <c r="X511" t="s">
        <v>1992</v>
      </c>
      <c r="Y511" t="s">
        <v>1992</v>
      </c>
      <c r="Z511" t="s">
        <v>1991</v>
      </c>
      <c r="AE511" t="s">
        <v>5086</v>
      </c>
      <c r="AF511" t="s">
        <v>2001</v>
      </c>
      <c r="AG511" t="s">
        <v>1991</v>
      </c>
      <c r="AH511">
        <v>30</v>
      </c>
      <c r="AI511">
        <v>30</v>
      </c>
      <c r="AJ511" t="s">
        <v>5087</v>
      </c>
      <c r="AK511">
        <v>571</v>
      </c>
      <c r="AN511" t="s">
        <v>5088</v>
      </c>
      <c r="AO511" t="s">
        <v>2311</v>
      </c>
      <c r="BF511" t="s">
        <v>1053</v>
      </c>
      <c r="BG511" t="s">
        <v>2548</v>
      </c>
      <c r="BH511" t="s">
        <v>176</v>
      </c>
      <c r="BI511" t="s">
        <v>1053</v>
      </c>
      <c r="BJ511" t="s">
        <v>1053</v>
      </c>
      <c r="BK511" t="s">
        <v>1053</v>
      </c>
      <c r="BL511" t="s">
        <v>1053</v>
      </c>
      <c r="BM511" t="s">
        <v>5232</v>
      </c>
      <c r="BN511" t="s">
        <v>2374</v>
      </c>
      <c r="BO511" t="s">
        <v>1053</v>
      </c>
      <c r="BP511" t="s">
        <v>3838</v>
      </c>
      <c r="BQ511" t="s">
        <v>2523</v>
      </c>
      <c r="BR511" t="s">
        <v>1053</v>
      </c>
      <c r="BS511" t="s">
        <v>1053</v>
      </c>
      <c r="BT511" t="s">
        <v>1053</v>
      </c>
      <c r="BU511" t="s">
        <v>1053</v>
      </c>
      <c r="BV511" t="s">
        <v>987</v>
      </c>
      <c r="BX511" t="str">
        <f>"SMTWTFS 0001-2359"</f>
        <v>SMTWTFS 0001-2359</v>
      </c>
      <c r="BY511" t="str">
        <f>""</f>
        <v/>
      </c>
      <c r="BZ511" t="str">
        <f>""</f>
        <v/>
      </c>
      <c r="CA511" t="str">
        <f>""</f>
        <v/>
      </c>
      <c r="CB511" t="str">
        <f>""</f>
        <v/>
      </c>
      <c r="CC511" t="str">
        <f>""</f>
        <v/>
      </c>
      <c r="CD511" t="str">
        <f>""</f>
        <v/>
      </c>
      <c r="CE511" t="str">
        <f>""</f>
        <v/>
      </c>
      <c r="CF511" t="str">
        <f>""</f>
        <v/>
      </c>
      <c r="CG511" t="str">
        <f>""</f>
        <v/>
      </c>
      <c r="CH511" t="str">
        <f>""</f>
        <v/>
      </c>
    </row>
    <row r="512" spans="1:86" x14ac:dyDescent="0.25">
      <c r="A512" t="s">
        <v>5089</v>
      </c>
      <c r="B512" t="s">
        <v>5090</v>
      </c>
      <c r="C512" t="s">
        <v>1992</v>
      </c>
      <c r="D512" t="s">
        <v>1993</v>
      </c>
      <c r="E512" t="s">
        <v>5091</v>
      </c>
      <c r="F512" t="s">
        <v>5092</v>
      </c>
      <c r="H512" t="s">
        <v>5093</v>
      </c>
      <c r="I512" t="s">
        <v>576</v>
      </c>
      <c r="J512" t="str">
        <f>"98837"</f>
        <v>98837</v>
      </c>
      <c r="K512" t="s">
        <v>1998</v>
      </c>
      <c r="L512" t="s">
        <v>231</v>
      </c>
      <c r="M512" t="s">
        <v>2063</v>
      </c>
      <c r="N512" t="s">
        <v>1992</v>
      </c>
      <c r="O512" t="s">
        <v>1992</v>
      </c>
      <c r="P512" t="s">
        <v>1992</v>
      </c>
      <c r="Q512" t="s">
        <v>1992</v>
      </c>
      <c r="R512" t="s">
        <v>1992</v>
      </c>
      <c r="S512" t="s">
        <v>1992</v>
      </c>
      <c r="T512" t="s">
        <v>1992</v>
      </c>
      <c r="U512" t="s">
        <v>1992</v>
      </c>
      <c r="V512" t="s">
        <v>1991</v>
      </c>
      <c r="W512" t="s">
        <v>1992</v>
      </c>
      <c r="X512" t="s">
        <v>1992</v>
      </c>
      <c r="Y512" t="s">
        <v>1992</v>
      </c>
      <c r="Z512" t="s">
        <v>1991</v>
      </c>
      <c r="AE512" t="s">
        <v>746</v>
      </c>
      <c r="AF512" t="s">
        <v>2064</v>
      </c>
      <c r="AG512" t="s">
        <v>1991</v>
      </c>
      <c r="AH512">
        <v>30</v>
      </c>
      <c r="AI512">
        <v>30</v>
      </c>
      <c r="AJ512" t="s">
        <v>5094</v>
      </c>
      <c r="AK512">
        <v>1196</v>
      </c>
      <c r="AL512">
        <v>11235</v>
      </c>
      <c r="AM512" t="s">
        <v>2298</v>
      </c>
      <c r="AN512" t="s">
        <v>3121</v>
      </c>
      <c r="AO512" t="s">
        <v>2063</v>
      </c>
      <c r="BF512" t="s">
        <v>1053</v>
      </c>
      <c r="BG512" t="s">
        <v>5224</v>
      </c>
      <c r="BH512" t="s">
        <v>2055</v>
      </c>
      <c r="BI512" t="s">
        <v>1053</v>
      </c>
      <c r="BJ512" t="s">
        <v>1053</v>
      </c>
      <c r="BK512" t="s">
        <v>1053</v>
      </c>
      <c r="BL512" t="s">
        <v>1053</v>
      </c>
      <c r="BX512" t="str">
        <f>""</f>
        <v/>
      </c>
      <c r="BY512" t="str">
        <f>""</f>
        <v/>
      </c>
      <c r="BZ512" t="str">
        <f>""</f>
        <v/>
      </c>
      <c r="CA512" t="str">
        <f>""</f>
        <v/>
      </c>
      <c r="CB512" t="str">
        <f>""</f>
        <v/>
      </c>
      <c r="CC512" t="str">
        <f>""</f>
        <v/>
      </c>
      <c r="CD512" t="str">
        <f>""</f>
        <v/>
      </c>
      <c r="CE512" t="str">
        <f>""</f>
        <v/>
      </c>
      <c r="CF512" t="str">
        <f>""</f>
        <v/>
      </c>
      <c r="CG512" t="str">
        <f>""</f>
        <v/>
      </c>
      <c r="CH512" t="str">
        <f>""</f>
        <v/>
      </c>
    </row>
    <row r="513" spans="1:86" x14ac:dyDescent="0.25">
      <c r="A513" t="s">
        <v>5095</v>
      </c>
      <c r="B513" t="s">
        <v>5096</v>
      </c>
      <c r="C513" t="s">
        <v>1992</v>
      </c>
      <c r="D513" t="s">
        <v>1993</v>
      </c>
      <c r="E513" t="s">
        <v>5097</v>
      </c>
      <c r="F513" t="s">
        <v>5098</v>
      </c>
      <c r="H513" t="s">
        <v>5099</v>
      </c>
      <c r="I513" t="s">
        <v>2352</v>
      </c>
      <c r="J513" t="str">
        <f>"49659-7804"</f>
        <v>49659-7804</v>
      </c>
      <c r="K513" t="s">
        <v>1998</v>
      </c>
      <c r="L513" t="s">
        <v>1999</v>
      </c>
      <c r="M513" t="s">
        <v>3520</v>
      </c>
      <c r="N513" t="s">
        <v>1992</v>
      </c>
      <c r="O513" t="s">
        <v>1992</v>
      </c>
      <c r="P513" t="s">
        <v>1992</v>
      </c>
      <c r="Q513" t="s">
        <v>1992</v>
      </c>
      <c r="R513" t="s">
        <v>1992</v>
      </c>
      <c r="S513" t="s">
        <v>1992</v>
      </c>
      <c r="T513" t="s">
        <v>1992</v>
      </c>
      <c r="U513" t="s">
        <v>1992</v>
      </c>
      <c r="V513" t="s">
        <v>1991</v>
      </c>
      <c r="W513" t="s">
        <v>1992</v>
      </c>
      <c r="X513" t="s">
        <v>1992</v>
      </c>
      <c r="Y513" t="s">
        <v>1991</v>
      </c>
      <c r="Z513" t="s">
        <v>1992</v>
      </c>
      <c r="AF513" t="s">
        <v>2016</v>
      </c>
      <c r="AG513" t="s">
        <v>1991</v>
      </c>
      <c r="AH513">
        <v>30</v>
      </c>
      <c r="AI513">
        <v>30</v>
      </c>
      <c r="AJ513" t="s">
        <v>5100</v>
      </c>
      <c r="AK513">
        <v>1122</v>
      </c>
      <c r="AL513">
        <v>1370</v>
      </c>
      <c r="AM513" t="s">
        <v>5101</v>
      </c>
      <c r="AN513" t="s">
        <v>445</v>
      </c>
      <c r="AO513" t="s">
        <v>2311</v>
      </c>
      <c r="BF513" t="s">
        <v>1053</v>
      </c>
      <c r="BG513" t="s">
        <v>643</v>
      </c>
      <c r="BH513" t="s">
        <v>644</v>
      </c>
      <c r="BI513" t="s">
        <v>1053</v>
      </c>
      <c r="BK513" t="s">
        <v>1053</v>
      </c>
      <c r="BM513" t="s">
        <v>2313</v>
      </c>
      <c r="BN513" t="s">
        <v>2314</v>
      </c>
      <c r="BO513" t="s">
        <v>1053</v>
      </c>
      <c r="BP513" t="s">
        <v>2356</v>
      </c>
      <c r="BQ513" t="s">
        <v>2316</v>
      </c>
      <c r="BR513" t="s">
        <v>1053</v>
      </c>
      <c r="BT513" t="s">
        <v>1053</v>
      </c>
      <c r="BX513" t="str">
        <f>""</f>
        <v/>
      </c>
      <c r="BY513" t="str">
        <f>""</f>
        <v/>
      </c>
      <c r="BZ513" t="str">
        <f>""</f>
        <v/>
      </c>
      <c r="CA513" t="str">
        <f>""</f>
        <v/>
      </c>
      <c r="CB513" t="str">
        <f>""</f>
        <v/>
      </c>
      <c r="CC513" t="str">
        <f>""</f>
        <v/>
      </c>
      <c r="CD513" t="str">
        <f>""</f>
        <v/>
      </c>
      <c r="CE513" t="str">
        <f>""</f>
        <v/>
      </c>
      <c r="CF513" t="str">
        <f>""</f>
        <v/>
      </c>
      <c r="CG513" t="str">
        <f>""</f>
        <v/>
      </c>
      <c r="CH513" t="str">
        <f>""</f>
        <v/>
      </c>
    </row>
    <row r="514" spans="1:86" x14ac:dyDescent="0.25">
      <c r="A514" t="s">
        <v>5102</v>
      </c>
      <c r="B514" t="s">
        <v>5103</v>
      </c>
      <c r="C514" t="s">
        <v>1992</v>
      </c>
      <c r="D514" t="s">
        <v>1993</v>
      </c>
      <c r="E514" t="s">
        <v>5104</v>
      </c>
      <c r="F514" t="s">
        <v>5105</v>
      </c>
      <c r="H514" t="s">
        <v>5106</v>
      </c>
      <c r="I514" t="s">
        <v>2061</v>
      </c>
      <c r="J514" t="str">
        <f>"93546"</f>
        <v>93546</v>
      </c>
      <c r="K514" t="s">
        <v>1998</v>
      </c>
      <c r="L514" t="s">
        <v>2062</v>
      </c>
      <c r="M514" t="s">
        <v>2000</v>
      </c>
      <c r="N514" t="s">
        <v>1992</v>
      </c>
      <c r="O514" t="s">
        <v>1992</v>
      </c>
      <c r="P514" t="s">
        <v>1992</v>
      </c>
      <c r="Q514" t="s">
        <v>1992</v>
      </c>
      <c r="R514" t="s">
        <v>1992</v>
      </c>
      <c r="S514" t="s">
        <v>1992</v>
      </c>
      <c r="T514" t="s">
        <v>1992</v>
      </c>
      <c r="U514" t="s">
        <v>1992</v>
      </c>
      <c r="V514" t="s">
        <v>1991</v>
      </c>
      <c r="AF514" t="s">
        <v>2064</v>
      </c>
      <c r="AG514" t="s">
        <v>1991</v>
      </c>
      <c r="AH514">
        <v>15</v>
      </c>
      <c r="AI514">
        <v>15</v>
      </c>
      <c r="AJ514" t="s">
        <v>5107</v>
      </c>
      <c r="AK514">
        <v>8911</v>
      </c>
      <c r="AM514" t="s">
        <v>50</v>
      </c>
      <c r="AN514" t="s">
        <v>51</v>
      </c>
      <c r="AO514" t="s">
        <v>2063</v>
      </c>
      <c r="BF514" t="s">
        <v>1053</v>
      </c>
      <c r="BG514" t="s">
        <v>309</v>
      </c>
      <c r="BH514" t="s">
        <v>2301</v>
      </c>
      <c r="BI514" t="s">
        <v>1053</v>
      </c>
      <c r="BK514" t="s">
        <v>1053</v>
      </c>
      <c r="BO514" t="s">
        <v>1053</v>
      </c>
      <c r="BP514" t="s">
        <v>2067</v>
      </c>
      <c r="BQ514" t="s">
        <v>3602</v>
      </c>
      <c r="BR514" t="s">
        <v>1053</v>
      </c>
      <c r="BT514" t="s">
        <v>1053</v>
      </c>
      <c r="BV514" t="s">
        <v>2070</v>
      </c>
      <c r="BX514" t="str">
        <f>""</f>
        <v/>
      </c>
      <c r="BY514" t="str">
        <f>""</f>
        <v/>
      </c>
      <c r="BZ514" t="str">
        <f>""</f>
        <v/>
      </c>
      <c r="CA514" t="str">
        <f>""</f>
        <v/>
      </c>
      <c r="CB514" t="str">
        <f>""</f>
        <v/>
      </c>
      <c r="CC514" t="str">
        <f>""</f>
        <v/>
      </c>
      <c r="CD514" t="str">
        <f>""</f>
        <v/>
      </c>
      <c r="CE514" t="str">
        <f>""</f>
        <v/>
      </c>
      <c r="CF514" t="str">
        <f>""</f>
        <v/>
      </c>
      <c r="CG514" t="str">
        <f>""</f>
        <v/>
      </c>
      <c r="CH514" t="str">
        <f>""</f>
        <v/>
      </c>
    </row>
    <row r="515" spans="1:86" x14ac:dyDescent="0.25">
      <c r="A515" t="s">
        <v>5108</v>
      </c>
      <c r="B515" t="s">
        <v>5109</v>
      </c>
      <c r="C515" t="s">
        <v>1992</v>
      </c>
      <c r="D515" t="s">
        <v>2028</v>
      </c>
      <c r="E515" t="s">
        <v>5110</v>
      </c>
      <c r="H515" t="s">
        <v>5111</v>
      </c>
      <c r="I515" t="s">
        <v>2340</v>
      </c>
      <c r="J515" t="str">
        <f>"25136"</f>
        <v>25136</v>
      </c>
      <c r="K515" t="s">
        <v>1998</v>
      </c>
      <c r="L515" t="s">
        <v>2015</v>
      </c>
      <c r="M515" t="s">
        <v>2063</v>
      </c>
      <c r="N515" t="s">
        <v>1992</v>
      </c>
      <c r="O515" t="s">
        <v>1992</v>
      </c>
      <c r="P515" t="s">
        <v>1992</v>
      </c>
      <c r="Q515" t="s">
        <v>1992</v>
      </c>
      <c r="R515" t="s">
        <v>1992</v>
      </c>
      <c r="S515" t="s">
        <v>1992</v>
      </c>
      <c r="T515" t="s">
        <v>1992</v>
      </c>
      <c r="U515" t="s">
        <v>1992</v>
      </c>
      <c r="V515" t="s">
        <v>1991</v>
      </c>
      <c r="W515" t="s">
        <v>1991</v>
      </c>
      <c r="X515" t="s">
        <v>1992</v>
      </c>
      <c r="Y515" t="s">
        <v>1992</v>
      </c>
      <c r="Z515" t="s">
        <v>1992</v>
      </c>
      <c r="AF515" t="s">
        <v>2016</v>
      </c>
      <c r="AG515" t="s">
        <v>1991</v>
      </c>
      <c r="AH515">
        <v>30</v>
      </c>
      <c r="AI515">
        <v>30</v>
      </c>
      <c r="AJ515" t="s">
        <v>5112</v>
      </c>
      <c r="AK515">
        <v>639</v>
      </c>
      <c r="AL515">
        <v>2046</v>
      </c>
      <c r="AN515" t="s">
        <v>3537</v>
      </c>
      <c r="AO515" t="s">
        <v>2063</v>
      </c>
      <c r="BF515" t="s">
        <v>1053</v>
      </c>
      <c r="BG515" t="s">
        <v>2097</v>
      </c>
      <c r="BH515" t="s">
        <v>3481</v>
      </c>
      <c r="BI515" t="s">
        <v>1053</v>
      </c>
      <c r="BJ515" t="s">
        <v>1053</v>
      </c>
      <c r="BK515" t="s">
        <v>1053</v>
      </c>
      <c r="BL515" t="s">
        <v>1053</v>
      </c>
      <c r="BM515" t="s">
        <v>2343</v>
      </c>
      <c r="BN515" t="s">
        <v>2344</v>
      </c>
      <c r="BO515" t="s">
        <v>1053</v>
      </c>
      <c r="BP515" t="s">
        <v>366</v>
      </c>
      <c r="BQ515" t="s">
        <v>367</v>
      </c>
      <c r="BR515" t="s">
        <v>1053</v>
      </c>
      <c r="BS515" t="s">
        <v>1053</v>
      </c>
      <c r="BT515" t="s">
        <v>1053</v>
      </c>
      <c r="BU515" t="s">
        <v>1053</v>
      </c>
      <c r="BV515" t="s">
        <v>2347</v>
      </c>
      <c r="BX515" t="str">
        <f>"SMTWTFS 0000-2359"</f>
        <v>SMTWTFS 0000-2359</v>
      </c>
      <c r="BY515" t="str">
        <f>""</f>
        <v/>
      </c>
      <c r="BZ515" t="str">
        <f>""</f>
        <v/>
      </c>
      <c r="CA515" t="str">
        <f>""</f>
        <v/>
      </c>
      <c r="CB515" t="str">
        <f>""</f>
        <v/>
      </c>
      <c r="CC515" t="str">
        <f>""</f>
        <v/>
      </c>
      <c r="CD515" t="str">
        <f>""</f>
        <v/>
      </c>
      <c r="CE515" t="str">
        <f>""</f>
        <v/>
      </c>
      <c r="CF515" t="str">
        <f>""</f>
        <v/>
      </c>
      <c r="CG515" t="str">
        <f>""</f>
        <v/>
      </c>
      <c r="CH515" t="str">
        <f>""</f>
        <v/>
      </c>
    </row>
    <row r="516" spans="1:86" x14ac:dyDescent="0.25">
      <c r="A516" t="s">
        <v>5113</v>
      </c>
      <c r="B516" t="s">
        <v>5114</v>
      </c>
      <c r="C516" t="s">
        <v>1992</v>
      </c>
      <c r="D516" t="s">
        <v>1993</v>
      </c>
      <c r="E516" t="s">
        <v>5115</v>
      </c>
      <c r="F516" t="s">
        <v>5116</v>
      </c>
      <c r="H516" t="s">
        <v>5117</v>
      </c>
      <c r="I516" t="s">
        <v>2295</v>
      </c>
      <c r="J516" t="str">
        <f>"97106"</f>
        <v>97106</v>
      </c>
      <c r="K516" t="s">
        <v>1998</v>
      </c>
      <c r="L516" t="s">
        <v>231</v>
      </c>
      <c r="M516" t="s">
        <v>2063</v>
      </c>
      <c r="N516" t="s">
        <v>1992</v>
      </c>
      <c r="O516" t="s">
        <v>1992</v>
      </c>
      <c r="P516" t="s">
        <v>1992</v>
      </c>
      <c r="Q516" t="s">
        <v>1992</v>
      </c>
      <c r="R516" t="s">
        <v>1992</v>
      </c>
      <c r="S516" t="s">
        <v>1992</v>
      </c>
      <c r="T516" t="s">
        <v>1992</v>
      </c>
      <c r="U516" t="s">
        <v>1992</v>
      </c>
      <c r="V516" t="s">
        <v>1991</v>
      </c>
      <c r="W516" t="s">
        <v>1992</v>
      </c>
      <c r="X516" t="s">
        <v>1992</v>
      </c>
      <c r="Y516" t="s">
        <v>1991</v>
      </c>
      <c r="Z516" t="s">
        <v>1992</v>
      </c>
      <c r="AE516" t="s">
        <v>1892</v>
      </c>
      <c r="AF516" t="s">
        <v>2064</v>
      </c>
      <c r="AG516" t="s">
        <v>1991</v>
      </c>
      <c r="AH516">
        <v>30</v>
      </c>
      <c r="AI516">
        <v>30</v>
      </c>
      <c r="AJ516" t="s">
        <v>5118</v>
      </c>
      <c r="AK516">
        <v>251</v>
      </c>
      <c r="AM516" t="s">
        <v>2298</v>
      </c>
      <c r="AN516" t="s">
        <v>450</v>
      </c>
      <c r="AO516" t="s">
        <v>2063</v>
      </c>
      <c r="BF516" t="s">
        <v>1053</v>
      </c>
      <c r="BG516" t="s">
        <v>394</v>
      </c>
      <c r="BH516" t="s">
        <v>311</v>
      </c>
      <c r="BI516" t="s">
        <v>1053</v>
      </c>
      <c r="BJ516" t="s">
        <v>1053</v>
      </c>
      <c r="BK516" t="s">
        <v>1053</v>
      </c>
      <c r="BL516" t="s">
        <v>1053</v>
      </c>
      <c r="BX516" t="str">
        <f>""</f>
        <v/>
      </c>
      <c r="BY516" t="str">
        <f>""</f>
        <v/>
      </c>
      <c r="BZ516" t="str">
        <f>""</f>
        <v/>
      </c>
      <c r="CA516" t="str">
        <f>""</f>
        <v/>
      </c>
      <c r="CB516" t="str">
        <f>""</f>
        <v/>
      </c>
      <c r="CC516" t="str">
        <f>""</f>
        <v/>
      </c>
      <c r="CD516" t="str">
        <f>""</f>
        <v/>
      </c>
      <c r="CE516" t="str">
        <f>""</f>
        <v/>
      </c>
      <c r="CF516" t="str">
        <f>""</f>
        <v/>
      </c>
      <c r="CG516" t="str">
        <f>""</f>
        <v/>
      </c>
      <c r="CH516" t="str">
        <f>""</f>
        <v/>
      </c>
    </row>
    <row r="517" spans="1:86" x14ac:dyDescent="0.25">
      <c r="A517" t="s">
        <v>5119</v>
      </c>
      <c r="B517" t="s">
        <v>5120</v>
      </c>
      <c r="C517" t="s">
        <v>1992</v>
      </c>
      <c r="D517" t="s">
        <v>1993</v>
      </c>
      <c r="E517" t="s">
        <v>5121</v>
      </c>
      <c r="F517" t="s">
        <v>5122</v>
      </c>
      <c r="H517" t="s">
        <v>5123</v>
      </c>
      <c r="I517" t="s">
        <v>1997</v>
      </c>
      <c r="J517" t="str">
        <f>"54751"</f>
        <v>54751</v>
      </c>
      <c r="K517" t="s">
        <v>1998</v>
      </c>
      <c r="L517" t="s">
        <v>1999</v>
      </c>
      <c r="M517" t="s">
        <v>2000</v>
      </c>
      <c r="N517" t="s">
        <v>1992</v>
      </c>
      <c r="O517" t="s">
        <v>1992</v>
      </c>
      <c r="P517" t="s">
        <v>1992</v>
      </c>
      <c r="Q517" t="s">
        <v>1992</v>
      </c>
      <c r="R517" t="s">
        <v>1992</v>
      </c>
      <c r="S517" t="s">
        <v>1992</v>
      </c>
      <c r="T517" t="s">
        <v>1992</v>
      </c>
      <c r="U517" t="s">
        <v>1992</v>
      </c>
      <c r="V517" t="s">
        <v>1991</v>
      </c>
      <c r="Z517" t="s">
        <v>1991</v>
      </c>
      <c r="AF517" t="s">
        <v>2001</v>
      </c>
      <c r="AG517" t="s">
        <v>1991</v>
      </c>
      <c r="AH517">
        <v>15</v>
      </c>
      <c r="AI517">
        <v>15</v>
      </c>
      <c r="AJ517" t="s">
        <v>5124</v>
      </c>
      <c r="AK517">
        <v>856</v>
      </c>
      <c r="BF517" t="s">
        <v>1053</v>
      </c>
      <c r="BG517" t="s">
        <v>5125</v>
      </c>
      <c r="BH517" t="s">
        <v>2004</v>
      </c>
      <c r="BI517" t="s">
        <v>1053</v>
      </c>
      <c r="BK517" t="s">
        <v>1053</v>
      </c>
      <c r="BM517" t="s">
        <v>287</v>
      </c>
      <c r="BO517" t="s">
        <v>1053</v>
      </c>
      <c r="BP517" t="s">
        <v>1040</v>
      </c>
      <c r="BQ517" t="s">
        <v>2006</v>
      </c>
      <c r="BR517" t="s">
        <v>1053</v>
      </c>
      <c r="BS517" t="s">
        <v>1053</v>
      </c>
      <c r="BT517" t="s">
        <v>1053</v>
      </c>
      <c r="BU517" t="s">
        <v>1053</v>
      </c>
      <c r="BX517" t="str">
        <f>""</f>
        <v/>
      </c>
      <c r="BY517" t="str">
        <f>""</f>
        <v/>
      </c>
      <c r="BZ517" t="str">
        <f>""</f>
        <v/>
      </c>
      <c r="CA517" t="str">
        <f>""</f>
        <v/>
      </c>
      <c r="CB517" t="str">
        <f>""</f>
        <v/>
      </c>
      <c r="CC517" t="str">
        <f>""</f>
        <v/>
      </c>
      <c r="CD517" t="str">
        <f>""</f>
        <v/>
      </c>
      <c r="CE517" t="str">
        <f>""</f>
        <v/>
      </c>
      <c r="CF517" t="str">
        <f>""</f>
        <v/>
      </c>
      <c r="CG517" t="str">
        <f>""</f>
        <v/>
      </c>
      <c r="CH517" t="str">
        <f>""</f>
        <v/>
      </c>
    </row>
    <row r="518" spans="1:86" x14ac:dyDescent="0.25">
      <c r="A518" t="s">
        <v>5126</v>
      </c>
      <c r="B518" t="s">
        <v>5127</v>
      </c>
      <c r="C518" t="s">
        <v>1992</v>
      </c>
      <c r="D518" t="s">
        <v>1993</v>
      </c>
      <c r="E518" t="s">
        <v>5128</v>
      </c>
      <c r="F518" t="s">
        <v>5129</v>
      </c>
      <c r="G518" t="s">
        <v>5130</v>
      </c>
      <c r="H518" t="s">
        <v>5131</v>
      </c>
      <c r="I518" t="s">
        <v>401</v>
      </c>
      <c r="J518" t="str">
        <f>"83843-2318"</f>
        <v>83843-2318</v>
      </c>
      <c r="K518" t="s">
        <v>1998</v>
      </c>
      <c r="L518" t="s">
        <v>231</v>
      </c>
      <c r="M518" t="s">
        <v>2063</v>
      </c>
      <c r="N518" t="s">
        <v>1992</v>
      </c>
      <c r="O518" t="s">
        <v>1992</v>
      </c>
      <c r="P518" t="s">
        <v>1992</v>
      </c>
      <c r="Q518" t="s">
        <v>1992</v>
      </c>
      <c r="R518" t="s">
        <v>1992</v>
      </c>
      <c r="S518" t="s">
        <v>1992</v>
      </c>
      <c r="T518" t="s">
        <v>1992</v>
      </c>
      <c r="U518" t="s">
        <v>1992</v>
      </c>
      <c r="V518" t="s">
        <v>1991</v>
      </c>
      <c r="W518" t="s">
        <v>1992</v>
      </c>
      <c r="X518" t="s">
        <v>1992</v>
      </c>
      <c r="Y518" t="s">
        <v>1992</v>
      </c>
      <c r="Z518" t="s">
        <v>1991</v>
      </c>
      <c r="AE518" t="s">
        <v>746</v>
      </c>
      <c r="AF518" t="s">
        <v>2064</v>
      </c>
      <c r="AG518" t="s">
        <v>1991</v>
      </c>
      <c r="AH518">
        <v>30</v>
      </c>
      <c r="AI518">
        <v>30</v>
      </c>
      <c r="AJ518" t="s">
        <v>5132</v>
      </c>
      <c r="AK518">
        <v>2559</v>
      </c>
      <c r="AL518">
        <v>17200</v>
      </c>
      <c r="AM518" t="s">
        <v>2298</v>
      </c>
      <c r="AN518" t="s">
        <v>5133</v>
      </c>
      <c r="AO518" t="s">
        <v>1053</v>
      </c>
      <c r="BF518" t="s">
        <v>1053</v>
      </c>
      <c r="BG518" t="s">
        <v>5224</v>
      </c>
      <c r="BH518" t="s">
        <v>2055</v>
      </c>
      <c r="BI518" t="s">
        <v>1053</v>
      </c>
      <c r="BX518" t="str">
        <f>""</f>
        <v/>
      </c>
      <c r="BY518" t="str">
        <f>""</f>
        <v/>
      </c>
      <c r="BZ518" t="str">
        <f>""</f>
        <v/>
      </c>
      <c r="CA518" t="str">
        <f>""</f>
        <v/>
      </c>
      <c r="CB518" t="str">
        <f>""</f>
        <v/>
      </c>
      <c r="CC518" t="str">
        <f>""</f>
        <v/>
      </c>
      <c r="CD518" t="str">
        <f>""</f>
        <v/>
      </c>
      <c r="CE518" t="str">
        <f>""</f>
        <v/>
      </c>
      <c r="CF518" t="str">
        <f>""</f>
        <v/>
      </c>
      <c r="CG518" t="str">
        <f>""</f>
        <v/>
      </c>
      <c r="CH518" t="str">
        <f>""</f>
        <v/>
      </c>
    </row>
    <row r="519" spans="1:86" x14ac:dyDescent="0.25">
      <c r="A519" t="s">
        <v>5134</v>
      </c>
      <c r="B519" t="s">
        <v>5135</v>
      </c>
      <c r="C519" t="s">
        <v>1991</v>
      </c>
      <c r="D519" t="s">
        <v>2010</v>
      </c>
      <c r="E519" t="s">
        <v>5136</v>
      </c>
      <c r="H519" t="s">
        <v>5137</v>
      </c>
      <c r="I519" t="s">
        <v>2061</v>
      </c>
      <c r="J519" t="str">
        <f>"95355-8301"</f>
        <v>95355-8301</v>
      </c>
      <c r="K519" t="s">
        <v>1998</v>
      </c>
      <c r="L519" t="s">
        <v>2062</v>
      </c>
      <c r="M519" t="s">
        <v>5138</v>
      </c>
      <c r="N519" t="s">
        <v>1991</v>
      </c>
      <c r="O519" t="s">
        <v>1991</v>
      </c>
      <c r="P519" t="s">
        <v>1992</v>
      </c>
      <c r="Q519" t="s">
        <v>1991</v>
      </c>
      <c r="R519" t="s">
        <v>1992</v>
      </c>
      <c r="S519" t="s">
        <v>1992</v>
      </c>
      <c r="T519" t="s">
        <v>1992</v>
      </c>
      <c r="U519" t="s">
        <v>1991</v>
      </c>
      <c r="V519" t="s">
        <v>1991</v>
      </c>
      <c r="W519" t="s">
        <v>1991</v>
      </c>
      <c r="X519" t="s">
        <v>1992</v>
      </c>
      <c r="Y519" t="s">
        <v>1992</v>
      </c>
      <c r="Z519" t="s">
        <v>1992</v>
      </c>
      <c r="AA519" t="s">
        <v>1991</v>
      </c>
      <c r="AE519" t="s">
        <v>2047</v>
      </c>
      <c r="AF519" t="s">
        <v>2064</v>
      </c>
      <c r="AG519" t="s">
        <v>1991</v>
      </c>
      <c r="AH519">
        <v>45</v>
      </c>
      <c r="AI519">
        <v>30</v>
      </c>
      <c r="AJ519" t="s">
        <v>5139</v>
      </c>
      <c r="AK519">
        <v>117</v>
      </c>
      <c r="AL519">
        <v>97284</v>
      </c>
      <c r="AM519" t="s">
        <v>2298</v>
      </c>
      <c r="AN519" t="s">
        <v>1053</v>
      </c>
      <c r="AO519" t="s">
        <v>1053</v>
      </c>
      <c r="AP519" t="s">
        <v>2069</v>
      </c>
      <c r="AQ519" t="s">
        <v>1053</v>
      </c>
      <c r="AR519" t="s">
        <v>2069</v>
      </c>
      <c r="AS519" t="s">
        <v>5134</v>
      </c>
      <c r="AT519" t="s">
        <v>5140</v>
      </c>
      <c r="AU519" t="s">
        <v>1053</v>
      </c>
      <c r="AV519" t="s">
        <v>1053</v>
      </c>
      <c r="AW519" t="s">
        <v>2069</v>
      </c>
      <c r="AX519" t="s">
        <v>1053</v>
      </c>
      <c r="AY519" t="s">
        <v>2069</v>
      </c>
      <c r="AZ519" t="s">
        <v>5134</v>
      </c>
      <c r="BA519" t="s">
        <v>5140</v>
      </c>
      <c r="BB519" t="s">
        <v>1053</v>
      </c>
      <c r="BC519" t="s">
        <v>2069</v>
      </c>
      <c r="BD519" t="s">
        <v>1053</v>
      </c>
      <c r="BE519" t="s">
        <v>2069</v>
      </c>
      <c r="BF519" t="s">
        <v>1053</v>
      </c>
      <c r="BG519" t="s">
        <v>2067</v>
      </c>
      <c r="BH519" t="s">
        <v>3252</v>
      </c>
      <c r="BI519" t="s">
        <v>1053</v>
      </c>
      <c r="BJ519" t="s">
        <v>2069</v>
      </c>
      <c r="BK519" t="s">
        <v>1053</v>
      </c>
      <c r="BL519" t="s">
        <v>2069</v>
      </c>
      <c r="BM519" t="s">
        <v>2070</v>
      </c>
      <c r="BN519" t="s">
        <v>2071</v>
      </c>
      <c r="BO519" t="s">
        <v>1053</v>
      </c>
      <c r="BP519" t="s">
        <v>614</v>
      </c>
      <c r="BQ519" t="s">
        <v>5141</v>
      </c>
      <c r="BR519" t="s">
        <v>1053</v>
      </c>
      <c r="BS519" t="s">
        <v>1053</v>
      </c>
      <c r="BT519" t="s">
        <v>1053</v>
      </c>
      <c r="BU519" t="s">
        <v>1053</v>
      </c>
      <c r="BV519" t="s">
        <v>2074</v>
      </c>
      <c r="BX519" t="str">
        <f>"SMTWTFS 0700-2200"</f>
        <v>SMTWTFS 0700-2200</v>
      </c>
      <c r="BY519" t="str">
        <f>"SMTWTFS 0715-2145"</f>
        <v>SMTWTFS 0715-2145</v>
      </c>
      <c r="BZ519" t="str">
        <f>"SMTWTFS 0715-2152"</f>
        <v>SMTWTFS 0715-2152</v>
      </c>
      <c r="CA519" t="str">
        <f>"SMTWTFS 0715-2145"</f>
        <v>SMTWTFS 0715-2145</v>
      </c>
      <c r="CB519" t="str">
        <f>""</f>
        <v/>
      </c>
      <c r="CC519" t="str">
        <f>"SMTWTFS 0715-2200"</f>
        <v>SMTWTFS 0715-2200</v>
      </c>
      <c r="CD519" t="str">
        <f>""</f>
        <v/>
      </c>
      <c r="CE519" t="str">
        <f>""</f>
        <v/>
      </c>
      <c r="CF519" t="str">
        <f>""</f>
        <v/>
      </c>
      <c r="CG519" t="str">
        <f>""</f>
        <v/>
      </c>
      <c r="CH519" t="str">
        <f>"SMTWTFS 0001-2359"</f>
        <v>SMTWTFS 0001-2359</v>
      </c>
    </row>
    <row r="520" spans="1:86" x14ac:dyDescent="0.25">
      <c r="A520" t="s">
        <v>5142</v>
      </c>
      <c r="B520" t="s">
        <v>5143</v>
      </c>
      <c r="C520" t="s">
        <v>1992</v>
      </c>
      <c r="D520" t="s">
        <v>1993</v>
      </c>
      <c r="E520" t="s">
        <v>5144</v>
      </c>
      <c r="F520" t="s">
        <v>5145</v>
      </c>
      <c r="H520" t="s">
        <v>5146</v>
      </c>
      <c r="I520" t="s">
        <v>2061</v>
      </c>
      <c r="J520" t="str">
        <f>"93501-1516"</f>
        <v>93501-1516</v>
      </c>
      <c r="K520" t="s">
        <v>1998</v>
      </c>
      <c r="L520" t="s">
        <v>2062</v>
      </c>
      <c r="M520" t="s">
        <v>2063</v>
      </c>
      <c r="N520" t="s">
        <v>1992</v>
      </c>
      <c r="O520" t="s">
        <v>1992</v>
      </c>
      <c r="P520" t="s">
        <v>1992</v>
      </c>
      <c r="Q520" t="s">
        <v>1992</v>
      </c>
      <c r="R520" t="s">
        <v>1992</v>
      </c>
      <c r="S520" t="s">
        <v>1992</v>
      </c>
      <c r="T520" t="s">
        <v>1992</v>
      </c>
      <c r="U520" t="s">
        <v>1992</v>
      </c>
      <c r="V520" t="s">
        <v>1991</v>
      </c>
      <c r="W520" t="s">
        <v>1992</v>
      </c>
      <c r="X520" t="s">
        <v>1992</v>
      </c>
      <c r="Y520" t="s">
        <v>1991</v>
      </c>
      <c r="Z520" t="s">
        <v>1992</v>
      </c>
      <c r="AA520" t="s">
        <v>1991</v>
      </c>
      <c r="AF520" t="s">
        <v>2064</v>
      </c>
      <c r="AG520" t="s">
        <v>1991</v>
      </c>
      <c r="AH520">
        <v>30</v>
      </c>
      <c r="AI520">
        <v>30</v>
      </c>
      <c r="AJ520" t="s">
        <v>5147</v>
      </c>
      <c r="AK520">
        <v>2762</v>
      </c>
      <c r="AM520" t="s">
        <v>5148</v>
      </c>
      <c r="AN520" t="s">
        <v>5149</v>
      </c>
      <c r="AO520" t="s">
        <v>2063</v>
      </c>
      <c r="BF520" t="s">
        <v>1053</v>
      </c>
      <c r="BG520" t="s">
        <v>309</v>
      </c>
      <c r="BH520" t="s">
        <v>2301</v>
      </c>
      <c r="BI520" t="s">
        <v>1053</v>
      </c>
      <c r="BK520" t="s">
        <v>1053</v>
      </c>
      <c r="BO520" t="s">
        <v>1053</v>
      </c>
      <c r="BP520" t="s">
        <v>310</v>
      </c>
      <c r="BQ520" t="s">
        <v>311</v>
      </c>
      <c r="BR520" t="s">
        <v>1053</v>
      </c>
      <c r="BS520" t="s">
        <v>1053</v>
      </c>
      <c r="BT520" t="s">
        <v>1053</v>
      </c>
      <c r="BU520" t="s">
        <v>1053</v>
      </c>
      <c r="BX520" t="str">
        <f>""</f>
        <v/>
      </c>
      <c r="BY520" t="str">
        <f>""</f>
        <v/>
      </c>
      <c r="BZ520" t="str">
        <f>""</f>
        <v/>
      </c>
      <c r="CA520" t="str">
        <f>""</f>
        <v/>
      </c>
      <c r="CB520" t="str">
        <f>""</f>
        <v/>
      </c>
      <c r="CC520" t="str">
        <f>""</f>
        <v/>
      </c>
      <c r="CD520" t="str">
        <f>""</f>
        <v/>
      </c>
      <c r="CE520" t="str">
        <f>""</f>
        <v/>
      </c>
      <c r="CF520" t="str">
        <f>""</f>
        <v/>
      </c>
      <c r="CG520" t="str">
        <f>""</f>
        <v/>
      </c>
      <c r="CH520" t="str">
        <f>""</f>
        <v/>
      </c>
    </row>
    <row r="521" spans="1:86" x14ac:dyDescent="0.25">
      <c r="A521" t="s">
        <v>5150</v>
      </c>
      <c r="B521" t="s">
        <v>5151</v>
      </c>
      <c r="C521" t="s">
        <v>1991</v>
      </c>
      <c r="D521" t="s">
        <v>2010</v>
      </c>
      <c r="E521" t="s">
        <v>5152</v>
      </c>
      <c r="H521" t="s">
        <v>5153</v>
      </c>
      <c r="I521" t="s">
        <v>2528</v>
      </c>
      <c r="J521" t="str">
        <f>"58701"</f>
        <v>58701</v>
      </c>
      <c r="K521" t="s">
        <v>1998</v>
      </c>
      <c r="L521" t="s">
        <v>1999</v>
      </c>
      <c r="M521" t="s">
        <v>5154</v>
      </c>
      <c r="N521" t="s">
        <v>1991</v>
      </c>
      <c r="O521" t="s">
        <v>1992</v>
      </c>
      <c r="P521" t="s">
        <v>1992</v>
      </c>
      <c r="Q521" t="s">
        <v>1992</v>
      </c>
      <c r="R521" t="s">
        <v>1992</v>
      </c>
      <c r="S521" t="s">
        <v>1992</v>
      </c>
      <c r="T521" t="s">
        <v>1992</v>
      </c>
      <c r="U521" t="s">
        <v>1991</v>
      </c>
      <c r="V521" t="s">
        <v>1991</v>
      </c>
      <c r="W521" t="s">
        <v>1991</v>
      </c>
      <c r="X521" t="s">
        <v>1992</v>
      </c>
      <c r="Y521" t="s">
        <v>1992</v>
      </c>
      <c r="Z521" t="s">
        <v>1992</v>
      </c>
      <c r="AE521" t="s">
        <v>2047</v>
      </c>
      <c r="AF521" t="s">
        <v>2001</v>
      </c>
      <c r="AG521" t="s">
        <v>1991</v>
      </c>
      <c r="AH521">
        <v>60</v>
      </c>
      <c r="AI521">
        <v>30</v>
      </c>
      <c r="AJ521" t="s">
        <v>5155</v>
      </c>
      <c r="AK521">
        <v>1560</v>
      </c>
      <c r="AL521">
        <v>35419</v>
      </c>
      <c r="AM521" t="s">
        <v>5156</v>
      </c>
      <c r="AN521" t="s">
        <v>1053</v>
      </c>
      <c r="AO521" t="s">
        <v>1053</v>
      </c>
      <c r="AP521" t="s">
        <v>2069</v>
      </c>
      <c r="AQ521" t="s">
        <v>1053</v>
      </c>
      <c r="AR521" t="s">
        <v>2069</v>
      </c>
      <c r="AS521" t="s">
        <v>5150</v>
      </c>
      <c r="AT521" t="s">
        <v>5157</v>
      </c>
      <c r="AU521" t="s">
        <v>1053</v>
      </c>
      <c r="AV521" t="s">
        <v>1053</v>
      </c>
      <c r="AW521" t="s">
        <v>2069</v>
      </c>
      <c r="AX521" t="s">
        <v>1053</v>
      </c>
      <c r="AY521" t="s">
        <v>2069</v>
      </c>
      <c r="AZ521" t="s">
        <v>5150</v>
      </c>
      <c r="BA521" t="s">
        <v>5157</v>
      </c>
      <c r="BB521" t="s">
        <v>1053</v>
      </c>
      <c r="BC521" t="s">
        <v>2069</v>
      </c>
      <c r="BD521" t="s">
        <v>2000</v>
      </c>
      <c r="BE521" t="s">
        <v>2069</v>
      </c>
      <c r="BF521" t="s">
        <v>1053</v>
      </c>
      <c r="BG521" t="s">
        <v>703</v>
      </c>
      <c r="BH521" t="s">
        <v>2173</v>
      </c>
      <c r="BI521" t="s">
        <v>1053</v>
      </c>
      <c r="BJ521" t="s">
        <v>2069</v>
      </c>
      <c r="BK521" t="s">
        <v>1053</v>
      </c>
      <c r="BL521" t="s">
        <v>2069</v>
      </c>
      <c r="BM521" t="s">
        <v>287</v>
      </c>
      <c r="BN521" t="s">
        <v>288</v>
      </c>
      <c r="BO521" t="s">
        <v>1053</v>
      </c>
      <c r="BP521" t="s">
        <v>1040</v>
      </c>
      <c r="BQ521" t="s">
        <v>2006</v>
      </c>
      <c r="BR521" t="s">
        <v>1053</v>
      </c>
      <c r="BS521" t="s">
        <v>1053</v>
      </c>
      <c r="BT521" t="s">
        <v>1053</v>
      </c>
      <c r="BU521" t="s">
        <v>1053</v>
      </c>
      <c r="BW521" t="s">
        <v>952</v>
      </c>
      <c r="BX521" t="str">
        <f>"S-----S 0630-1245 1430-2215; -MT--F- 0630-2215; ---WT-- 0630-1500 1600-2215"</f>
        <v>S-----S 0630-1245 1430-2215; -MT--F- 0630-2215; ---WT-- 0630-1500 1600-2215</v>
      </c>
      <c r="BY521" t="str">
        <f>""</f>
        <v/>
      </c>
      <c r="BZ521" t="str">
        <f>""</f>
        <v/>
      </c>
      <c r="CA521" t="str">
        <f>"S-----S 0630-1245 1430-2215; -MT--F- 0630-2215; ---WT-- 0630-1500 1600-2215"</f>
        <v>S-----S 0630-1245 1430-2215; -MT--F- 0630-2215; ---WT-- 0630-1500 1600-2215</v>
      </c>
      <c r="CB521" t="str">
        <f>""</f>
        <v/>
      </c>
      <c r="CC521" t="str">
        <f>""</f>
        <v/>
      </c>
      <c r="CD521" t="str">
        <f>""</f>
        <v/>
      </c>
      <c r="CE521" t="str">
        <f>""</f>
        <v/>
      </c>
      <c r="CF521" t="str">
        <f>""</f>
        <v/>
      </c>
      <c r="CG521" t="str">
        <f>""</f>
        <v/>
      </c>
      <c r="CH521" t="str">
        <f>""</f>
        <v/>
      </c>
    </row>
    <row r="522" spans="1:86" x14ac:dyDescent="0.25">
      <c r="A522" t="s">
        <v>5158</v>
      </c>
      <c r="B522" t="s">
        <v>5159</v>
      </c>
      <c r="C522" t="s">
        <v>1992</v>
      </c>
      <c r="D522" t="s">
        <v>1993</v>
      </c>
      <c r="E522" t="s">
        <v>5160</v>
      </c>
      <c r="F522" t="s">
        <v>5161</v>
      </c>
      <c r="G522" t="s">
        <v>5162</v>
      </c>
      <c r="H522" t="s">
        <v>5163</v>
      </c>
      <c r="I522" t="s">
        <v>2061</v>
      </c>
      <c r="J522" t="str">
        <f>"92508-2306"</f>
        <v>92508-2306</v>
      </c>
      <c r="K522" t="s">
        <v>1998</v>
      </c>
      <c r="L522" t="s">
        <v>2045</v>
      </c>
      <c r="M522" t="s">
        <v>2063</v>
      </c>
      <c r="N522" t="s">
        <v>1992</v>
      </c>
      <c r="O522" t="s">
        <v>1992</v>
      </c>
      <c r="P522" t="s">
        <v>1992</v>
      </c>
      <c r="Q522" t="s">
        <v>1992</v>
      </c>
      <c r="R522" t="s">
        <v>1992</v>
      </c>
      <c r="S522" t="s">
        <v>1992</v>
      </c>
      <c r="T522" t="s">
        <v>1992</v>
      </c>
      <c r="U522" t="s">
        <v>1992</v>
      </c>
      <c r="V522" t="s">
        <v>1991</v>
      </c>
      <c r="W522" t="s">
        <v>1992</v>
      </c>
      <c r="X522" t="s">
        <v>1992</v>
      </c>
      <c r="Y522" t="s">
        <v>1991</v>
      </c>
      <c r="Z522" t="s">
        <v>1992</v>
      </c>
      <c r="AF522" t="s">
        <v>2064</v>
      </c>
      <c r="AG522" t="s">
        <v>1991</v>
      </c>
      <c r="AH522">
        <v>30</v>
      </c>
      <c r="AI522">
        <v>30</v>
      </c>
      <c r="AJ522" t="s">
        <v>5164</v>
      </c>
      <c r="AK522">
        <v>1536</v>
      </c>
      <c r="AM522" t="s">
        <v>2298</v>
      </c>
      <c r="AN522" t="s">
        <v>1053</v>
      </c>
      <c r="AO522" t="s">
        <v>1053</v>
      </c>
      <c r="BF522" t="s">
        <v>1053</v>
      </c>
      <c r="BG522" t="s">
        <v>309</v>
      </c>
      <c r="BH522" t="s">
        <v>2301</v>
      </c>
      <c r="BI522" t="s">
        <v>1053</v>
      </c>
      <c r="BK522" t="s">
        <v>1053</v>
      </c>
      <c r="BO522" t="s">
        <v>1053</v>
      </c>
      <c r="BP522" t="s">
        <v>310</v>
      </c>
      <c r="BQ522" t="s">
        <v>311</v>
      </c>
      <c r="BR522" t="s">
        <v>1053</v>
      </c>
      <c r="BS522" t="s">
        <v>1053</v>
      </c>
      <c r="BT522" t="s">
        <v>1053</v>
      </c>
      <c r="BU522" t="s">
        <v>1053</v>
      </c>
      <c r="BX522" t="str">
        <f>""</f>
        <v/>
      </c>
      <c r="BY522" t="str">
        <f>""</f>
        <v/>
      </c>
      <c r="BZ522" t="str">
        <f>""</f>
        <v/>
      </c>
      <c r="CA522" t="str">
        <f>""</f>
        <v/>
      </c>
      <c r="CB522" t="str">
        <f>""</f>
        <v/>
      </c>
      <c r="CC522" t="str">
        <f>""</f>
        <v/>
      </c>
      <c r="CD522" t="str">
        <f>""</f>
        <v/>
      </c>
      <c r="CE522" t="str">
        <f>""</f>
        <v/>
      </c>
      <c r="CF522" t="str">
        <f>""</f>
        <v/>
      </c>
      <c r="CG522" t="str">
        <f>""</f>
        <v/>
      </c>
      <c r="CH522" t="str">
        <f>""</f>
        <v/>
      </c>
    </row>
    <row r="523" spans="1:86" x14ac:dyDescent="0.25">
      <c r="A523" t="s">
        <v>5165</v>
      </c>
      <c r="B523" t="s">
        <v>5166</v>
      </c>
      <c r="C523" t="s">
        <v>1992</v>
      </c>
      <c r="D523" t="s">
        <v>2331</v>
      </c>
      <c r="E523" t="s">
        <v>5167</v>
      </c>
      <c r="F523" t="s">
        <v>5168</v>
      </c>
      <c r="H523" t="s">
        <v>5169</v>
      </c>
      <c r="I523" t="s">
        <v>2061</v>
      </c>
      <c r="J523" t="str">
        <f>"93021"</f>
        <v>93021</v>
      </c>
      <c r="K523" t="s">
        <v>1998</v>
      </c>
      <c r="L523" t="s">
        <v>2045</v>
      </c>
      <c r="M523" t="s">
        <v>2063</v>
      </c>
      <c r="N523" t="s">
        <v>1992</v>
      </c>
      <c r="O523" t="s">
        <v>1992</v>
      </c>
      <c r="P523" t="s">
        <v>1991</v>
      </c>
      <c r="Q523" t="s">
        <v>1992</v>
      </c>
      <c r="R523" t="s">
        <v>1992</v>
      </c>
      <c r="S523" t="s">
        <v>1992</v>
      </c>
      <c r="T523" t="s">
        <v>1992</v>
      </c>
      <c r="U523" t="s">
        <v>1992</v>
      </c>
      <c r="V523" t="s">
        <v>1991</v>
      </c>
      <c r="W523" t="s">
        <v>1991</v>
      </c>
      <c r="X523" t="s">
        <v>1991</v>
      </c>
      <c r="Y523" t="s">
        <v>1992</v>
      </c>
      <c r="Z523" t="s">
        <v>1992</v>
      </c>
      <c r="AA523" t="s">
        <v>1992</v>
      </c>
      <c r="AE523" t="s">
        <v>1080</v>
      </c>
      <c r="AF523" t="s">
        <v>2064</v>
      </c>
      <c r="AG523" t="s">
        <v>1991</v>
      </c>
      <c r="AH523">
        <v>30</v>
      </c>
      <c r="AI523">
        <v>30</v>
      </c>
      <c r="AJ523" t="s">
        <v>5170</v>
      </c>
      <c r="AK523">
        <v>523</v>
      </c>
      <c r="AL523">
        <v>60000</v>
      </c>
      <c r="AM523" t="s">
        <v>2298</v>
      </c>
      <c r="AN523" t="s">
        <v>2066</v>
      </c>
      <c r="AO523" t="s">
        <v>2063</v>
      </c>
      <c r="BF523" t="s">
        <v>1053</v>
      </c>
      <c r="BG523" t="s">
        <v>2067</v>
      </c>
      <c r="BH523" t="s">
        <v>275</v>
      </c>
      <c r="BI523" t="s">
        <v>1053</v>
      </c>
      <c r="BJ523" t="s">
        <v>2069</v>
      </c>
      <c r="BK523" t="s">
        <v>1053</v>
      </c>
      <c r="BL523" t="s">
        <v>2069</v>
      </c>
      <c r="BM523" t="s">
        <v>852</v>
      </c>
      <c r="BN523" t="s">
        <v>277</v>
      </c>
      <c r="BO523" t="s">
        <v>1053</v>
      </c>
      <c r="BP523" t="s">
        <v>2067</v>
      </c>
      <c r="BQ523" t="s">
        <v>275</v>
      </c>
      <c r="BR523" t="s">
        <v>1053</v>
      </c>
      <c r="BX523" t="str">
        <f>""</f>
        <v/>
      </c>
      <c r="BY523" t="str">
        <f>""</f>
        <v/>
      </c>
      <c r="BZ523" t="str">
        <f>""</f>
        <v/>
      </c>
      <c r="CA523" t="str">
        <f>""</f>
        <v/>
      </c>
      <c r="CB523" t="str">
        <f>""</f>
        <v/>
      </c>
      <c r="CC523" t="str">
        <f>""</f>
        <v/>
      </c>
      <c r="CD523" t="str">
        <f>"SMTWTFS 0000-2359"</f>
        <v>SMTWTFS 0000-2359</v>
      </c>
      <c r="CE523" t="str">
        <f>""</f>
        <v/>
      </c>
      <c r="CF523" t="str">
        <f>""</f>
        <v/>
      </c>
      <c r="CG523" t="str">
        <f>""</f>
        <v/>
      </c>
      <c r="CH523" t="str">
        <f>""</f>
        <v/>
      </c>
    </row>
    <row r="524" spans="1:86" x14ac:dyDescent="0.25">
      <c r="A524" t="s">
        <v>5171</v>
      </c>
      <c r="B524" t="s">
        <v>5172</v>
      </c>
      <c r="C524" t="s">
        <v>1992</v>
      </c>
      <c r="D524" t="s">
        <v>2331</v>
      </c>
      <c r="E524" t="s">
        <v>5173</v>
      </c>
      <c r="H524" t="s">
        <v>5174</v>
      </c>
      <c r="I524" t="s">
        <v>680</v>
      </c>
      <c r="J524" t="str">
        <f>"05602"</f>
        <v>05602</v>
      </c>
      <c r="K524" t="s">
        <v>1998</v>
      </c>
      <c r="L524" t="s">
        <v>2033</v>
      </c>
      <c r="M524" t="s">
        <v>2063</v>
      </c>
      <c r="N524" t="s">
        <v>1992</v>
      </c>
      <c r="O524" t="s">
        <v>1992</v>
      </c>
      <c r="P524" t="s">
        <v>1992</v>
      </c>
      <c r="Q524" t="s">
        <v>1992</v>
      </c>
      <c r="R524" t="s">
        <v>1992</v>
      </c>
      <c r="S524" t="s">
        <v>1992</v>
      </c>
      <c r="T524" t="s">
        <v>1992</v>
      </c>
      <c r="U524" t="s">
        <v>1992</v>
      </c>
      <c r="V524" t="s">
        <v>1991</v>
      </c>
      <c r="W524" t="s">
        <v>1991</v>
      </c>
      <c r="X524" t="s">
        <v>1992</v>
      </c>
      <c r="Y524" t="s">
        <v>1992</v>
      </c>
      <c r="Z524" t="s">
        <v>1992</v>
      </c>
      <c r="AF524" t="s">
        <v>2016</v>
      </c>
      <c r="AG524" t="s">
        <v>1991</v>
      </c>
      <c r="AH524">
        <v>30</v>
      </c>
      <c r="AI524">
        <v>30</v>
      </c>
      <c r="AJ524" t="s">
        <v>5175</v>
      </c>
      <c r="AK524">
        <v>526</v>
      </c>
      <c r="AL524">
        <v>7954</v>
      </c>
      <c r="AM524" t="s">
        <v>5176</v>
      </c>
      <c r="AN524" t="s">
        <v>2066</v>
      </c>
      <c r="AO524" t="s">
        <v>2063</v>
      </c>
      <c r="AU524" t="s">
        <v>5177</v>
      </c>
      <c r="AV524" t="s">
        <v>1053</v>
      </c>
      <c r="BF524" t="s">
        <v>1053</v>
      </c>
      <c r="BG524" t="s">
        <v>684</v>
      </c>
      <c r="BH524" t="s">
        <v>685</v>
      </c>
      <c r="BI524" t="s">
        <v>1053</v>
      </c>
      <c r="BJ524" t="s">
        <v>1053</v>
      </c>
      <c r="BK524" t="s">
        <v>1053</v>
      </c>
      <c r="BL524" t="s">
        <v>1053</v>
      </c>
      <c r="BM524" t="s">
        <v>251</v>
      </c>
      <c r="BN524" t="s">
        <v>252</v>
      </c>
      <c r="BO524" t="s">
        <v>1053</v>
      </c>
      <c r="BP524" t="s">
        <v>467</v>
      </c>
      <c r="BQ524" t="s">
        <v>254</v>
      </c>
      <c r="BR524" t="s">
        <v>1053</v>
      </c>
      <c r="BS524" t="s">
        <v>1053</v>
      </c>
      <c r="BT524" t="s">
        <v>1053</v>
      </c>
      <c r="BU524" t="s">
        <v>1053</v>
      </c>
      <c r="BV524" t="s">
        <v>255</v>
      </c>
      <c r="BW524" t="s">
        <v>256</v>
      </c>
      <c r="BX524" t="str">
        <f>"SMTWTFS 0915-1115 1930-2030"</f>
        <v>SMTWTFS 0915-1115 1930-2030</v>
      </c>
      <c r="BY524" t="str">
        <f>""</f>
        <v/>
      </c>
      <c r="BZ524" t="str">
        <f>""</f>
        <v/>
      </c>
      <c r="CA524" t="str">
        <f>""</f>
        <v/>
      </c>
      <c r="CB524" t="str">
        <f>""</f>
        <v/>
      </c>
      <c r="CC524" t="str">
        <f>""</f>
        <v/>
      </c>
      <c r="CD524" t="str">
        <f>""</f>
        <v/>
      </c>
      <c r="CE524" t="str">
        <f>""</f>
        <v/>
      </c>
      <c r="CF524" t="str">
        <f>""</f>
        <v/>
      </c>
      <c r="CG524" t="str">
        <f>""</f>
        <v/>
      </c>
      <c r="CH524" t="str">
        <f>""</f>
        <v/>
      </c>
    </row>
    <row r="525" spans="1:86" x14ac:dyDescent="0.25">
      <c r="A525" t="s">
        <v>5178</v>
      </c>
      <c r="B525" t="s">
        <v>5179</v>
      </c>
      <c r="C525" t="s">
        <v>1992</v>
      </c>
      <c r="D525" t="s">
        <v>2010</v>
      </c>
      <c r="E525" t="s">
        <v>5180</v>
      </c>
      <c r="F525" t="s">
        <v>5181</v>
      </c>
      <c r="H525" t="s">
        <v>5182</v>
      </c>
      <c r="I525" t="s">
        <v>2352</v>
      </c>
      <c r="J525" t="str">
        <f>"49855"</f>
        <v>49855</v>
      </c>
      <c r="K525" t="s">
        <v>1998</v>
      </c>
      <c r="L525" t="s">
        <v>1999</v>
      </c>
      <c r="M525" t="s">
        <v>2063</v>
      </c>
      <c r="N525" t="s">
        <v>1992</v>
      </c>
      <c r="O525" t="s">
        <v>1992</v>
      </c>
      <c r="P525" t="s">
        <v>1992</v>
      </c>
      <c r="Q525" t="s">
        <v>1992</v>
      </c>
      <c r="R525" t="s">
        <v>1992</v>
      </c>
      <c r="S525" t="s">
        <v>1992</v>
      </c>
      <c r="T525" t="s">
        <v>1992</v>
      </c>
      <c r="U525" t="s">
        <v>1992</v>
      </c>
      <c r="V525" t="s">
        <v>1991</v>
      </c>
      <c r="W525" t="s">
        <v>1992</v>
      </c>
      <c r="X525" t="s">
        <v>1992</v>
      </c>
      <c r="Y525" t="s">
        <v>1992</v>
      </c>
      <c r="Z525" t="s">
        <v>1991</v>
      </c>
      <c r="AA525" t="s">
        <v>1992</v>
      </c>
      <c r="AF525" t="s">
        <v>2016</v>
      </c>
      <c r="AG525" t="s">
        <v>1991</v>
      </c>
      <c r="AH525">
        <v>30</v>
      </c>
      <c r="AI525">
        <v>30</v>
      </c>
      <c r="AJ525" t="s">
        <v>5183</v>
      </c>
      <c r="AK525">
        <v>873</v>
      </c>
      <c r="BF525" t="s">
        <v>1053</v>
      </c>
      <c r="BG525" t="s">
        <v>2421</v>
      </c>
      <c r="BH525" t="s">
        <v>2422</v>
      </c>
      <c r="BI525" t="s">
        <v>1053</v>
      </c>
      <c r="BK525" t="s">
        <v>1053</v>
      </c>
      <c r="BM525" t="s">
        <v>287</v>
      </c>
      <c r="BN525" t="s">
        <v>2423</v>
      </c>
      <c r="BO525" t="s">
        <v>1053</v>
      </c>
      <c r="BP525" t="s">
        <v>289</v>
      </c>
      <c r="BQ525" t="s">
        <v>2006</v>
      </c>
      <c r="BR525" t="s">
        <v>1053</v>
      </c>
      <c r="BS525" t="s">
        <v>1053</v>
      </c>
      <c r="BT525" t="s">
        <v>1053</v>
      </c>
      <c r="BU525" t="s">
        <v>1053</v>
      </c>
      <c r="BV525" t="s">
        <v>951</v>
      </c>
      <c r="BW525" t="s">
        <v>952</v>
      </c>
      <c r="BX525" t="str">
        <f>""</f>
        <v/>
      </c>
      <c r="BY525" t="str">
        <f>""</f>
        <v/>
      </c>
      <c r="BZ525" t="str">
        <f>""</f>
        <v/>
      </c>
      <c r="CA525" t="str">
        <f>""</f>
        <v/>
      </c>
      <c r="CB525" t="str">
        <f>""</f>
        <v/>
      </c>
      <c r="CC525" t="str">
        <f>""</f>
        <v/>
      </c>
      <c r="CD525" t="str">
        <f>""</f>
        <v/>
      </c>
      <c r="CE525" t="str">
        <f>""</f>
        <v/>
      </c>
      <c r="CF525" t="str">
        <f>""</f>
        <v/>
      </c>
      <c r="CG525" t="str">
        <f>""</f>
        <v/>
      </c>
      <c r="CH525" t="str">
        <f>""</f>
        <v/>
      </c>
    </row>
    <row r="526" spans="1:86" x14ac:dyDescent="0.25">
      <c r="A526" t="s">
        <v>5184</v>
      </c>
      <c r="B526" t="s">
        <v>5185</v>
      </c>
      <c r="C526" t="s">
        <v>1992</v>
      </c>
      <c r="D526" t="s">
        <v>2010</v>
      </c>
      <c r="E526" t="s">
        <v>5186</v>
      </c>
      <c r="F526" t="s">
        <v>5187</v>
      </c>
      <c r="H526" t="s">
        <v>5188</v>
      </c>
      <c r="I526" t="s">
        <v>2340</v>
      </c>
      <c r="J526" t="str">
        <f>"25401"</f>
        <v>25401</v>
      </c>
      <c r="K526" t="s">
        <v>1998</v>
      </c>
      <c r="L526" t="s">
        <v>2015</v>
      </c>
      <c r="M526" t="s">
        <v>2000</v>
      </c>
      <c r="N526" t="s">
        <v>1992</v>
      </c>
      <c r="O526" t="s">
        <v>1991</v>
      </c>
      <c r="P526" t="s">
        <v>1992</v>
      </c>
      <c r="Q526" t="s">
        <v>1992</v>
      </c>
      <c r="R526" t="s">
        <v>1992</v>
      </c>
      <c r="S526" t="s">
        <v>1992</v>
      </c>
      <c r="T526" t="s">
        <v>1992</v>
      </c>
      <c r="U526" t="s">
        <v>1992</v>
      </c>
      <c r="V526" t="s">
        <v>1991</v>
      </c>
      <c r="W526" t="s">
        <v>1991</v>
      </c>
      <c r="X526" t="s">
        <v>1991</v>
      </c>
      <c r="Y526" t="s">
        <v>1992</v>
      </c>
      <c r="Z526" t="s">
        <v>1992</v>
      </c>
      <c r="AF526" t="s">
        <v>2016</v>
      </c>
      <c r="AG526" t="s">
        <v>1991</v>
      </c>
      <c r="AH526">
        <v>30</v>
      </c>
      <c r="AI526">
        <v>30</v>
      </c>
      <c r="AJ526" t="s">
        <v>5189</v>
      </c>
      <c r="AK526">
        <v>437</v>
      </c>
      <c r="AL526">
        <v>14000</v>
      </c>
      <c r="AM526" t="s">
        <v>5190</v>
      </c>
      <c r="BF526" t="s">
        <v>1053</v>
      </c>
      <c r="BG526" t="s">
        <v>5191</v>
      </c>
      <c r="BH526" t="s">
        <v>367</v>
      </c>
      <c r="BI526" t="s">
        <v>1053</v>
      </c>
      <c r="BJ526" t="s">
        <v>1053</v>
      </c>
      <c r="BK526" t="s">
        <v>1053</v>
      </c>
      <c r="BL526" t="s">
        <v>1053</v>
      </c>
      <c r="BM526" t="s">
        <v>2347</v>
      </c>
      <c r="BO526" t="s">
        <v>1053</v>
      </c>
      <c r="BP526" t="s">
        <v>5192</v>
      </c>
      <c r="BQ526" t="s">
        <v>367</v>
      </c>
      <c r="BR526" t="s">
        <v>1053</v>
      </c>
      <c r="BS526" t="s">
        <v>1053</v>
      </c>
      <c r="BT526" t="s">
        <v>1053</v>
      </c>
      <c r="BU526" t="s">
        <v>1053</v>
      </c>
      <c r="BV526" t="s">
        <v>2347</v>
      </c>
      <c r="BX526" t="str">
        <f>"S------ 1100-1800; -MTWTF- 0500-2130; ------S 0800-1800"</f>
        <v>S------ 1100-1800; -MTWTF- 0500-2130; ------S 0800-1800</v>
      </c>
      <c r="BY526" t="str">
        <f>""</f>
        <v/>
      </c>
      <c r="BZ526" t="str">
        <f>""</f>
        <v/>
      </c>
      <c r="CA526" t="str">
        <f>""</f>
        <v/>
      </c>
      <c r="CB526" t="str">
        <f>""</f>
        <v/>
      </c>
      <c r="CC526" t="str">
        <f>"S------ 1100-1800; -MTWTF- 0500-2130; ------S 0800-1800"</f>
        <v>S------ 1100-1800; -MTWTF- 0500-2130; ------S 0800-1800</v>
      </c>
      <c r="CD526" t="str">
        <f>""</f>
        <v/>
      </c>
      <c r="CE526" t="str">
        <f>""</f>
        <v/>
      </c>
      <c r="CF526" t="str">
        <f>""</f>
        <v/>
      </c>
      <c r="CG526" t="str">
        <f>""</f>
        <v/>
      </c>
      <c r="CH526" t="str">
        <f>""</f>
        <v/>
      </c>
    </row>
    <row r="527" spans="1:86" x14ac:dyDescent="0.25">
      <c r="A527" t="s">
        <v>5193</v>
      </c>
      <c r="B527" t="s">
        <v>5194</v>
      </c>
      <c r="C527" t="s">
        <v>1991</v>
      </c>
      <c r="D527" t="s">
        <v>2010</v>
      </c>
      <c r="E527" t="s">
        <v>5195</v>
      </c>
      <c r="F527" t="s">
        <v>5196</v>
      </c>
      <c r="H527" t="s">
        <v>5197</v>
      </c>
      <c r="I527" t="s">
        <v>586</v>
      </c>
      <c r="J527" t="str">
        <f>"85139"</f>
        <v>85139</v>
      </c>
      <c r="K527" t="s">
        <v>1998</v>
      </c>
      <c r="L527" t="s">
        <v>2045</v>
      </c>
      <c r="M527" t="s">
        <v>5198</v>
      </c>
      <c r="N527" t="s">
        <v>1991</v>
      </c>
      <c r="O527" t="s">
        <v>1992</v>
      </c>
      <c r="P527" t="s">
        <v>1992</v>
      </c>
      <c r="Q527" t="s">
        <v>1991</v>
      </c>
      <c r="R527" t="s">
        <v>1991</v>
      </c>
      <c r="S527" t="s">
        <v>1992</v>
      </c>
      <c r="T527" t="s">
        <v>1992</v>
      </c>
      <c r="U527" t="s">
        <v>1992</v>
      </c>
      <c r="V527" t="s">
        <v>1991</v>
      </c>
      <c r="W527" t="s">
        <v>1991</v>
      </c>
      <c r="X527" t="s">
        <v>1992</v>
      </c>
      <c r="Y527" t="s">
        <v>1992</v>
      </c>
      <c r="Z527" t="s">
        <v>1992</v>
      </c>
      <c r="AA527" t="s">
        <v>1992</v>
      </c>
      <c r="AB527" t="s">
        <v>5199</v>
      </c>
      <c r="AE527" t="s">
        <v>2047</v>
      </c>
      <c r="AF527" t="s">
        <v>2048</v>
      </c>
      <c r="AG527" t="s">
        <v>1992</v>
      </c>
      <c r="AH527">
        <v>60</v>
      </c>
      <c r="AI527">
        <v>30</v>
      </c>
      <c r="AJ527" t="s">
        <v>5200</v>
      </c>
      <c r="AK527">
        <v>1175</v>
      </c>
      <c r="AL527">
        <v>20000</v>
      </c>
      <c r="AN527" t="s">
        <v>5201</v>
      </c>
      <c r="AO527" t="s">
        <v>1053</v>
      </c>
      <c r="AQ527" t="s">
        <v>1053</v>
      </c>
      <c r="AS527" t="s">
        <v>5193</v>
      </c>
      <c r="AT527" t="s">
        <v>5202</v>
      </c>
      <c r="BF527" t="s">
        <v>1053</v>
      </c>
      <c r="BG527" t="s">
        <v>2019</v>
      </c>
      <c r="BH527" t="s">
        <v>2053</v>
      </c>
      <c r="BI527" t="s">
        <v>1053</v>
      </c>
      <c r="BO527" t="s">
        <v>1053</v>
      </c>
      <c r="BP527" t="s">
        <v>2101</v>
      </c>
      <c r="BQ527" t="s">
        <v>2055</v>
      </c>
      <c r="BR527" t="s">
        <v>1053</v>
      </c>
      <c r="BS527" t="s">
        <v>1053</v>
      </c>
      <c r="BV527" t="s">
        <v>2056</v>
      </c>
      <c r="BX527" t="str">
        <f>"S-T---- 1315-2245; -M--T-- 0415-2245; -----FS 0415-1345"</f>
        <v>S-T---- 1315-2245; -M--T-- 0415-2245; -----FS 0415-1345</v>
      </c>
      <c r="BY527" t="str">
        <f>"S-T---- 1315-2245; -M--T-- 0415-2245; -----FS 0415-1345"</f>
        <v>S-T---- 1315-2245; -M--T-- 0415-2245; -----FS 0415-1345</v>
      </c>
      <c r="BZ527" t="str">
        <f>"S-T---- 1315-2245; -M--T-- 0415-2245; -----FS 0415-1345"</f>
        <v>S-T---- 1315-2245; -M--T-- 0415-2245; -----FS 0415-1345</v>
      </c>
      <c r="CA527" t="str">
        <f>"S-T---- 1315-2245; -M--T-- 0415-2245; -----FS 0415-1345"</f>
        <v>S-T---- 1315-2245; -M--T-- 0415-2245; -----FS 0415-1345</v>
      </c>
      <c r="CB527" t="str">
        <f>""</f>
        <v/>
      </c>
      <c r="CC527" t="str">
        <f>""</f>
        <v/>
      </c>
      <c r="CD527" t="str">
        <f>""</f>
        <v/>
      </c>
      <c r="CE527" t="str">
        <f>""</f>
        <v/>
      </c>
      <c r="CF527" t="str">
        <f>"S-T---- 1315-2245; -M--T-- 0415-2245; -----FS 0415-1345"</f>
        <v>S-T---- 1315-2245; -M--T-- 0415-2245; -----FS 0415-1345</v>
      </c>
      <c r="CG527" t="str">
        <f>""</f>
        <v/>
      </c>
      <c r="CH527" t="str">
        <f>"SMTWTFS 0000-2359"</f>
        <v>SMTWTFS 0000-2359</v>
      </c>
    </row>
    <row r="528" spans="1:86" x14ac:dyDescent="0.25">
      <c r="A528" t="s">
        <v>5203</v>
      </c>
      <c r="B528" t="s">
        <v>5204</v>
      </c>
      <c r="C528" t="s">
        <v>1992</v>
      </c>
      <c r="D528" t="s">
        <v>1993</v>
      </c>
      <c r="E528" t="s">
        <v>6755</v>
      </c>
      <c r="F528" t="s">
        <v>6756</v>
      </c>
      <c r="H528" t="s">
        <v>6757</v>
      </c>
      <c r="I528" t="s">
        <v>2061</v>
      </c>
      <c r="J528" t="str">
        <f>"95338"</f>
        <v>95338</v>
      </c>
      <c r="K528" t="s">
        <v>1998</v>
      </c>
      <c r="L528" t="s">
        <v>2062</v>
      </c>
      <c r="M528" t="s">
        <v>2000</v>
      </c>
      <c r="N528" t="s">
        <v>1992</v>
      </c>
      <c r="O528" t="s">
        <v>1992</v>
      </c>
      <c r="P528" t="s">
        <v>1992</v>
      </c>
      <c r="Q528" t="s">
        <v>1992</v>
      </c>
      <c r="R528" t="s">
        <v>1992</v>
      </c>
      <c r="S528" t="s">
        <v>1992</v>
      </c>
      <c r="T528" t="s">
        <v>1992</v>
      </c>
      <c r="U528" t="s">
        <v>1992</v>
      </c>
      <c r="V528" t="s">
        <v>1991</v>
      </c>
      <c r="Z528" t="s">
        <v>1991</v>
      </c>
      <c r="AB528" t="s">
        <v>6758</v>
      </c>
      <c r="AF528" t="s">
        <v>2064</v>
      </c>
      <c r="AG528" t="s">
        <v>1991</v>
      </c>
      <c r="AH528">
        <v>15</v>
      </c>
      <c r="AI528">
        <v>15</v>
      </c>
      <c r="AJ528" t="s">
        <v>6759</v>
      </c>
      <c r="AK528">
        <v>1956</v>
      </c>
      <c r="BX528" t="str">
        <f>""</f>
        <v/>
      </c>
      <c r="BY528" t="str">
        <f>""</f>
        <v/>
      </c>
      <c r="BZ528" t="str">
        <f>""</f>
        <v/>
      </c>
      <c r="CA528" t="str">
        <f>""</f>
        <v/>
      </c>
      <c r="CB528" t="str">
        <f>""</f>
        <v/>
      </c>
      <c r="CC528" t="str">
        <f>""</f>
        <v/>
      </c>
      <c r="CD528" t="str">
        <f>""</f>
        <v/>
      </c>
      <c r="CE528" t="str">
        <f>""</f>
        <v/>
      </c>
      <c r="CF528" t="str">
        <f>""</f>
        <v/>
      </c>
      <c r="CG528" t="str">
        <f>""</f>
        <v/>
      </c>
      <c r="CH528" t="str">
        <f>""</f>
        <v/>
      </c>
    </row>
    <row r="529" spans="1:86" x14ac:dyDescent="0.25">
      <c r="A529" t="s">
        <v>6713</v>
      </c>
      <c r="B529" t="s">
        <v>6714</v>
      </c>
      <c r="C529" t="s">
        <v>1992</v>
      </c>
      <c r="D529" t="s">
        <v>1993</v>
      </c>
      <c r="E529" t="s">
        <v>6715</v>
      </c>
      <c r="F529" t="s">
        <v>6716</v>
      </c>
      <c r="G529" t="s">
        <v>6717</v>
      </c>
      <c r="H529" t="s">
        <v>6757</v>
      </c>
      <c r="I529" t="s">
        <v>2061</v>
      </c>
      <c r="J529" t="str">
        <f>"95338"</f>
        <v>95338</v>
      </c>
      <c r="K529" t="s">
        <v>1998</v>
      </c>
      <c r="L529" t="s">
        <v>2062</v>
      </c>
      <c r="M529" t="s">
        <v>2000</v>
      </c>
      <c r="N529" t="s">
        <v>1992</v>
      </c>
      <c r="O529" t="s">
        <v>1992</v>
      </c>
      <c r="P529" t="s">
        <v>1992</v>
      </c>
      <c r="Q529" t="s">
        <v>1992</v>
      </c>
      <c r="R529" t="s">
        <v>1992</v>
      </c>
      <c r="S529" t="s">
        <v>1992</v>
      </c>
      <c r="T529" t="s">
        <v>1992</v>
      </c>
      <c r="U529" t="s">
        <v>1992</v>
      </c>
      <c r="V529" t="s">
        <v>1991</v>
      </c>
      <c r="W529" t="s">
        <v>1992</v>
      </c>
      <c r="X529" t="s">
        <v>1992</v>
      </c>
      <c r="Y529" t="s">
        <v>1992</v>
      </c>
      <c r="Z529" t="s">
        <v>1991</v>
      </c>
      <c r="AB529" t="s">
        <v>6758</v>
      </c>
      <c r="AF529" t="s">
        <v>2064</v>
      </c>
      <c r="AG529" t="s">
        <v>1991</v>
      </c>
      <c r="AH529">
        <v>30</v>
      </c>
      <c r="AI529">
        <v>30</v>
      </c>
      <c r="AJ529" t="s">
        <v>6718</v>
      </c>
      <c r="AK529">
        <v>2014</v>
      </c>
      <c r="AM529" t="s">
        <v>2298</v>
      </c>
      <c r="AN529" t="s">
        <v>308</v>
      </c>
      <c r="AO529" t="s">
        <v>2063</v>
      </c>
      <c r="BF529" t="s">
        <v>1053</v>
      </c>
      <c r="BG529" t="s">
        <v>309</v>
      </c>
      <c r="BH529" t="s">
        <v>2301</v>
      </c>
      <c r="BI529" t="s">
        <v>1053</v>
      </c>
      <c r="BK529" t="s">
        <v>1053</v>
      </c>
      <c r="BO529" t="s">
        <v>1053</v>
      </c>
      <c r="BP529" t="s">
        <v>518</v>
      </c>
      <c r="BQ529" t="s">
        <v>3820</v>
      </c>
      <c r="BR529" t="s">
        <v>1053</v>
      </c>
      <c r="BT529" t="s">
        <v>1053</v>
      </c>
      <c r="BV529" t="s">
        <v>2070</v>
      </c>
      <c r="BW529">
        <v>0</v>
      </c>
      <c r="BX529" t="str">
        <f>""</f>
        <v/>
      </c>
      <c r="BY529" t="str">
        <f>""</f>
        <v/>
      </c>
      <c r="BZ529" t="str">
        <f>""</f>
        <v/>
      </c>
      <c r="CA529" t="str">
        <f>""</f>
        <v/>
      </c>
      <c r="CB529" t="str">
        <f>""</f>
        <v/>
      </c>
      <c r="CC529" t="str">
        <f>""</f>
        <v/>
      </c>
      <c r="CD529" t="str">
        <f>""</f>
        <v/>
      </c>
      <c r="CE529" t="str">
        <f>""</f>
        <v/>
      </c>
      <c r="CF529" t="str">
        <f>""</f>
        <v/>
      </c>
      <c r="CG529" t="str">
        <f>""</f>
        <v/>
      </c>
      <c r="CH529" t="str">
        <f>""</f>
        <v/>
      </c>
    </row>
    <row r="530" spans="1:86" x14ac:dyDescent="0.25">
      <c r="A530" t="s">
        <v>6719</v>
      </c>
      <c r="B530" t="s">
        <v>6720</v>
      </c>
      <c r="C530" t="s">
        <v>1992</v>
      </c>
      <c r="D530" t="s">
        <v>2010</v>
      </c>
      <c r="E530" t="s">
        <v>6721</v>
      </c>
      <c r="F530" t="s">
        <v>6722</v>
      </c>
      <c r="G530" t="s">
        <v>6723</v>
      </c>
      <c r="H530" t="s">
        <v>6724</v>
      </c>
      <c r="I530" t="s">
        <v>2061</v>
      </c>
      <c r="J530" t="str">
        <f>"95901-5211"</f>
        <v>95901-5211</v>
      </c>
      <c r="K530" t="s">
        <v>1998</v>
      </c>
      <c r="L530" t="s">
        <v>2062</v>
      </c>
      <c r="M530" t="s">
        <v>2063</v>
      </c>
      <c r="N530" t="s">
        <v>1992</v>
      </c>
      <c r="O530" t="s">
        <v>1992</v>
      </c>
      <c r="P530" t="s">
        <v>1992</v>
      </c>
      <c r="Q530" t="s">
        <v>1992</v>
      </c>
      <c r="R530" t="s">
        <v>1992</v>
      </c>
      <c r="S530" t="s">
        <v>1992</v>
      </c>
      <c r="T530" t="s">
        <v>1992</v>
      </c>
      <c r="U530" t="s">
        <v>1992</v>
      </c>
      <c r="V530" t="s">
        <v>1991</v>
      </c>
      <c r="W530" t="s">
        <v>1992</v>
      </c>
      <c r="X530" t="s">
        <v>1992</v>
      </c>
      <c r="Y530" t="s">
        <v>1991</v>
      </c>
      <c r="Z530" t="s">
        <v>1991</v>
      </c>
      <c r="AF530" t="s">
        <v>2064</v>
      </c>
      <c r="AG530" t="s">
        <v>1991</v>
      </c>
      <c r="AH530">
        <v>30</v>
      </c>
      <c r="AI530">
        <v>30</v>
      </c>
      <c r="AJ530" t="s">
        <v>6725</v>
      </c>
      <c r="AK530">
        <v>62</v>
      </c>
      <c r="AL530">
        <v>11400</v>
      </c>
      <c r="AM530" t="s">
        <v>2298</v>
      </c>
      <c r="AN530" t="s">
        <v>308</v>
      </c>
      <c r="AO530" t="s">
        <v>2063</v>
      </c>
      <c r="BF530" t="s">
        <v>1053</v>
      </c>
      <c r="BG530" t="s">
        <v>309</v>
      </c>
      <c r="BH530" t="s">
        <v>2301</v>
      </c>
      <c r="BI530" t="s">
        <v>1053</v>
      </c>
      <c r="BK530" t="s">
        <v>1053</v>
      </c>
      <c r="BO530" t="s">
        <v>1053</v>
      </c>
      <c r="BP530" t="s">
        <v>394</v>
      </c>
      <c r="BQ530" t="s">
        <v>4981</v>
      </c>
      <c r="BR530" t="s">
        <v>1053</v>
      </c>
      <c r="BS530" t="s">
        <v>1053</v>
      </c>
      <c r="BT530" t="s">
        <v>1053</v>
      </c>
      <c r="BU530" t="s">
        <v>1053</v>
      </c>
      <c r="BX530" t="str">
        <f>""</f>
        <v/>
      </c>
      <c r="BY530" t="str">
        <f>""</f>
        <v/>
      </c>
      <c r="BZ530" t="str">
        <f>""</f>
        <v/>
      </c>
      <c r="CA530" t="str">
        <f>""</f>
        <v/>
      </c>
      <c r="CB530" t="str">
        <f>""</f>
        <v/>
      </c>
      <c r="CC530" t="str">
        <f>""</f>
        <v/>
      </c>
      <c r="CD530" t="str">
        <f>""</f>
        <v/>
      </c>
      <c r="CE530" t="str">
        <f>""</f>
        <v/>
      </c>
      <c r="CF530" t="str">
        <f>""</f>
        <v/>
      </c>
      <c r="CG530" t="str">
        <f>""</f>
        <v/>
      </c>
      <c r="CH530" t="str">
        <f>""</f>
        <v/>
      </c>
    </row>
    <row r="531" spans="1:86" x14ac:dyDescent="0.25">
      <c r="A531" t="s">
        <v>6726</v>
      </c>
      <c r="B531" t="s">
        <v>6727</v>
      </c>
      <c r="C531" t="s">
        <v>1992</v>
      </c>
      <c r="D531" t="s">
        <v>1993</v>
      </c>
      <c r="E531" t="s">
        <v>6728</v>
      </c>
      <c r="F531" t="s">
        <v>6729</v>
      </c>
      <c r="G531" t="s">
        <v>6730</v>
      </c>
      <c r="H531" t="s">
        <v>6731</v>
      </c>
      <c r="I531" t="s">
        <v>2061</v>
      </c>
      <c r="J531" t="str">
        <f>"93940"</f>
        <v>93940</v>
      </c>
      <c r="K531" t="s">
        <v>1998</v>
      </c>
      <c r="L531" t="s">
        <v>2062</v>
      </c>
      <c r="M531" t="s">
        <v>2000</v>
      </c>
      <c r="N531" t="s">
        <v>1992</v>
      </c>
      <c r="O531" t="s">
        <v>1992</v>
      </c>
      <c r="P531" t="s">
        <v>1992</v>
      </c>
      <c r="Q531" t="s">
        <v>1992</v>
      </c>
      <c r="R531" t="s">
        <v>1992</v>
      </c>
      <c r="S531" t="s">
        <v>1992</v>
      </c>
      <c r="T531" t="s">
        <v>1992</v>
      </c>
      <c r="U531" t="s">
        <v>1992</v>
      </c>
      <c r="V531" t="s">
        <v>1991</v>
      </c>
      <c r="W531" t="s">
        <v>1992</v>
      </c>
      <c r="X531" t="s">
        <v>1992</v>
      </c>
      <c r="Y531" t="s">
        <v>1991</v>
      </c>
      <c r="Z531" t="s">
        <v>1992</v>
      </c>
      <c r="AB531" t="s">
        <v>6732</v>
      </c>
      <c r="AF531" t="s">
        <v>2064</v>
      </c>
      <c r="AG531" t="s">
        <v>1991</v>
      </c>
      <c r="AH531">
        <v>30</v>
      </c>
      <c r="AI531">
        <v>30</v>
      </c>
      <c r="AJ531" t="s">
        <v>6733</v>
      </c>
      <c r="AK531">
        <v>21</v>
      </c>
      <c r="AM531" t="s">
        <v>2298</v>
      </c>
      <c r="AN531" t="s">
        <v>308</v>
      </c>
      <c r="AO531" t="s">
        <v>2063</v>
      </c>
      <c r="BF531" t="s">
        <v>1053</v>
      </c>
      <c r="BG531" t="s">
        <v>309</v>
      </c>
      <c r="BH531" t="s">
        <v>2301</v>
      </c>
      <c r="BI531" t="s">
        <v>1053</v>
      </c>
      <c r="BK531" t="s">
        <v>1053</v>
      </c>
      <c r="BO531" t="s">
        <v>1053</v>
      </c>
      <c r="BP531" t="s">
        <v>518</v>
      </c>
      <c r="BQ531" t="s">
        <v>3820</v>
      </c>
      <c r="BR531" t="s">
        <v>1053</v>
      </c>
      <c r="BT531" t="s">
        <v>1053</v>
      </c>
      <c r="BV531" t="s">
        <v>2070</v>
      </c>
      <c r="BX531" t="str">
        <f>""</f>
        <v/>
      </c>
      <c r="BY531" t="str">
        <f>""</f>
        <v/>
      </c>
      <c r="BZ531" t="str">
        <f>""</f>
        <v/>
      </c>
      <c r="CA531" t="str">
        <f>""</f>
        <v/>
      </c>
      <c r="CB531" t="str">
        <f>""</f>
        <v/>
      </c>
      <c r="CC531" t="str">
        <f>""</f>
        <v/>
      </c>
      <c r="CD531" t="str">
        <f>""</f>
        <v/>
      </c>
      <c r="CE531" t="str">
        <f>""</f>
        <v/>
      </c>
      <c r="CF531" t="str">
        <f>""</f>
        <v/>
      </c>
      <c r="CG531" t="str">
        <f>""</f>
        <v/>
      </c>
      <c r="CH531" t="str">
        <f>""</f>
        <v/>
      </c>
    </row>
    <row r="532" spans="1:86" x14ac:dyDescent="0.25">
      <c r="A532" t="s">
        <v>6734</v>
      </c>
      <c r="B532" t="s">
        <v>6735</v>
      </c>
      <c r="D532" t="s">
        <v>2089</v>
      </c>
      <c r="E532" t="s">
        <v>6736</v>
      </c>
      <c r="F532" t="s">
        <v>497</v>
      </c>
      <c r="H532" t="s">
        <v>6737</v>
      </c>
      <c r="I532" t="s">
        <v>2014</v>
      </c>
      <c r="J532" t="str">
        <f>"21220"</f>
        <v>21220</v>
      </c>
      <c r="K532" t="s">
        <v>1998</v>
      </c>
      <c r="L532" t="s">
        <v>499</v>
      </c>
      <c r="M532" t="s">
        <v>500</v>
      </c>
      <c r="O532" t="s">
        <v>1991</v>
      </c>
      <c r="AF532" t="s">
        <v>2016</v>
      </c>
      <c r="AG532" t="s">
        <v>1991</v>
      </c>
      <c r="AJ532" t="s">
        <v>2090</v>
      </c>
      <c r="AM532" t="s">
        <v>501</v>
      </c>
      <c r="BX532" t="str">
        <f>""</f>
        <v/>
      </c>
      <c r="BY532" t="str">
        <f>""</f>
        <v/>
      </c>
      <c r="BZ532" t="str">
        <f>""</f>
        <v/>
      </c>
      <c r="CA532" t="str">
        <f>""</f>
        <v/>
      </c>
      <c r="CB532" t="str">
        <f>""</f>
        <v/>
      </c>
      <c r="CC532" t="str">
        <f>""</f>
        <v/>
      </c>
      <c r="CD532" t="str">
        <f>""</f>
        <v/>
      </c>
      <c r="CE532" t="str">
        <f>""</f>
        <v/>
      </c>
      <c r="CF532" t="str">
        <f>""</f>
        <v/>
      </c>
      <c r="CG532" t="str">
        <f>""</f>
        <v/>
      </c>
      <c r="CH532" t="str">
        <f>""</f>
        <v/>
      </c>
    </row>
    <row r="533" spans="1:86" x14ac:dyDescent="0.25">
      <c r="A533" t="s">
        <v>6738</v>
      </c>
      <c r="B533" t="s">
        <v>6739</v>
      </c>
      <c r="D533" t="s">
        <v>2089</v>
      </c>
      <c r="V533" t="s">
        <v>1991</v>
      </c>
      <c r="AJ533" t="s">
        <v>2090</v>
      </c>
      <c r="BX533" t="str">
        <f>""</f>
        <v/>
      </c>
      <c r="BY533" t="str">
        <f>""</f>
        <v/>
      </c>
      <c r="BZ533" t="str">
        <f>""</f>
        <v/>
      </c>
      <c r="CA533" t="str">
        <f>""</f>
        <v/>
      </c>
      <c r="CB533" t="str">
        <f>""</f>
        <v/>
      </c>
      <c r="CC533" t="str">
        <f>""</f>
        <v/>
      </c>
      <c r="CD533" t="str">
        <f>""</f>
        <v/>
      </c>
      <c r="CE533" t="str">
        <f>""</f>
        <v/>
      </c>
      <c r="CF533" t="str">
        <f>""</f>
        <v/>
      </c>
      <c r="CG533" t="str">
        <f>""</f>
        <v/>
      </c>
      <c r="CH533" t="str">
        <f>""</f>
        <v/>
      </c>
    </row>
    <row r="534" spans="1:86" x14ac:dyDescent="0.25">
      <c r="A534" t="s">
        <v>6740</v>
      </c>
      <c r="B534" t="s">
        <v>6741</v>
      </c>
      <c r="C534" t="s">
        <v>1992</v>
      </c>
      <c r="D534" t="s">
        <v>1993</v>
      </c>
      <c r="E534" t="s">
        <v>6742</v>
      </c>
      <c r="F534" t="s">
        <v>6743</v>
      </c>
      <c r="H534" t="s">
        <v>6744</v>
      </c>
      <c r="I534" t="s">
        <v>1997</v>
      </c>
      <c r="J534" t="str">
        <f>"53532"</f>
        <v>53532</v>
      </c>
      <c r="K534" t="s">
        <v>1998</v>
      </c>
      <c r="L534" t="s">
        <v>1999</v>
      </c>
      <c r="M534" t="s">
        <v>2000</v>
      </c>
      <c r="N534" t="s">
        <v>1992</v>
      </c>
      <c r="O534" t="s">
        <v>1992</v>
      </c>
      <c r="P534" t="s">
        <v>1992</v>
      </c>
      <c r="Q534" t="s">
        <v>1992</v>
      </c>
      <c r="R534" t="s">
        <v>1992</v>
      </c>
      <c r="S534" t="s">
        <v>1992</v>
      </c>
      <c r="T534" t="s">
        <v>1992</v>
      </c>
      <c r="U534" t="s">
        <v>1992</v>
      </c>
      <c r="V534" t="s">
        <v>1991</v>
      </c>
      <c r="Z534" t="s">
        <v>1991</v>
      </c>
      <c r="AF534" t="s">
        <v>2001</v>
      </c>
      <c r="AG534" t="s">
        <v>1991</v>
      </c>
      <c r="AH534">
        <v>15</v>
      </c>
      <c r="AI534">
        <v>15</v>
      </c>
      <c r="AJ534" t="s">
        <v>6745</v>
      </c>
      <c r="AK534">
        <v>868</v>
      </c>
      <c r="BX534" t="str">
        <f>""</f>
        <v/>
      </c>
      <c r="BY534" t="str">
        <f>""</f>
        <v/>
      </c>
      <c r="BZ534" t="str">
        <f>""</f>
        <v/>
      </c>
      <c r="CA534" t="str">
        <f>""</f>
        <v/>
      </c>
      <c r="CB534" t="str">
        <f>""</f>
        <v/>
      </c>
      <c r="CC534" t="str">
        <f>""</f>
        <v/>
      </c>
      <c r="CD534" t="str">
        <f>""</f>
        <v/>
      </c>
      <c r="CE534" t="str">
        <f>""</f>
        <v/>
      </c>
      <c r="CF534" t="str">
        <f>""</f>
        <v/>
      </c>
      <c r="CG534" t="str">
        <f>""</f>
        <v/>
      </c>
      <c r="CH534" t="str">
        <f>""</f>
        <v/>
      </c>
    </row>
    <row r="535" spans="1:86" x14ac:dyDescent="0.25">
      <c r="A535" t="s">
        <v>6746</v>
      </c>
      <c r="B535" t="s">
        <v>6747</v>
      </c>
      <c r="C535" t="s">
        <v>1992</v>
      </c>
      <c r="D535" t="s">
        <v>1993</v>
      </c>
      <c r="E535" t="s">
        <v>6748</v>
      </c>
      <c r="F535" t="s">
        <v>6749</v>
      </c>
      <c r="H535" t="s">
        <v>6750</v>
      </c>
      <c r="I535" t="s">
        <v>1997</v>
      </c>
      <c r="J535" t="str">
        <f>"54455"</f>
        <v>54455</v>
      </c>
      <c r="K535" t="s">
        <v>1998</v>
      </c>
      <c r="L535" t="s">
        <v>1999</v>
      </c>
      <c r="M535" t="s">
        <v>2000</v>
      </c>
      <c r="N535" t="s">
        <v>1992</v>
      </c>
      <c r="O535" t="s">
        <v>1992</v>
      </c>
      <c r="P535" t="s">
        <v>1992</v>
      </c>
      <c r="Q535" t="s">
        <v>1992</v>
      </c>
      <c r="R535" t="s">
        <v>1992</v>
      </c>
      <c r="S535" t="s">
        <v>1992</v>
      </c>
      <c r="T535" t="s">
        <v>1992</v>
      </c>
      <c r="U535" t="s">
        <v>1992</v>
      </c>
      <c r="V535" t="s">
        <v>1991</v>
      </c>
      <c r="Z535" t="s">
        <v>1991</v>
      </c>
      <c r="AF535" t="s">
        <v>2001</v>
      </c>
      <c r="AG535" t="s">
        <v>1991</v>
      </c>
      <c r="AH535">
        <v>15</v>
      </c>
      <c r="AI535">
        <v>15</v>
      </c>
      <c r="AJ535" t="s">
        <v>6751</v>
      </c>
      <c r="AK535">
        <v>1288</v>
      </c>
      <c r="BX535" t="str">
        <f>""</f>
        <v/>
      </c>
      <c r="BY535" t="str">
        <f>""</f>
        <v/>
      </c>
      <c r="BZ535" t="str">
        <f>""</f>
        <v/>
      </c>
      <c r="CA535" t="str">
        <f>""</f>
        <v/>
      </c>
      <c r="CB535" t="str">
        <f>""</f>
        <v/>
      </c>
      <c r="CC535" t="str">
        <f>""</f>
        <v/>
      </c>
      <c r="CD535" t="str">
        <f>""</f>
        <v/>
      </c>
      <c r="CE535" t="str">
        <f>""</f>
        <v/>
      </c>
      <c r="CF535" t="str">
        <f>""</f>
        <v/>
      </c>
      <c r="CG535" t="str">
        <f>""</f>
        <v/>
      </c>
      <c r="CH535" t="str">
        <f>""</f>
        <v/>
      </c>
    </row>
    <row r="536" spans="1:86" x14ac:dyDescent="0.25">
      <c r="A536" t="s">
        <v>6752</v>
      </c>
      <c r="B536" t="s">
        <v>6753</v>
      </c>
      <c r="C536" t="s">
        <v>1992</v>
      </c>
      <c r="D536" t="s">
        <v>1993</v>
      </c>
      <c r="E536" t="s">
        <v>6754</v>
      </c>
      <c r="F536" t="s">
        <v>1177</v>
      </c>
      <c r="H536" t="s">
        <v>3677</v>
      </c>
      <c r="I536" t="s">
        <v>1997</v>
      </c>
      <c r="J536" t="str">
        <f>"53706-1419"</f>
        <v>53706-1419</v>
      </c>
      <c r="K536" t="s">
        <v>1998</v>
      </c>
      <c r="L536" t="s">
        <v>1999</v>
      </c>
      <c r="M536" t="s">
        <v>2063</v>
      </c>
      <c r="N536" t="s">
        <v>1992</v>
      </c>
      <c r="O536" t="s">
        <v>1992</v>
      </c>
      <c r="P536" t="s">
        <v>1992</v>
      </c>
      <c r="Q536" t="s">
        <v>1992</v>
      </c>
      <c r="R536" t="s">
        <v>1992</v>
      </c>
      <c r="S536" t="s">
        <v>1992</v>
      </c>
      <c r="T536" t="s">
        <v>1992</v>
      </c>
      <c r="U536" t="s">
        <v>1992</v>
      </c>
      <c r="V536" t="s">
        <v>1991</v>
      </c>
      <c r="W536" t="s">
        <v>1992</v>
      </c>
      <c r="X536" t="s">
        <v>1992</v>
      </c>
      <c r="Y536" t="s">
        <v>1992</v>
      </c>
      <c r="Z536" t="s">
        <v>1991</v>
      </c>
      <c r="AB536" t="s">
        <v>1178</v>
      </c>
      <c r="AE536" t="s">
        <v>1179</v>
      </c>
      <c r="AF536" t="s">
        <v>2001</v>
      </c>
      <c r="AG536" t="s">
        <v>1991</v>
      </c>
      <c r="AH536">
        <v>30</v>
      </c>
      <c r="AI536">
        <v>30</v>
      </c>
      <c r="AJ536" t="s">
        <v>1180</v>
      </c>
      <c r="AK536">
        <v>860</v>
      </c>
      <c r="AM536" t="s">
        <v>1181</v>
      </c>
      <c r="BF536" t="s">
        <v>1053</v>
      </c>
      <c r="BG536" t="s">
        <v>1182</v>
      </c>
      <c r="BH536" t="s">
        <v>1183</v>
      </c>
      <c r="BI536" t="s">
        <v>1053</v>
      </c>
      <c r="BK536" t="s">
        <v>1053</v>
      </c>
      <c r="BM536" t="s">
        <v>3434</v>
      </c>
      <c r="BN536" t="s">
        <v>3435</v>
      </c>
      <c r="BO536" t="s">
        <v>1053</v>
      </c>
      <c r="BP536" t="s">
        <v>1184</v>
      </c>
      <c r="BQ536" t="s">
        <v>2376</v>
      </c>
      <c r="BR536" t="s">
        <v>1053</v>
      </c>
      <c r="BX536" t="str">
        <f>""</f>
        <v/>
      </c>
      <c r="BY536" t="str">
        <f>""</f>
        <v/>
      </c>
      <c r="BZ536" t="str">
        <f>""</f>
        <v/>
      </c>
      <c r="CA536" t="str">
        <f>""</f>
        <v/>
      </c>
      <c r="CB536" t="str">
        <f>""</f>
        <v/>
      </c>
      <c r="CC536" t="str">
        <f>""</f>
        <v/>
      </c>
      <c r="CD536" t="str">
        <f>""</f>
        <v/>
      </c>
      <c r="CE536" t="str">
        <f>""</f>
        <v/>
      </c>
      <c r="CF536" t="str">
        <f>""</f>
        <v/>
      </c>
      <c r="CG536" t="str">
        <f>""</f>
        <v/>
      </c>
      <c r="CH536" t="str">
        <f>""</f>
        <v/>
      </c>
    </row>
    <row r="537" spans="1:86" x14ac:dyDescent="0.25">
      <c r="A537" t="s">
        <v>1185</v>
      </c>
      <c r="B537" t="s">
        <v>1186</v>
      </c>
      <c r="C537" t="s">
        <v>1991</v>
      </c>
      <c r="D537" t="s">
        <v>2010</v>
      </c>
      <c r="E537" t="s">
        <v>1187</v>
      </c>
      <c r="F537" t="s">
        <v>1188</v>
      </c>
      <c r="H537" t="s">
        <v>1189</v>
      </c>
      <c r="I537" t="s">
        <v>2170</v>
      </c>
      <c r="J537" t="str">
        <f>"55114-1498"</f>
        <v>55114-1498</v>
      </c>
      <c r="K537" t="s">
        <v>1998</v>
      </c>
      <c r="L537" t="s">
        <v>1999</v>
      </c>
      <c r="M537" t="s">
        <v>1190</v>
      </c>
      <c r="N537" t="s">
        <v>1991</v>
      </c>
      <c r="O537" t="s">
        <v>1991</v>
      </c>
      <c r="P537" t="s">
        <v>1992</v>
      </c>
      <c r="Q537" t="s">
        <v>1991</v>
      </c>
      <c r="R537" t="s">
        <v>1991</v>
      </c>
      <c r="S537" t="s">
        <v>1992</v>
      </c>
      <c r="T537" t="s">
        <v>1991</v>
      </c>
      <c r="U537" t="s">
        <v>1991</v>
      </c>
      <c r="V537" t="s">
        <v>1991</v>
      </c>
      <c r="W537" t="s">
        <v>1991</v>
      </c>
      <c r="X537" t="s">
        <v>1992</v>
      </c>
      <c r="Y537" t="s">
        <v>1992</v>
      </c>
      <c r="Z537" t="s">
        <v>1991</v>
      </c>
      <c r="AA537" t="s">
        <v>1992</v>
      </c>
      <c r="AE537" t="s">
        <v>2047</v>
      </c>
      <c r="AF537" t="s">
        <v>2001</v>
      </c>
      <c r="AG537" t="s">
        <v>1991</v>
      </c>
      <c r="AH537">
        <v>60</v>
      </c>
      <c r="AI537">
        <v>30</v>
      </c>
      <c r="AJ537" t="s">
        <v>1191</v>
      </c>
      <c r="AK537">
        <v>902</v>
      </c>
      <c r="AL537">
        <v>662195</v>
      </c>
      <c r="AN537" t="s">
        <v>1053</v>
      </c>
      <c r="AO537" t="s">
        <v>1053</v>
      </c>
      <c r="AP537" t="s">
        <v>2069</v>
      </c>
      <c r="AQ537" t="s">
        <v>1053</v>
      </c>
      <c r="AR537" t="s">
        <v>2069</v>
      </c>
      <c r="AS537" t="s">
        <v>1185</v>
      </c>
      <c r="AT537" t="s">
        <v>3435</v>
      </c>
      <c r="AU537" t="s">
        <v>1053</v>
      </c>
      <c r="AV537" t="s">
        <v>1053</v>
      </c>
      <c r="AW537" t="s">
        <v>2069</v>
      </c>
      <c r="AX537" t="s">
        <v>1053</v>
      </c>
      <c r="AY537" t="s">
        <v>2069</v>
      </c>
      <c r="AZ537" t="s">
        <v>1185</v>
      </c>
      <c r="BA537" t="s">
        <v>3435</v>
      </c>
      <c r="BB537" t="s">
        <v>1053</v>
      </c>
      <c r="BC537" t="s">
        <v>2069</v>
      </c>
      <c r="BD537" t="s">
        <v>1053</v>
      </c>
      <c r="BE537" t="s">
        <v>2069</v>
      </c>
      <c r="BF537" t="s">
        <v>1053</v>
      </c>
      <c r="BG537" t="s">
        <v>703</v>
      </c>
      <c r="BH537" t="s">
        <v>2173</v>
      </c>
      <c r="BI537" t="s">
        <v>1053</v>
      </c>
      <c r="BJ537" t="s">
        <v>2069</v>
      </c>
      <c r="BK537" t="s">
        <v>1053</v>
      </c>
      <c r="BL537" t="s">
        <v>2069</v>
      </c>
      <c r="BM537" t="s">
        <v>287</v>
      </c>
      <c r="BN537" t="s">
        <v>288</v>
      </c>
      <c r="BO537" t="s">
        <v>1053</v>
      </c>
      <c r="BP537" t="s">
        <v>1040</v>
      </c>
      <c r="BQ537" t="s">
        <v>1192</v>
      </c>
      <c r="BR537" t="s">
        <v>1053</v>
      </c>
      <c r="BS537" t="s">
        <v>1053</v>
      </c>
      <c r="BT537" t="s">
        <v>1053</v>
      </c>
      <c r="BU537" t="s">
        <v>1053</v>
      </c>
      <c r="BX537" t="str">
        <f>"SMTWTFS 0600-2345"</f>
        <v>SMTWTFS 0600-2345</v>
      </c>
      <c r="BY537" t="str">
        <f>"SMTWTFS 0630-2245"</f>
        <v>SMTWTFS 0630-2245</v>
      </c>
      <c r="BZ537" t="str">
        <f>"SMTWTFS 0630-2330"</f>
        <v>SMTWTFS 0630-2330</v>
      </c>
      <c r="CA537" t="str">
        <f>"SMTWTFS 0630-2330"</f>
        <v>SMTWTFS 0630-2330</v>
      </c>
      <c r="CB537" t="str">
        <f>""</f>
        <v/>
      </c>
      <c r="CC537" t="str">
        <f>"SMTWTFS 0600-2330"</f>
        <v>SMTWTFS 0600-2330</v>
      </c>
      <c r="CD537" t="str">
        <f>""</f>
        <v/>
      </c>
      <c r="CE537" t="str">
        <f>"SMTWTFS 0600-2345"</f>
        <v>SMTWTFS 0600-2345</v>
      </c>
      <c r="CF537" t="str">
        <f>"SMTWTFS 0800-2100"</f>
        <v>SMTWTFS 0800-2100</v>
      </c>
      <c r="CG537" t="str">
        <f>""</f>
        <v/>
      </c>
      <c r="CH537" t="str">
        <f>""</f>
        <v/>
      </c>
    </row>
    <row r="538" spans="1:86" x14ac:dyDescent="0.25">
      <c r="A538" t="s">
        <v>1193</v>
      </c>
      <c r="B538" t="s">
        <v>1194</v>
      </c>
      <c r="C538" t="s">
        <v>1992</v>
      </c>
      <c r="D538" t="s">
        <v>2010</v>
      </c>
      <c r="E538" t="s">
        <v>1195</v>
      </c>
      <c r="H538" t="s">
        <v>1196</v>
      </c>
      <c r="I538" t="s">
        <v>2405</v>
      </c>
      <c r="J538" t="str">
        <f>"20110"</f>
        <v>20110</v>
      </c>
      <c r="K538" t="s">
        <v>1998</v>
      </c>
      <c r="L538" t="s">
        <v>2015</v>
      </c>
      <c r="M538" t="s">
        <v>2063</v>
      </c>
      <c r="N538" t="s">
        <v>1992</v>
      </c>
      <c r="O538" t="s">
        <v>1992</v>
      </c>
      <c r="P538" t="s">
        <v>1992</v>
      </c>
      <c r="Q538" t="s">
        <v>1992</v>
      </c>
      <c r="R538" t="s">
        <v>1992</v>
      </c>
      <c r="S538" t="s">
        <v>1992</v>
      </c>
      <c r="T538" t="s">
        <v>1992</v>
      </c>
      <c r="U538" t="s">
        <v>1992</v>
      </c>
      <c r="V538" t="s">
        <v>1991</v>
      </c>
      <c r="W538" t="s">
        <v>1991</v>
      </c>
      <c r="X538" t="s">
        <v>1991</v>
      </c>
      <c r="Y538" t="s">
        <v>1992</v>
      </c>
      <c r="Z538" t="s">
        <v>1992</v>
      </c>
      <c r="AA538" t="s">
        <v>1991</v>
      </c>
      <c r="AF538" t="s">
        <v>2016</v>
      </c>
      <c r="AG538" t="s">
        <v>1991</v>
      </c>
      <c r="AH538">
        <v>30</v>
      </c>
      <c r="AI538">
        <v>30</v>
      </c>
      <c r="AJ538" t="s">
        <v>1197</v>
      </c>
      <c r="AK538">
        <v>309</v>
      </c>
      <c r="AL538">
        <v>36638</v>
      </c>
      <c r="AM538" t="s">
        <v>1198</v>
      </c>
      <c r="AN538" t="s">
        <v>3560</v>
      </c>
      <c r="AO538" t="s">
        <v>2063</v>
      </c>
      <c r="BF538" t="s">
        <v>1053</v>
      </c>
      <c r="BG538" t="s">
        <v>2097</v>
      </c>
      <c r="BH538" t="s">
        <v>3481</v>
      </c>
      <c r="BI538" t="s">
        <v>1053</v>
      </c>
      <c r="BJ538" t="s">
        <v>1053</v>
      </c>
      <c r="BK538" t="s">
        <v>1053</v>
      </c>
      <c r="BL538" t="s">
        <v>1053</v>
      </c>
      <c r="BM538" t="s">
        <v>2343</v>
      </c>
      <c r="BN538" t="s">
        <v>2344</v>
      </c>
      <c r="BO538" t="s">
        <v>1053</v>
      </c>
      <c r="BP538" t="s">
        <v>366</v>
      </c>
      <c r="BQ538" t="s">
        <v>367</v>
      </c>
      <c r="BR538" t="s">
        <v>1053</v>
      </c>
      <c r="BS538" t="s">
        <v>1053</v>
      </c>
      <c r="BT538" t="s">
        <v>1053</v>
      </c>
      <c r="BU538" t="s">
        <v>1053</v>
      </c>
      <c r="BV538" t="s">
        <v>2347</v>
      </c>
      <c r="BX538" t="str">
        <f>"S-----S 0800-1930; -MTWTF- 0500-2200"</f>
        <v>S-----S 0800-1930; -MTWTF- 0500-2200</v>
      </c>
      <c r="BY538" t="str">
        <f>""</f>
        <v/>
      </c>
      <c r="BZ538" t="str">
        <f>""</f>
        <v/>
      </c>
      <c r="CA538" t="str">
        <f>""</f>
        <v/>
      </c>
      <c r="CB538" t="str">
        <f>""</f>
        <v/>
      </c>
      <c r="CC538" t="str">
        <f>""</f>
        <v/>
      </c>
      <c r="CD538" t="str">
        <f>""</f>
        <v/>
      </c>
      <c r="CE538" t="str">
        <f>""</f>
        <v/>
      </c>
      <c r="CF538" t="str">
        <f>""</f>
        <v/>
      </c>
      <c r="CG538" t="str">
        <f>""</f>
        <v/>
      </c>
      <c r="CH538" t="str">
        <f>""</f>
        <v/>
      </c>
    </row>
    <row r="539" spans="1:86" x14ac:dyDescent="0.25">
      <c r="A539" t="s">
        <v>1199</v>
      </c>
      <c r="B539" t="s">
        <v>1200</v>
      </c>
      <c r="C539" t="s">
        <v>1992</v>
      </c>
      <c r="D539" t="s">
        <v>1993</v>
      </c>
      <c r="E539" t="s">
        <v>1201</v>
      </c>
      <c r="F539" t="s">
        <v>3294</v>
      </c>
      <c r="H539" t="s">
        <v>1202</v>
      </c>
      <c r="I539" t="s">
        <v>1997</v>
      </c>
      <c r="J539" t="str">
        <f>"54220"</f>
        <v>54220</v>
      </c>
      <c r="K539" t="s">
        <v>1998</v>
      </c>
      <c r="L539" t="s">
        <v>1999</v>
      </c>
      <c r="M539" t="s">
        <v>2063</v>
      </c>
      <c r="N539" t="s">
        <v>1992</v>
      </c>
      <c r="O539" t="s">
        <v>1992</v>
      </c>
      <c r="P539" t="s">
        <v>1992</v>
      </c>
      <c r="Q539" t="s">
        <v>1992</v>
      </c>
      <c r="R539" t="s">
        <v>1992</v>
      </c>
      <c r="S539" t="s">
        <v>1992</v>
      </c>
      <c r="T539" t="s">
        <v>1992</v>
      </c>
      <c r="U539" t="s">
        <v>1992</v>
      </c>
      <c r="V539" t="s">
        <v>1991</v>
      </c>
      <c r="W539" t="s">
        <v>1992</v>
      </c>
      <c r="X539" t="s">
        <v>1992</v>
      </c>
      <c r="Y539" t="s">
        <v>1992</v>
      </c>
      <c r="Z539" t="s">
        <v>1991</v>
      </c>
      <c r="AF539" t="s">
        <v>2001</v>
      </c>
      <c r="AG539" t="s">
        <v>1991</v>
      </c>
      <c r="AH539">
        <v>30</v>
      </c>
      <c r="AI539">
        <v>30</v>
      </c>
      <c r="AJ539" t="s">
        <v>1203</v>
      </c>
      <c r="AK539">
        <v>676</v>
      </c>
      <c r="BF539" t="s">
        <v>1053</v>
      </c>
      <c r="BG539" t="s">
        <v>2003</v>
      </c>
      <c r="BH539" t="s">
        <v>2004</v>
      </c>
      <c r="BI539" t="s">
        <v>1053</v>
      </c>
      <c r="BK539" t="s">
        <v>1053</v>
      </c>
      <c r="BO539" t="s">
        <v>1053</v>
      </c>
      <c r="BP539" t="s">
        <v>2005</v>
      </c>
      <c r="BQ539" t="s">
        <v>2006</v>
      </c>
      <c r="BR539" t="s">
        <v>1053</v>
      </c>
      <c r="BS539" t="s">
        <v>1053</v>
      </c>
      <c r="BT539" t="s">
        <v>1053</v>
      </c>
      <c r="BU539" t="s">
        <v>1053</v>
      </c>
      <c r="BX539" t="str">
        <f>""</f>
        <v/>
      </c>
      <c r="BY539" t="str">
        <f>""</f>
        <v/>
      </c>
      <c r="BZ539" t="str">
        <f>""</f>
        <v/>
      </c>
      <c r="CA539" t="str">
        <f>""</f>
        <v/>
      </c>
      <c r="CB539" t="str">
        <f>""</f>
        <v/>
      </c>
      <c r="CC539" t="str">
        <f>""</f>
        <v/>
      </c>
      <c r="CD539" t="str">
        <f>""</f>
        <v/>
      </c>
      <c r="CE539" t="str">
        <f>""</f>
        <v/>
      </c>
      <c r="CF539" t="str">
        <f>""</f>
        <v/>
      </c>
      <c r="CG539" t="str">
        <f>""</f>
        <v/>
      </c>
      <c r="CH539" t="str">
        <f>""</f>
        <v/>
      </c>
    </row>
    <row r="540" spans="1:86" x14ac:dyDescent="0.25">
      <c r="A540" t="s">
        <v>1204</v>
      </c>
      <c r="B540" t="s">
        <v>1205</v>
      </c>
      <c r="D540" t="s">
        <v>2089</v>
      </c>
      <c r="E540" t="s">
        <v>1206</v>
      </c>
      <c r="F540" t="s">
        <v>1207</v>
      </c>
      <c r="H540" t="s">
        <v>1777</v>
      </c>
      <c r="I540" t="s">
        <v>2014</v>
      </c>
      <c r="J540" t="str">
        <f>"20878"</f>
        <v>20878</v>
      </c>
      <c r="K540" t="s">
        <v>1998</v>
      </c>
      <c r="L540" t="s">
        <v>499</v>
      </c>
      <c r="M540" t="s">
        <v>500</v>
      </c>
      <c r="O540" t="s">
        <v>1992</v>
      </c>
      <c r="AF540" t="s">
        <v>2016</v>
      </c>
      <c r="AG540" t="s">
        <v>1991</v>
      </c>
      <c r="AJ540" t="s">
        <v>2090</v>
      </c>
      <c r="AM540" t="s">
        <v>501</v>
      </c>
      <c r="BX540" t="str">
        <f>""</f>
        <v/>
      </c>
      <c r="BY540" t="str">
        <f>""</f>
        <v/>
      </c>
      <c r="BZ540" t="str">
        <f>""</f>
        <v/>
      </c>
      <c r="CA540" t="str">
        <f>""</f>
        <v/>
      </c>
      <c r="CB540" t="str">
        <f>""</f>
        <v/>
      </c>
      <c r="CC540" t="str">
        <f>""</f>
        <v/>
      </c>
      <c r="CD540" t="str">
        <f>""</f>
        <v/>
      </c>
      <c r="CE540" t="str">
        <f>""</f>
        <v/>
      </c>
      <c r="CF540" t="str">
        <f>""</f>
        <v/>
      </c>
      <c r="CG540" t="str">
        <f>""</f>
        <v/>
      </c>
      <c r="CH540" t="str">
        <f>""</f>
        <v/>
      </c>
    </row>
    <row r="541" spans="1:86" x14ac:dyDescent="0.25">
      <c r="A541" t="s">
        <v>1208</v>
      </c>
      <c r="B541" t="s">
        <v>1209</v>
      </c>
      <c r="C541" t="s">
        <v>1992</v>
      </c>
      <c r="D541" t="s">
        <v>1993</v>
      </c>
      <c r="E541" t="s">
        <v>1210</v>
      </c>
      <c r="F541" t="s">
        <v>1211</v>
      </c>
      <c r="H541" t="s">
        <v>1212</v>
      </c>
      <c r="I541" t="s">
        <v>2352</v>
      </c>
      <c r="J541" t="str">
        <f>"49663"</f>
        <v>49663</v>
      </c>
      <c r="K541" t="s">
        <v>1998</v>
      </c>
      <c r="L541" t="s">
        <v>1999</v>
      </c>
      <c r="M541" t="s">
        <v>2063</v>
      </c>
      <c r="N541" t="s">
        <v>1992</v>
      </c>
      <c r="O541" t="s">
        <v>1992</v>
      </c>
      <c r="P541" t="s">
        <v>1992</v>
      </c>
      <c r="Q541" t="s">
        <v>1992</v>
      </c>
      <c r="R541" t="s">
        <v>1992</v>
      </c>
      <c r="S541" t="s">
        <v>1992</v>
      </c>
      <c r="T541" t="s">
        <v>1992</v>
      </c>
      <c r="U541" t="s">
        <v>1992</v>
      </c>
      <c r="V541" t="s">
        <v>1991</v>
      </c>
      <c r="Z541" t="s">
        <v>1991</v>
      </c>
      <c r="AF541" t="s">
        <v>2016</v>
      </c>
      <c r="AG541" t="s">
        <v>1991</v>
      </c>
      <c r="AH541">
        <v>30</v>
      </c>
      <c r="AI541">
        <v>30</v>
      </c>
      <c r="AJ541" t="s">
        <v>1213</v>
      </c>
      <c r="AK541">
        <v>1119</v>
      </c>
      <c r="BF541" t="s">
        <v>1053</v>
      </c>
      <c r="BG541" t="s">
        <v>643</v>
      </c>
      <c r="BH541" t="s">
        <v>2312</v>
      </c>
      <c r="BI541" t="s">
        <v>1053</v>
      </c>
      <c r="BK541" t="s">
        <v>1053</v>
      </c>
      <c r="BM541" t="s">
        <v>2313</v>
      </c>
      <c r="BN541" t="s">
        <v>2314</v>
      </c>
      <c r="BO541" t="s">
        <v>1053</v>
      </c>
      <c r="BP541" t="s">
        <v>542</v>
      </c>
      <c r="BQ541" t="s">
        <v>2316</v>
      </c>
      <c r="BR541" t="s">
        <v>1053</v>
      </c>
      <c r="BT541" t="s">
        <v>1053</v>
      </c>
      <c r="BX541" t="str">
        <f>""</f>
        <v/>
      </c>
      <c r="BY541" t="str">
        <f>""</f>
        <v/>
      </c>
      <c r="BZ541" t="str">
        <f>""</f>
        <v/>
      </c>
      <c r="CA541" t="str">
        <f>""</f>
        <v/>
      </c>
      <c r="CB541" t="str">
        <f>""</f>
        <v/>
      </c>
      <c r="CC541" t="str">
        <f>""</f>
        <v/>
      </c>
      <c r="CD541" t="str">
        <f>""</f>
        <v/>
      </c>
      <c r="CE541" t="str">
        <f>""</f>
        <v/>
      </c>
      <c r="CF541" t="str">
        <f>""</f>
        <v/>
      </c>
      <c r="CG541" t="str">
        <f>""</f>
        <v/>
      </c>
      <c r="CH541" t="str">
        <f>""</f>
        <v/>
      </c>
    </row>
    <row r="542" spans="1:86" x14ac:dyDescent="0.25">
      <c r="A542" t="s">
        <v>1214</v>
      </c>
      <c r="B542" t="s">
        <v>1215</v>
      </c>
      <c r="C542" t="s">
        <v>1991</v>
      </c>
      <c r="D542" t="s">
        <v>2010</v>
      </c>
      <c r="E542" t="s">
        <v>1216</v>
      </c>
      <c r="H542" t="s">
        <v>1217</v>
      </c>
      <c r="I542" t="s">
        <v>795</v>
      </c>
      <c r="J542" t="str">
        <f>"52641"</f>
        <v>52641</v>
      </c>
      <c r="K542" t="s">
        <v>1998</v>
      </c>
      <c r="L542" t="s">
        <v>1999</v>
      </c>
      <c r="M542" t="s">
        <v>1218</v>
      </c>
      <c r="N542" t="s">
        <v>1991</v>
      </c>
      <c r="O542" t="s">
        <v>1992</v>
      </c>
      <c r="P542" t="s">
        <v>1992</v>
      </c>
      <c r="Q542" t="s">
        <v>1992</v>
      </c>
      <c r="R542" t="s">
        <v>1992</v>
      </c>
      <c r="S542" t="s">
        <v>1992</v>
      </c>
      <c r="T542" t="s">
        <v>1992</v>
      </c>
      <c r="U542" t="s">
        <v>1992</v>
      </c>
      <c r="V542" t="s">
        <v>1991</v>
      </c>
      <c r="W542" t="s">
        <v>1991</v>
      </c>
      <c r="X542" t="s">
        <v>1992</v>
      </c>
      <c r="Y542" t="s">
        <v>1992</v>
      </c>
      <c r="Z542" t="s">
        <v>1992</v>
      </c>
      <c r="AA542" t="s">
        <v>1992</v>
      </c>
      <c r="AF542" t="s">
        <v>2001</v>
      </c>
      <c r="AG542" t="s">
        <v>1991</v>
      </c>
      <c r="AH542">
        <v>60</v>
      </c>
      <c r="AI542">
        <v>30</v>
      </c>
      <c r="AJ542" t="s">
        <v>1219</v>
      </c>
      <c r="AK542">
        <v>724</v>
      </c>
      <c r="AL542">
        <v>7007</v>
      </c>
      <c r="AM542" t="s">
        <v>1220</v>
      </c>
      <c r="AN542" t="s">
        <v>1053</v>
      </c>
      <c r="AO542" t="s">
        <v>1053</v>
      </c>
      <c r="AQ542" t="s">
        <v>1053</v>
      </c>
      <c r="AS542" t="s">
        <v>1214</v>
      </c>
      <c r="AT542" t="s">
        <v>1221</v>
      </c>
      <c r="AU542" t="s">
        <v>1053</v>
      </c>
      <c r="AV542" t="s">
        <v>1053</v>
      </c>
      <c r="AX542" t="s">
        <v>1053</v>
      </c>
      <c r="AZ542" t="s">
        <v>1214</v>
      </c>
      <c r="BA542" t="s">
        <v>1221</v>
      </c>
      <c r="BB542" t="s">
        <v>1053</v>
      </c>
      <c r="BC542" t="s">
        <v>2069</v>
      </c>
      <c r="BD542" t="s">
        <v>1053</v>
      </c>
      <c r="BE542" t="s">
        <v>2069</v>
      </c>
      <c r="BF542" t="s">
        <v>1053</v>
      </c>
      <c r="BG542" t="s">
        <v>2097</v>
      </c>
      <c r="BH542" t="s">
        <v>798</v>
      </c>
      <c r="BI542" t="s">
        <v>1053</v>
      </c>
      <c r="BK542" t="s">
        <v>1053</v>
      </c>
      <c r="BL542" t="s">
        <v>1053</v>
      </c>
      <c r="BO542" t="s">
        <v>1053</v>
      </c>
      <c r="BP542" t="s">
        <v>653</v>
      </c>
      <c r="BQ542" t="s">
        <v>2376</v>
      </c>
      <c r="BR542" t="s">
        <v>1053</v>
      </c>
      <c r="BX542" t="str">
        <f>"S-----S 0930-1130 1700-1815; -MTWTF- 0930-1330 1430-1815"</f>
        <v>S-----S 0930-1130 1700-1815; -MTWTF- 0930-1330 1430-1815</v>
      </c>
      <c r="BY542" t="str">
        <f>""</f>
        <v/>
      </c>
      <c r="BZ542" t="str">
        <f>"-MTWTF- 0930-1330 1430-1815"</f>
        <v>-MTWTF- 0930-1330 1430-1815</v>
      </c>
      <c r="CA542" t="str">
        <f>"-MTWTF- 0930-1330 1430-1815"</f>
        <v>-MTWTF- 0930-1330 1430-1815</v>
      </c>
      <c r="CB542" t="str">
        <f>""</f>
        <v/>
      </c>
      <c r="CC542" t="str">
        <f>""</f>
        <v/>
      </c>
      <c r="CD542" t="str">
        <f>""</f>
        <v/>
      </c>
      <c r="CE542" t="str">
        <f>""</f>
        <v/>
      </c>
      <c r="CF542" t="str">
        <f>""</f>
        <v/>
      </c>
      <c r="CG542" t="str">
        <f>""</f>
        <v/>
      </c>
      <c r="CH542" t="str">
        <f>""</f>
        <v/>
      </c>
    </row>
    <row r="543" spans="1:86" x14ac:dyDescent="0.25">
      <c r="A543" t="s">
        <v>1222</v>
      </c>
      <c r="B543" t="s">
        <v>1223</v>
      </c>
      <c r="C543" t="s">
        <v>1991</v>
      </c>
      <c r="D543" t="s">
        <v>2010</v>
      </c>
      <c r="E543" t="s">
        <v>3892</v>
      </c>
      <c r="F543" t="s">
        <v>3893</v>
      </c>
      <c r="H543" t="s">
        <v>3894</v>
      </c>
      <c r="I543" t="s">
        <v>3895</v>
      </c>
      <c r="J543" t="str">
        <f>"H3B 4G1"</f>
        <v>H3B 4G1</v>
      </c>
      <c r="K543" t="s">
        <v>373</v>
      </c>
      <c r="L543" t="s">
        <v>374</v>
      </c>
      <c r="M543" t="s">
        <v>3896</v>
      </c>
      <c r="N543" t="s">
        <v>1991</v>
      </c>
      <c r="O543" t="s">
        <v>1992</v>
      </c>
      <c r="P543" t="s">
        <v>1992</v>
      </c>
      <c r="Q543" t="s">
        <v>1992</v>
      </c>
      <c r="R543" t="s">
        <v>1992</v>
      </c>
      <c r="S543" t="s">
        <v>1992</v>
      </c>
      <c r="T543" t="s">
        <v>1991</v>
      </c>
      <c r="U543" t="s">
        <v>1992</v>
      </c>
      <c r="V543" t="s">
        <v>1991</v>
      </c>
      <c r="W543" t="s">
        <v>1991</v>
      </c>
      <c r="X543" t="s">
        <v>1991</v>
      </c>
      <c r="AA543" t="s">
        <v>1991</v>
      </c>
      <c r="AC543" t="s">
        <v>3897</v>
      </c>
      <c r="AD543" t="s">
        <v>3898</v>
      </c>
      <c r="AE543" t="s">
        <v>296</v>
      </c>
      <c r="AF543" t="s">
        <v>2016</v>
      </c>
      <c r="AG543" t="s">
        <v>1991</v>
      </c>
      <c r="AH543">
        <v>60</v>
      </c>
      <c r="AI543">
        <v>30</v>
      </c>
      <c r="AJ543" t="s">
        <v>3899</v>
      </c>
      <c r="AK543">
        <v>83</v>
      </c>
      <c r="AL543">
        <v>2500000</v>
      </c>
      <c r="AM543" t="s">
        <v>3900</v>
      </c>
      <c r="AN543" t="s">
        <v>1053</v>
      </c>
      <c r="AO543" t="s">
        <v>1053</v>
      </c>
      <c r="AP543" t="s">
        <v>2069</v>
      </c>
      <c r="AQ543" t="s">
        <v>1053</v>
      </c>
      <c r="AR543" t="s">
        <v>2069</v>
      </c>
      <c r="AS543" t="s">
        <v>1222</v>
      </c>
      <c r="AT543" t="s">
        <v>3901</v>
      </c>
      <c r="AU543" t="s">
        <v>1053</v>
      </c>
      <c r="AV543" t="s">
        <v>1053</v>
      </c>
      <c r="AW543" t="s">
        <v>2069</v>
      </c>
      <c r="AX543" t="s">
        <v>1053</v>
      </c>
      <c r="AY543" t="s">
        <v>2069</v>
      </c>
      <c r="AZ543" t="s">
        <v>1222</v>
      </c>
      <c r="BA543" t="s">
        <v>3901</v>
      </c>
      <c r="BB543" t="s">
        <v>1053</v>
      </c>
      <c r="BC543" t="s">
        <v>2069</v>
      </c>
      <c r="BD543" t="s">
        <v>1053</v>
      </c>
      <c r="BE543" t="s">
        <v>2069</v>
      </c>
      <c r="BF543" t="s">
        <v>1053</v>
      </c>
      <c r="BG543" t="s">
        <v>3902</v>
      </c>
      <c r="BH543" t="s">
        <v>3903</v>
      </c>
      <c r="BI543" t="s">
        <v>1053</v>
      </c>
      <c r="BJ543" t="s">
        <v>2069</v>
      </c>
      <c r="BK543" t="s">
        <v>1053</v>
      </c>
      <c r="BL543" t="s">
        <v>2069</v>
      </c>
      <c r="BM543" t="s">
        <v>1222</v>
      </c>
      <c r="BN543" t="s">
        <v>3901</v>
      </c>
      <c r="BO543" t="s">
        <v>1053</v>
      </c>
      <c r="BP543" t="s">
        <v>3902</v>
      </c>
      <c r="BQ543" t="s">
        <v>3903</v>
      </c>
      <c r="BR543" t="s">
        <v>1053</v>
      </c>
      <c r="BT543" t="s">
        <v>1053</v>
      </c>
      <c r="BV543" t="s">
        <v>1222</v>
      </c>
      <c r="BW543" t="s">
        <v>3901</v>
      </c>
      <c r="BX543" t="str">
        <f>"SMTWTFS 0000-0015 0530-2359"</f>
        <v>SMTWTFS 0000-0015 0530-2359</v>
      </c>
      <c r="BY543" t="str">
        <f>"S-----S 0730-2115; -MTWTF- 0700-2115"</f>
        <v>S-----S 0730-2115; -MTWTF- 0700-2115</v>
      </c>
      <c r="BZ543" t="str">
        <f>"SMTWTFS 0000-0015 0600-2359"</f>
        <v>SMTWTFS 0000-0015 0600-2359</v>
      </c>
      <c r="CA543" t="str">
        <f>"SMTWTFS 0700-1700"</f>
        <v>SMTWTFS 0700-1700</v>
      </c>
      <c r="CB543" t="str">
        <f>"SMTWTFS 0600-2100"</f>
        <v>SMTWTFS 0600-2100</v>
      </c>
      <c r="CC543" t="str">
        <f>""</f>
        <v/>
      </c>
      <c r="CD543" t="str">
        <f>""</f>
        <v/>
      </c>
      <c r="CE543" t="str">
        <f>"S------ 0715-1900; -MTWTF- 0545-1900; ------S 0600-1900"</f>
        <v>S------ 0715-1900; -MTWTF- 0545-1900; ------S 0600-1900</v>
      </c>
      <c r="CF543" t="str">
        <f>""</f>
        <v/>
      </c>
      <c r="CG543" t="str">
        <f>""</f>
        <v/>
      </c>
      <c r="CH543" t="str">
        <f>"SMTWTFS 0000-2359"</f>
        <v>SMTWTFS 0000-2359</v>
      </c>
    </row>
    <row r="544" spans="1:86" x14ac:dyDescent="0.25">
      <c r="A544" t="s">
        <v>3904</v>
      </c>
      <c r="B544" t="s">
        <v>3905</v>
      </c>
      <c r="C544" t="s">
        <v>1991</v>
      </c>
      <c r="D544" t="s">
        <v>2010</v>
      </c>
      <c r="E544" t="s">
        <v>3906</v>
      </c>
      <c r="H544" t="s">
        <v>3907</v>
      </c>
      <c r="I544" t="s">
        <v>2061</v>
      </c>
      <c r="J544" t="str">
        <f>"94553-1132"</f>
        <v>94553-1132</v>
      </c>
      <c r="K544" t="s">
        <v>1998</v>
      </c>
      <c r="L544" t="s">
        <v>2062</v>
      </c>
      <c r="M544" t="s">
        <v>3908</v>
      </c>
      <c r="N544" t="s">
        <v>1991</v>
      </c>
      <c r="O544" t="s">
        <v>1991</v>
      </c>
      <c r="P544" t="s">
        <v>1992</v>
      </c>
      <c r="Q544" t="s">
        <v>1991</v>
      </c>
      <c r="R544" t="s">
        <v>1991</v>
      </c>
      <c r="S544" t="s">
        <v>1992</v>
      </c>
      <c r="T544" t="s">
        <v>1992</v>
      </c>
      <c r="U544" t="s">
        <v>1991</v>
      </c>
      <c r="V544" t="s">
        <v>1991</v>
      </c>
      <c r="W544" t="s">
        <v>1991</v>
      </c>
      <c r="X544" t="s">
        <v>1992</v>
      </c>
      <c r="Y544" t="s">
        <v>1991</v>
      </c>
      <c r="Z544" t="s">
        <v>1992</v>
      </c>
      <c r="AA544" t="s">
        <v>1991</v>
      </c>
      <c r="AE544" t="s">
        <v>2047</v>
      </c>
      <c r="AF544" t="s">
        <v>2064</v>
      </c>
      <c r="AG544" t="s">
        <v>1991</v>
      </c>
      <c r="AH544">
        <v>60</v>
      </c>
      <c r="AI544">
        <v>30</v>
      </c>
      <c r="AJ544" t="s">
        <v>3909</v>
      </c>
      <c r="AK544">
        <v>13</v>
      </c>
      <c r="AL544">
        <v>31808</v>
      </c>
      <c r="AM544" t="s">
        <v>3910</v>
      </c>
      <c r="AN544" t="s">
        <v>1053</v>
      </c>
      <c r="AO544" t="s">
        <v>1053</v>
      </c>
      <c r="AQ544" t="s">
        <v>1053</v>
      </c>
      <c r="AS544" t="s">
        <v>3904</v>
      </c>
      <c r="AT544" t="s">
        <v>3911</v>
      </c>
      <c r="AU544" t="s">
        <v>1414</v>
      </c>
      <c r="BB544" t="s">
        <v>1053</v>
      </c>
      <c r="BD544" t="s">
        <v>1053</v>
      </c>
      <c r="BF544" t="s">
        <v>1053</v>
      </c>
      <c r="BG544" t="s">
        <v>2067</v>
      </c>
      <c r="BH544" t="s">
        <v>348</v>
      </c>
      <c r="BI544" t="s">
        <v>1053</v>
      </c>
      <c r="BO544" t="s">
        <v>1053</v>
      </c>
      <c r="BP544" t="s">
        <v>675</v>
      </c>
      <c r="BQ544" t="s">
        <v>2073</v>
      </c>
      <c r="BR544" t="s">
        <v>1053</v>
      </c>
      <c r="BS544" t="s">
        <v>1053</v>
      </c>
      <c r="BX544" t="str">
        <f>"S-----S 0000-0100 0630-2359; -MTWTF- 0000-0100 0515-2359"</f>
        <v>S-----S 0000-0100 0630-2359; -MTWTF- 0000-0100 0515-2359</v>
      </c>
      <c r="BY544" t="str">
        <f>"S-----S 0000-0015 0630-2359; -MTWTF- 0000-0015 0515-2359"</f>
        <v>S-----S 0000-0015 0630-2359; -MTWTF- 0000-0015 0515-2359</v>
      </c>
      <c r="BZ544" t="str">
        <f>"S-----S 0000-0050 0630-2359; -MTWTF- 0000-0050 0515-2359"</f>
        <v>S-----S 0000-0050 0630-2359; -MTWTF- 0000-0050 0515-2359</v>
      </c>
      <c r="CA544" t="str">
        <f>"S-----S 0000-0030 0630-2359; -MTWTF- 0000-0030 0515-2359"</f>
        <v>S-----S 0000-0030 0630-2359; -MTWTF- 0000-0030 0515-2359</v>
      </c>
      <c r="CB544" t="str">
        <f>""</f>
        <v/>
      </c>
      <c r="CC544" t="str">
        <f>"S-----S 0000-0100 0630-2359; -MTWTF- 0000-0100 0515-2359"</f>
        <v>S-----S 0000-0100 0630-2359; -MTWTF- 0000-0100 0515-2359</v>
      </c>
      <c r="CD544" t="str">
        <f>""</f>
        <v/>
      </c>
      <c r="CE544" t="str">
        <f>""</f>
        <v/>
      </c>
      <c r="CF544" t="str">
        <f>"SMTWTFS 0630-2200"</f>
        <v>SMTWTFS 0630-2200</v>
      </c>
      <c r="CG544" t="str">
        <f>""</f>
        <v/>
      </c>
      <c r="CH544" t="str">
        <f>"SMTWTFS 0000-2359"</f>
        <v>SMTWTFS 0000-2359</v>
      </c>
    </row>
    <row r="545" spans="1:86" x14ac:dyDescent="0.25">
      <c r="A545" t="s">
        <v>3912</v>
      </c>
      <c r="B545" t="s">
        <v>3913</v>
      </c>
      <c r="D545" t="s">
        <v>2089</v>
      </c>
      <c r="E545" t="s">
        <v>3914</v>
      </c>
      <c r="F545" t="s">
        <v>497</v>
      </c>
      <c r="H545" t="s">
        <v>3915</v>
      </c>
      <c r="I545" t="s">
        <v>2014</v>
      </c>
      <c r="J545" t="str">
        <f>"20705"</f>
        <v>20705</v>
      </c>
      <c r="K545" t="s">
        <v>1998</v>
      </c>
      <c r="L545" t="s">
        <v>499</v>
      </c>
      <c r="M545" t="s">
        <v>500</v>
      </c>
      <c r="O545" t="s">
        <v>1992</v>
      </c>
      <c r="AF545" t="s">
        <v>2016</v>
      </c>
      <c r="AG545" t="s">
        <v>1991</v>
      </c>
      <c r="AJ545" t="s">
        <v>2090</v>
      </c>
      <c r="AM545" t="s">
        <v>501</v>
      </c>
      <c r="BX545" t="str">
        <f>""</f>
        <v/>
      </c>
      <c r="BY545" t="str">
        <f>""</f>
        <v/>
      </c>
      <c r="BZ545" t="str">
        <f>""</f>
        <v/>
      </c>
      <c r="CA545" t="str">
        <f>""</f>
        <v/>
      </c>
      <c r="CB545" t="str">
        <f>""</f>
        <v/>
      </c>
      <c r="CC545" t="str">
        <f>""</f>
        <v/>
      </c>
      <c r="CD545" t="str">
        <f>""</f>
        <v/>
      </c>
      <c r="CE545" t="str">
        <f>""</f>
        <v/>
      </c>
      <c r="CF545" t="str">
        <f>""</f>
        <v/>
      </c>
      <c r="CG545" t="str">
        <f>""</f>
        <v/>
      </c>
      <c r="CH545" t="str">
        <f>""</f>
        <v/>
      </c>
    </row>
    <row r="546" spans="1:86" x14ac:dyDescent="0.25">
      <c r="A546" t="s">
        <v>3916</v>
      </c>
      <c r="B546" t="s">
        <v>3917</v>
      </c>
      <c r="C546" t="s">
        <v>1992</v>
      </c>
      <c r="D546" t="s">
        <v>2028</v>
      </c>
      <c r="E546" t="s">
        <v>3918</v>
      </c>
      <c r="H546" t="s">
        <v>3919</v>
      </c>
      <c r="I546" t="s">
        <v>336</v>
      </c>
      <c r="J546" t="str">
        <f>"72104-3922"</f>
        <v>72104-3922</v>
      </c>
      <c r="K546" t="s">
        <v>1998</v>
      </c>
      <c r="L546" t="s">
        <v>1999</v>
      </c>
      <c r="M546" t="s">
        <v>2063</v>
      </c>
      <c r="N546" t="s">
        <v>1992</v>
      </c>
      <c r="O546" t="s">
        <v>1992</v>
      </c>
      <c r="P546" t="s">
        <v>1992</v>
      </c>
      <c r="Q546" t="s">
        <v>1992</v>
      </c>
      <c r="R546" t="s">
        <v>1992</v>
      </c>
      <c r="S546" t="s">
        <v>1992</v>
      </c>
      <c r="T546" t="s">
        <v>1992</v>
      </c>
      <c r="U546" t="s">
        <v>1992</v>
      </c>
      <c r="V546" t="s">
        <v>1991</v>
      </c>
      <c r="W546" t="s">
        <v>1991</v>
      </c>
      <c r="X546" t="s">
        <v>1992</v>
      </c>
      <c r="Y546" t="s">
        <v>1992</v>
      </c>
      <c r="Z546" t="s">
        <v>1992</v>
      </c>
      <c r="AF546" t="s">
        <v>2001</v>
      </c>
      <c r="AG546" t="s">
        <v>1991</v>
      </c>
      <c r="AH546">
        <v>30</v>
      </c>
      <c r="AI546">
        <v>30</v>
      </c>
      <c r="AJ546" t="s">
        <v>3920</v>
      </c>
      <c r="AK546">
        <v>274</v>
      </c>
      <c r="AL546">
        <v>9046</v>
      </c>
      <c r="AM546" t="s">
        <v>3921</v>
      </c>
      <c r="AN546" t="s">
        <v>2066</v>
      </c>
      <c r="BF546" t="s">
        <v>1053</v>
      </c>
      <c r="BG546" t="s">
        <v>2371</v>
      </c>
      <c r="BH546" t="s">
        <v>339</v>
      </c>
      <c r="BI546" t="s">
        <v>1053</v>
      </c>
      <c r="BJ546" t="s">
        <v>1053</v>
      </c>
      <c r="BK546" t="s">
        <v>1053</v>
      </c>
      <c r="BL546" t="s">
        <v>1053</v>
      </c>
      <c r="BM546" t="s">
        <v>2373</v>
      </c>
      <c r="BN546" t="s">
        <v>2374</v>
      </c>
      <c r="BO546" t="s">
        <v>1053</v>
      </c>
      <c r="BP546" t="s">
        <v>340</v>
      </c>
      <c r="BQ546" t="s">
        <v>2376</v>
      </c>
      <c r="BR546" t="s">
        <v>1053</v>
      </c>
      <c r="BX546" t="str">
        <f>""</f>
        <v/>
      </c>
      <c r="BY546" t="str">
        <f>""</f>
        <v/>
      </c>
      <c r="BZ546" t="str">
        <f>""</f>
        <v/>
      </c>
      <c r="CA546" t="str">
        <f>""</f>
        <v/>
      </c>
      <c r="CB546" t="str">
        <f>""</f>
        <v/>
      </c>
      <c r="CC546" t="str">
        <f>""</f>
        <v/>
      </c>
      <c r="CD546" t="str">
        <f>""</f>
        <v/>
      </c>
      <c r="CE546" t="str">
        <f>""</f>
        <v/>
      </c>
      <c r="CF546" t="str">
        <f>""</f>
        <v/>
      </c>
      <c r="CG546" t="str">
        <f>""</f>
        <v/>
      </c>
      <c r="CH546" t="str">
        <f>""</f>
        <v/>
      </c>
    </row>
    <row r="547" spans="1:86" x14ac:dyDescent="0.25">
      <c r="A547" t="s">
        <v>3922</v>
      </c>
      <c r="B547" t="s">
        <v>3923</v>
      </c>
      <c r="C547" t="s">
        <v>1992</v>
      </c>
      <c r="D547" t="s">
        <v>2010</v>
      </c>
      <c r="E547" t="s">
        <v>3924</v>
      </c>
      <c r="F547" t="s">
        <v>3925</v>
      </c>
      <c r="G547" t="s">
        <v>3926</v>
      </c>
      <c r="H547" t="s">
        <v>3927</v>
      </c>
      <c r="I547" t="s">
        <v>576</v>
      </c>
      <c r="J547" t="str">
        <f>"98273-4327"</f>
        <v>98273-4327</v>
      </c>
      <c r="K547" t="s">
        <v>1998</v>
      </c>
      <c r="L547" t="s">
        <v>231</v>
      </c>
      <c r="M547" t="s">
        <v>2063</v>
      </c>
      <c r="N547" t="s">
        <v>1992</v>
      </c>
      <c r="O547" t="s">
        <v>1991</v>
      </c>
      <c r="P547" t="s">
        <v>1992</v>
      </c>
      <c r="Q547" t="s">
        <v>1992</v>
      </c>
      <c r="R547" t="s">
        <v>1992</v>
      </c>
      <c r="S547" t="s">
        <v>1992</v>
      </c>
      <c r="T547" t="s">
        <v>1992</v>
      </c>
      <c r="U547" t="s">
        <v>1992</v>
      </c>
      <c r="V547" t="s">
        <v>1991</v>
      </c>
      <c r="W547" t="s">
        <v>1991</v>
      </c>
      <c r="X547" t="s">
        <v>1992</v>
      </c>
      <c r="Y547" t="s">
        <v>1992</v>
      </c>
      <c r="Z547" t="s">
        <v>1992</v>
      </c>
      <c r="AA547" t="s">
        <v>1992</v>
      </c>
      <c r="AF547" t="s">
        <v>2064</v>
      </c>
      <c r="AG547" t="s">
        <v>1991</v>
      </c>
      <c r="AH547">
        <v>30</v>
      </c>
      <c r="AI547">
        <v>30</v>
      </c>
      <c r="AJ547" t="s">
        <v>3928</v>
      </c>
      <c r="AK547">
        <v>34</v>
      </c>
      <c r="AL547">
        <v>22800</v>
      </c>
      <c r="AN547" t="s">
        <v>2066</v>
      </c>
      <c r="AO547" t="s">
        <v>2063</v>
      </c>
      <c r="BF547" t="s">
        <v>1053</v>
      </c>
      <c r="BG547" t="s">
        <v>2019</v>
      </c>
      <c r="BH547" t="s">
        <v>359</v>
      </c>
      <c r="BI547" t="s">
        <v>1053</v>
      </c>
      <c r="BJ547" t="s">
        <v>1053</v>
      </c>
      <c r="BK547" t="s">
        <v>1053</v>
      </c>
      <c r="BM547" t="s">
        <v>241</v>
      </c>
      <c r="BN547" t="s">
        <v>242</v>
      </c>
      <c r="BO547" t="s">
        <v>1053</v>
      </c>
      <c r="BP547" t="s">
        <v>239</v>
      </c>
      <c r="BQ547" t="s">
        <v>240</v>
      </c>
      <c r="BR547" t="s">
        <v>1053</v>
      </c>
      <c r="BS547" t="s">
        <v>1053</v>
      </c>
      <c r="BT547" t="s">
        <v>1053</v>
      </c>
      <c r="BU547" t="s">
        <v>1053</v>
      </c>
      <c r="BV547" t="s">
        <v>241</v>
      </c>
      <c r="BW547" t="s">
        <v>242</v>
      </c>
      <c r="BX547" t="str">
        <f>"S------ 0830-1430; -MTWTF- 0830-2115; ------S 0830-1800"</f>
        <v>S------ 0830-1430; -MTWTF- 0830-2115; ------S 0830-1800</v>
      </c>
      <c r="BY547" t="str">
        <f>""</f>
        <v/>
      </c>
      <c r="BZ547" t="str">
        <f>""</f>
        <v/>
      </c>
      <c r="CA547" t="str">
        <f>""</f>
        <v/>
      </c>
      <c r="CB547" t="str">
        <f>""</f>
        <v/>
      </c>
      <c r="CC547" t="str">
        <f>"S------ 0830-1430; -MTWTF- 0830-2115; ------S 0830-1800"</f>
        <v>S------ 0830-1430; -MTWTF- 0830-2115; ------S 0830-1800</v>
      </c>
      <c r="CD547" t="str">
        <f>""</f>
        <v/>
      </c>
      <c r="CE547" t="str">
        <f>""</f>
        <v/>
      </c>
      <c r="CF547" t="str">
        <f>""</f>
        <v/>
      </c>
      <c r="CG547" t="str">
        <f>""</f>
        <v/>
      </c>
      <c r="CH547" t="str">
        <f>""</f>
        <v/>
      </c>
    </row>
    <row r="548" spans="1:86" x14ac:dyDescent="0.25">
      <c r="A548" t="s">
        <v>3929</v>
      </c>
      <c r="B548" t="s">
        <v>3930</v>
      </c>
      <c r="C548" t="s">
        <v>1992</v>
      </c>
      <c r="D548" t="s">
        <v>1993</v>
      </c>
      <c r="E548" t="s">
        <v>3931</v>
      </c>
      <c r="F548" t="s">
        <v>3932</v>
      </c>
      <c r="H548" t="s">
        <v>3933</v>
      </c>
      <c r="I548" t="s">
        <v>1997</v>
      </c>
      <c r="J548" t="str">
        <f>"54143"</f>
        <v>54143</v>
      </c>
      <c r="K548" t="s">
        <v>1998</v>
      </c>
      <c r="L548" t="s">
        <v>1999</v>
      </c>
      <c r="M548" t="s">
        <v>2063</v>
      </c>
      <c r="N548" t="s">
        <v>1992</v>
      </c>
      <c r="O548" t="s">
        <v>1992</v>
      </c>
      <c r="P548" t="s">
        <v>1992</v>
      </c>
      <c r="Q548" t="s">
        <v>1992</v>
      </c>
      <c r="R548" t="s">
        <v>1992</v>
      </c>
      <c r="S548" t="s">
        <v>1992</v>
      </c>
      <c r="T548" t="s">
        <v>1992</v>
      </c>
      <c r="U548" t="s">
        <v>1992</v>
      </c>
      <c r="V548" t="s">
        <v>1991</v>
      </c>
      <c r="W548" t="s">
        <v>1992</v>
      </c>
      <c r="X548" t="s">
        <v>1992</v>
      </c>
      <c r="Y548" t="s">
        <v>1992</v>
      </c>
      <c r="Z548" t="s">
        <v>1991</v>
      </c>
      <c r="AA548" t="s">
        <v>1992</v>
      </c>
      <c r="AF548" t="s">
        <v>2001</v>
      </c>
      <c r="AG548" t="s">
        <v>1991</v>
      </c>
      <c r="AH548">
        <v>30</v>
      </c>
      <c r="AI548">
        <v>30</v>
      </c>
      <c r="AJ548" t="s">
        <v>3934</v>
      </c>
      <c r="AK548">
        <v>616</v>
      </c>
      <c r="BF548" t="s">
        <v>1053</v>
      </c>
      <c r="BG548" t="s">
        <v>2003</v>
      </c>
      <c r="BH548" t="s">
        <v>2004</v>
      </c>
      <c r="BI548" t="s">
        <v>1053</v>
      </c>
      <c r="BK548" t="s">
        <v>1053</v>
      </c>
      <c r="BO548" t="s">
        <v>1053</v>
      </c>
      <c r="BP548" t="s">
        <v>2005</v>
      </c>
      <c r="BQ548" t="s">
        <v>2006</v>
      </c>
      <c r="BR548" t="s">
        <v>1053</v>
      </c>
      <c r="BS548" t="s">
        <v>1053</v>
      </c>
      <c r="BT548" t="s">
        <v>1053</v>
      </c>
      <c r="BU548" t="s">
        <v>1053</v>
      </c>
      <c r="BX548" t="str">
        <f>""</f>
        <v/>
      </c>
      <c r="BY548" t="str">
        <f>""</f>
        <v/>
      </c>
      <c r="BZ548" t="str">
        <f>""</f>
        <v/>
      </c>
      <c r="CA548" t="str">
        <f>""</f>
        <v/>
      </c>
      <c r="CB548" t="str">
        <f>""</f>
        <v/>
      </c>
      <c r="CC548" t="str">
        <f>""</f>
        <v/>
      </c>
      <c r="CD548" t="str">
        <f>""</f>
        <v/>
      </c>
      <c r="CE548" t="str">
        <f>""</f>
        <v/>
      </c>
      <c r="CF548" t="str">
        <f>""</f>
        <v/>
      </c>
      <c r="CG548" t="str">
        <f>""</f>
        <v/>
      </c>
      <c r="CH548" t="str">
        <f>""</f>
        <v/>
      </c>
    </row>
    <row r="549" spans="1:86" x14ac:dyDescent="0.25">
      <c r="A549" t="s">
        <v>3935</v>
      </c>
      <c r="B549" t="s">
        <v>3936</v>
      </c>
      <c r="C549" t="s">
        <v>1992</v>
      </c>
      <c r="D549" t="s">
        <v>1993</v>
      </c>
      <c r="E549" t="s">
        <v>3937</v>
      </c>
      <c r="F549" t="s">
        <v>3938</v>
      </c>
      <c r="H549" t="s">
        <v>6731</v>
      </c>
      <c r="I549" t="s">
        <v>2061</v>
      </c>
      <c r="J549" t="str">
        <f>"93940"</f>
        <v>93940</v>
      </c>
      <c r="K549" t="s">
        <v>1998</v>
      </c>
      <c r="L549" t="s">
        <v>2062</v>
      </c>
      <c r="M549" t="s">
        <v>2000</v>
      </c>
      <c r="N549" t="s">
        <v>1992</v>
      </c>
      <c r="O549" t="s">
        <v>1992</v>
      </c>
      <c r="P549" t="s">
        <v>1992</v>
      </c>
      <c r="Q549" t="s">
        <v>1992</v>
      </c>
      <c r="R549" t="s">
        <v>1992</v>
      </c>
      <c r="S549" t="s">
        <v>1992</v>
      </c>
      <c r="T549" t="s">
        <v>1992</v>
      </c>
      <c r="U549" t="s">
        <v>1992</v>
      </c>
      <c r="V549" t="s">
        <v>1991</v>
      </c>
      <c r="W549" t="s">
        <v>1992</v>
      </c>
      <c r="X549" t="s">
        <v>1992</v>
      </c>
      <c r="Y549" t="s">
        <v>1992</v>
      </c>
      <c r="Z549" t="s">
        <v>1991</v>
      </c>
      <c r="AB549" t="s">
        <v>6732</v>
      </c>
      <c r="AF549" t="s">
        <v>2064</v>
      </c>
      <c r="AG549" t="s">
        <v>1991</v>
      </c>
      <c r="AH549">
        <v>30</v>
      </c>
      <c r="AI549">
        <v>30</v>
      </c>
      <c r="AJ549" t="s">
        <v>3939</v>
      </c>
      <c r="AK549">
        <v>23</v>
      </c>
      <c r="AM549" t="s">
        <v>2298</v>
      </c>
      <c r="AN549" t="s">
        <v>308</v>
      </c>
      <c r="AO549" t="s">
        <v>2063</v>
      </c>
      <c r="BF549" t="s">
        <v>1053</v>
      </c>
      <c r="BG549" t="s">
        <v>309</v>
      </c>
      <c r="BH549" t="s">
        <v>2301</v>
      </c>
      <c r="BI549" t="s">
        <v>1053</v>
      </c>
      <c r="BK549" t="s">
        <v>1053</v>
      </c>
      <c r="BO549" t="s">
        <v>1053</v>
      </c>
      <c r="BP549" t="s">
        <v>3940</v>
      </c>
      <c r="BQ549" t="s">
        <v>1703</v>
      </c>
      <c r="BR549" t="s">
        <v>1053</v>
      </c>
      <c r="BS549" t="s">
        <v>1053</v>
      </c>
      <c r="BT549" t="s">
        <v>1053</v>
      </c>
      <c r="BU549" t="s">
        <v>1053</v>
      </c>
      <c r="BV549" t="s">
        <v>2074</v>
      </c>
      <c r="BX549" t="str">
        <f>""</f>
        <v/>
      </c>
      <c r="BY549" t="str">
        <f>""</f>
        <v/>
      </c>
      <c r="BZ549" t="str">
        <f>""</f>
        <v/>
      </c>
      <c r="CA549" t="str">
        <f>""</f>
        <v/>
      </c>
      <c r="CB549" t="str">
        <f>""</f>
        <v/>
      </c>
      <c r="CC549" t="str">
        <f>""</f>
        <v/>
      </c>
      <c r="CD549" t="str">
        <f>""</f>
        <v/>
      </c>
      <c r="CE549" t="str">
        <f>""</f>
        <v/>
      </c>
      <c r="CF549" t="str">
        <f>""</f>
        <v/>
      </c>
      <c r="CG549" t="str">
        <f>""</f>
        <v/>
      </c>
      <c r="CH549" t="str">
        <f>""</f>
        <v/>
      </c>
    </row>
    <row r="550" spans="1:86" x14ac:dyDescent="0.25">
      <c r="A550" t="s">
        <v>3941</v>
      </c>
      <c r="B550" t="s">
        <v>3942</v>
      </c>
      <c r="C550" t="s">
        <v>1992</v>
      </c>
      <c r="D550" t="s">
        <v>1993</v>
      </c>
      <c r="E550" t="s">
        <v>3943</v>
      </c>
      <c r="F550" t="s">
        <v>3944</v>
      </c>
      <c r="H550" t="s">
        <v>6731</v>
      </c>
      <c r="I550" t="s">
        <v>2061</v>
      </c>
      <c r="J550" t="str">
        <f>"93940"</f>
        <v>93940</v>
      </c>
      <c r="K550" t="s">
        <v>1998</v>
      </c>
      <c r="L550" t="s">
        <v>2062</v>
      </c>
      <c r="M550" t="s">
        <v>2063</v>
      </c>
      <c r="N550" t="s">
        <v>1992</v>
      </c>
      <c r="O550" t="s">
        <v>1992</v>
      </c>
      <c r="P550" t="s">
        <v>1992</v>
      </c>
      <c r="Q550" t="s">
        <v>1992</v>
      </c>
      <c r="R550" t="s">
        <v>1992</v>
      </c>
      <c r="S550" t="s">
        <v>1992</v>
      </c>
      <c r="T550" t="s">
        <v>1992</v>
      </c>
      <c r="U550" t="s">
        <v>1992</v>
      </c>
      <c r="V550" t="s">
        <v>1991</v>
      </c>
      <c r="W550" t="s">
        <v>1992</v>
      </c>
      <c r="X550" t="s">
        <v>1992</v>
      </c>
      <c r="Y550" t="s">
        <v>1992</v>
      </c>
      <c r="Z550" t="s">
        <v>1991</v>
      </c>
      <c r="AB550" t="s">
        <v>6732</v>
      </c>
      <c r="AF550" t="s">
        <v>2064</v>
      </c>
      <c r="AG550" t="s">
        <v>1991</v>
      </c>
      <c r="AH550">
        <v>30</v>
      </c>
      <c r="AI550">
        <v>30</v>
      </c>
      <c r="AJ550" t="s">
        <v>3945</v>
      </c>
      <c r="AK550">
        <v>58</v>
      </c>
      <c r="AM550" t="s">
        <v>2298</v>
      </c>
      <c r="AN550" t="s">
        <v>308</v>
      </c>
      <c r="AO550" t="s">
        <v>2063</v>
      </c>
      <c r="BF550" t="s">
        <v>1053</v>
      </c>
      <c r="BG550" t="s">
        <v>309</v>
      </c>
      <c r="BH550" t="s">
        <v>2301</v>
      </c>
      <c r="BI550" t="s">
        <v>1053</v>
      </c>
      <c r="BK550" t="s">
        <v>1053</v>
      </c>
      <c r="BO550" t="s">
        <v>1053</v>
      </c>
      <c r="BP550" t="s">
        <v>518</v>
      </c>
      <c r="BQ550" t="s">
        <v>3820</v>
      </c>
      <c r="BR550" t="s">
        <v>1053</v>
      </c>
      <c r="BT550" t="s">
        <v>1053</v>
      </c>
      <c r="BV550" t="s">
        <v>2070</v>
      </c>
      <c r="BX550" t="str">
        <f>""</f>
        <v/>
      </c>
      <c r="BY550" t="str">
        <f>""</f>
        <v/>
      </c>
      <c r="BZ550" t="str">
        <f>""</f>
        <v/>
      </c>
      <c r="CA550" t="str">
        <f>""</f>
        <v/>
      </c>
      <c r="CB550" t="str">
        <f>""</f>
        <v/>
      </c>
      <c r="CC550" t="str">
        <f>""</f>
        <v/>
      </c>
      <c r="CD550" t="str">
        <f>""</f>
        <v/>
      </c>
      <c r="CE550" t="str">
        <f>""</f>
        <v/>
      </c>
      <c r="CF550" t="str">
        <f>""</f>
        <v/>
      </c>
      <c r="CG550" t="str">
        <f>""</f>
        <v/>
      </c>
      <c r="CH550" t="str">
        <f>""</f>
        <v/>
      </c>
    </row>
    <row r="551" spans="1:86" x14ac:dyDescent="0.25">
      <c r="A551" t="s">
        <v>3946</v>
      </c>
      <c r="B551" t="s">
        <v>3947</v>
      </c>
      <c r="C551" t="s">
        <v>1992</v>
      </c>
      <c r="D551" t="s">
        <v>1993</v>
      </c>
      <c r="E551" t="s">
        <v>3948</v>
      </c>
      <c r="F551" t="s">
        <v>3949</v>
      </c>
      <c r="H551" t="s">
        <v>6731</v>
      </c>
      <c r="I551" t="s">
        <v>2061</v>
      </c>
      <c r="J551" t="str">
        <f>"93940"</f>
        <v>93940</v>
      </c>
      <c r="K551" t="s">
        <v>1998</v>
      </c>
      <c r="L551" t="s">
        <v>2062</v>
      </c>
      <c r="M551" t="s">
        <v>2063</v>
      </c>
      <c r="N551" t="s">
        <v>1992</v>
      </c>
      <c r="O551" t="s">
        <v>1992</v>
      </c>
      <c r="P551" t="s">
        <v>1992</v>
      </c>
      <c r="Q551" t="s">
        <v>1992</v>
      </c>
      <c r="R551" t="s">
        <v>1992</v>
      </c>
      <c r="S551" t="s">
        <v>1992</v>
      </c>
      <c r="T551" t="s">
        <v>1992</v>
      </c>
      <c r="U551" t="s">
        <v>1992</v>
      </c>
      <c r="V551" t="s">
        <v>1991</v>
      </c>
      <c r="W551" t="s">
        <v>1992</v>
      </c>
      <c r="X551" t="s">
        <v>1992</v>
      </c>
      <c r="Y551" t="s">
        <v>1992</v>
      </c>
      <c r="Z551" t="s">
        <v>1991</v>
      </c>
      <c r="AB551" t="s">
        <v>6732</v>
      </c>
      <c r="AF551" t="s">
        <v>2064</v>
      </c>
      <c r="AG551" t="s">
        <v>1991</v>
      </c>
      <c r="AH551">
        <v>30</v>
      </c>
      <c r="AI551">
        <v>30</v>
      </c>
      <c r="AJ551" t="s">
        <v>3950</v>
      </c>
      <c r="AK551">
        <v>30</v>
      </c>
      <c r="AM551" t="s">
        <v>2298</v>
      </c>
      <c r="AN551" t="s">
        <v>308</v>
      </c>
      <c r="AO551" t="s">
        <v>2063</v>
      </c>
      <c r="BF551" t="s">
        <v>1053</v>
      </c>
      <c r="BG551" t="s">
        <v>309</v>
      </c>
      <c r="BH551" t="s">
        <v>2301</v>
      </c>
      <c r="BI551" t="s">
        <v>1053</v>
      </c>
      <c r="BK551" t="s">
        <v>1053</v>
      </c>
      <c r="BO551" t="s">
        <v>1053</v>
      </c>
      <c r="BP551" t="s">
        <v>518</v>
      </c>
      <c r="BQ551" t="s">
        <v>3820</v>
      </c>
      <c r="BR551" t="s">
        <v>1053</v>
      </c>
      <c r="BT551" t="s">
        <v>1053</v>
      </c>
      <c r="BV551" t="s">
        <v>2070</v>
      </c>
      <c r="BX551" t="str">
        <f>""</f>
        <v/>
      </c>
      <c r="BY551" t="str">
        <f>""</f>
        <v/>
      </c>
      <c r="BZ551" t="str">
        <f>""</f>
        <v/>
      </c>
      <c r="CA551" t="str">
        <f>""</f>
        <v/>
      </c>
      <c r="CB551" t="str">
        <f>""</f>
        <v/>
      </c>
      <c r="CC551" t="str">
        <f>""</f>
        <v/>
      </c>
      <c r="CD551" t="str">
        <f>""</f>
        <v/>
      </c>
      <c r="CE551" t="str">
        <f>""</f>
        <v/>
      </c>
      <c r="CF551" t="str">
        <f>""</f>
        <v/>
      </c>
      <c r="CG551" t="str">
        <f>""</f>
        <v/>
      </c>
      <c r="CH551" t="str">
        <f>""</f>
        <v/>
      </c>
    </row>
    <row r="552" spans="1:86" x14ac:dyDescent="0.25">
      <c r="A552" t="s">
        <v>3951</v>
      </c>
      <c r="B552" t="s">
        <v>3952</v>
      </c>
      <c r="C552" t="s">
        <v>1992</v>
      </c>
      <c r="D552" t="s">
        <v>2028</v>
      </c>
      <c r="E552" t="s">
        <v>3953</v>
      </c>
      <c r="F552" t="s">
        <v>3954</v>
      </c>
      <c r="H552" t="s">
        <v>3955</v>
      </c>
      <c r="I552" t="s">
        <v>592</v>
      </c>
      <c r="J552" t="str">
        <f>"06355"</f>
        <v>06355</v>
      </c>
      <c r="K552" t="s">
        <v>1998</v>
      </c>
      <c r="L552" t="s">
        <v>2033</v>
      </c>
      <c r="M552" t="s">
        <v>2063</v>
      </c>
      <c r="N552" t="s">
        <v>1992</v>
      </c>
      <c r="O552" t="s">
        <v>1991</v>
      </c>
      <c r="P552" t="s">
        <v>1992</v>
      </c>
      <c r="Q552" t="s">
        <v>1992</v>
      </c>
      <c r="R552" t="s">
        <v>1992</v>
      </c>
      <c r="S552" t="s">
        <v>1992</v>
      </c>
      <c r="T552" t="s">
        <v>1992</v>
      </c>
      <c r="U552" t="s">
        <v>1992</v>
      </c>
      <c r="V552" t="s">
        <v>1991</v>
      </c>
      <c r="W552" t="s">
        <v>1991</v>
      </c>
      <c r="X552" t="s">
        <v>1992</v>
      </c>
      <c r="Y552" t="s">
        <v>1992</v>
      </c>
      <c r="Z552" t="s">
        <v>1992</v>
      </c>
      <c r="AF552" t="s">
        <v>2016</v>
      </c>
      <c r="AG552" t="s">
        <v>1991</v>
      </c>
      <c r="AH552">
        <v>30</v>
      </c>
      <c r="AI552">
        <v>30</v>
      </c>
      <c r="AJ552" t="s">
        <v>3956</v>
      </c>
      <c r="AK552">
        <v>8</v>
      </c>
      <c r="AL552">
        <v>22000</v>
      </c>
      <c r="AN552" t="s">
        <v>2066</v>
      </c>
      <c r="AO552" t="s">
        <v>2063</v>
      </c>
      <c r="BF552" t="s">
        <v>1053</v>
      </c>
      <c r="BG552" t="s">
        <v>3957</v>
      </c>
      <c r="BH552" t="s">
        <v>254</v>
      </c>
      <c r="BI552" t="s">
        <v>1053</v>
      </c>
      <c r="BJ552" t="s">
        <v>1053</v>
      </c>
      <c r="BK552" t="s">
        <v>1053</v>
      </c>
      <c r="BL552" t="s">
        <v>1053</v>
      </c>
      <c r="BM552" t="s">
        <v>255</v>
      </c>
      <c r="BN552" t="s">
        <v>256</v>
      </c>
      <c r="BO552" t="s">
        <v>1053</v>
      </c>
      <c r="BP552" t="s">
        <v>467</v>
      </c>
      <c r="BQ552" t="s">
        <v>254</v>
      </c>
      <c r="BR552" t="s">
        <v>1053</v>
      </c>
      <c r="BS552" t="s">
        <v>1053</v>
      </c>
      <c r="BT552" t="s">
        <v>1053</v>
      </c>
      <c r="BU552" t="s">
        <v>1053</v>
      </c>
      <c r="BV552" t="s">
        <v>255</v>
      </c>
      <c r="BW552" t="s">
        <v>256</v>
      </c>
      <c r="BX552" t="str">
        <f>"SMTWTFS 1000-1600"</f>
        <v>SMTWTFS 1000-1600</v>
      </c>
      <c r="BY552" t="str">
        <f>""</f>
        <v/>
      </c>
      <c r="BZ552" t="str">
        <f>""</f>
        <v/>
      </c>
      <c r="CA552" t="str">
        <f>""</f>
        <v/>
      </c>
      <c r="CB552" t="str">
        <f>""</f>
        <v/>
      </c>
      <c r="CC552" t="str">
        <f>"SMTWTFS 1000-1600"</f>
        <v>SMTWTFS 1000-1600</v>
      </c>
      <c r="CD552" t="str">
        <f>""</f>
        <v/>
      </c>
      <c r="CE552" t="str">
        <f>""</f>
        <v/>
      </c>
      <c r="CF552" t="str">
        <f>""</f>
        <v/>
      </c>
      <c r="CG552" t="str">
        <f>""</f>
        <v/>
      </c>
      <c r="CH552" t="str">
        <f>""</f>
        <v/>
      </c>
    </row>
    <row r="553" spans="1:86" x14ac:dyDescent="0.25">
      <c r="A553" t="s">
        <v>3958</v>
      </c>
      <c r="B553" t="s">
        <v>3959</v>
      </c>
      <c r="C553" t="s">
        <v>1992</v>
      </c>
      <c r="D553" t="s">
        <v>1993</v>
      </c>
      <c r="E553" t="s">
        <v>3960</v>
      </c>
      <c r="F553" t="s">
        <v>3961</v>
      </c>
      <c r="H553" t="s">
        <v>6731</v>
      </c>
      <c r="I553" t="s">
        <v>2061</v>
      </c>
      <c r="J553" t="str">
        <f>"93940"</f>
        <v>93940</v>
      </c>
      <c r="K553" t="s">
        <v>1998</v>
      </c>
      <c r="L553" t="s">
        <v>2062</v>
      </c>
      <c r="M553" t="s">
        <v>2063</v>
      </c>
      <c r="N553" t="s">
        <v>1992</v>
      </c>
      <c r="O553" t="s">
        <v>1992</v>
      </c>
      <c r="P553" t="s">
        <v>1992</v>
      </c>
      <c r="Q553" t="s">
        <v>1992</v>
      </c>
      <c r="R553" t="s">
        <v>1992</v>
      </c>
      <c r="S553" t="s">
        <v>1992</v>
      </c>
      <c r="T553" t="s">
        <v>1992</v>
      </c>
      <c r="U553" t="s">
        <v>1992</v>
      </c>
      <c r="V553" t="s">
        <v>1991</v>
      </c>
      <c r="W553" t="s">
        <v>1992</v>
      </c>
      <c r="X553" t="s">
        <v>1992</v>
      </c>
      <c r="Y553" t="s">
        <v>1992</v>
      </c>
      <c r="Z553" t="s">
        <v>1991</v>
      </c>
      <c r="AB553" t="s">
        <v>6732</v>
      </c>
      <c r="AF553" t="s">
        <v>2064</v>
      </c>
      <c r="AG553" t="s">
        <v>1991</v>
      </c>
      <c r="AH553">
        <v>30</v>
      </c>
      <c r="AI553">
        <v>30</v>
      </c>
      <c r="AJ553" t="s">
        <v>3962</v>
      </c>
      <c r="AK553">
        <v>38</v>
      </c>
      <c r="AM553" t="s">
        <v>2298</v>
      </c>
      <c r="AN553" t="s">
        <v>308</v>
      </c>
      <c r="AO553" t="s">
        <v>2063</v>
      </c>
      <c r="BF553" t="s">
        <v>1053</v>
      </c>
      <c r="BG553" t="s">
        <v>309</v>
      </c>
      <c r="BH553" t="s">
        <v>2301</v>
      </c>
      <c r="BI553" t="s">
        <v>1053</v>
      </c>
      <c r="BK553" t="s">
        <v>1053</v>
      </c>
      <c r="BO553" t="s">
        <v>1053</v>
      </c>
      <c r="BP553" t="s">
        <v>518</v>
      </c>
      <c r="BQ553" t="s">
        <v>137</v>
      </c>
      <c r="BR553" t="s">
        <v>1053</v>
      </c>
      <c r="BT553" t="s">
        <v>1053</v>
      </c>
      <c r="BV553" t="s">
        <v>2070</v>
      </c>
      <c r="BX553" t="str">
        <f>""</f>
        <v/>
      </c>
      <c r="BY553" t="str">
        <f>""</f>
        <v/>
      </c>
      <c r="BZ553" t="str">
        <f>""</f>
        <v/>
      </c>
      <c r="CA553" t="str">
        <f>""</f>
        <v/>
      </c>
      <c r="CB553" t="str">
        <f>""</f>
        <v/>
      </c>
      <c r="CC553" t="str">
        <f>""</f>
        <v/>
      </c>
      <c r="CD553" t="str">
        <f>""</f>
        <v/>
      </c>
      <c r="CE553" t="str">
        <f>""</f>
        <v/>
      </c>
      <c r="CF553" t="str">
        <f>""</f>
        <v/>
      </c>
      <c r="CG553" t="str">
        <f>""</f>
        <v/>
      </c>
      <c r="CH553" t="str">
        <f>""</f>
        <v/>
      </c>
    </row>
    <row r="554" spans="1:86" x14ac:dyDescent="0.25">
      <c r="A554" t="s">
        <v>3963</v>
      </c>
      <c r="B554" t="s">
        <v>3964</v>
      </c>
      <c r="C554" t="s">
        <v>1992</v>
      </c>
      <c r="D554" t="s">
        <v>2010</v>
      </c>
      <c r="E554" t="s">
        <v>3965</v>
      </c>
      <c r="F554" t="s">
        <v>3966</v>
      </c>
      <c r="G554" t="s">
        <v>743</v>
      </c>
      <c r="H554" t="s">
        <v>3967</v>
      </c>
      <c r="I554" t="s">
        <v>401</v>
      </c>
      <c r="J554" t="str">
        <f>"83651"</f>
        <v>83651</v>
      </c>
      <c r="K554" t="s">
        <v>1998</v>
      </c>
      <c r="L554" t="s">
        <v>231</v>
      </c>
      <c r="M554" t="s">
        <v>3968</v>
      </c>
      <c r="N554" t="s">
        <v>1992</v>
      </c>
      <c r="O554" t="s">
        <v>1992</v>
      </c>
      <c r="P554" t="s">
        <v>1992</v>
      </c>
      <c r="Q554" t="s">
        <v>1992</v>
      </c>
      <c r="R554" t="s">
        <v>1992</v>
      </c>
      <c r="S554" t="s">
        <v>1992</v>
      </c>
      <c r="T554" t="s">
        <v>1992</v>
      </c>
      <c r="U554" t="s">
        <v>1992</v>
      </c>
      <c r="V554" t="s">
        <v>1991</v>
      </c>
      <c r="W554" t="s">
        <v>1992</v>
      </c>
      <c r="X554" t="s">
        <v>1992</v>
      </c>
      <c r="Y554" t="s">
        <v>1992</v>
      </c>
      <c r="Z554" t="s">
        <v>1991</v>
      </c>
      <c r="AE554" t="s">
        <v>448</v>
      </c>
      <c r="AF554" t="s">
        <v>2048</v>
      </c>
      <c r="AG554" t="s">
        <v>1991</v>
      </c>
      <c r="AH554">
        <v>30</v>
      </c>
      <c r="AI554">
        <v>30</v>
      </c>
      <c r="AJ554" t="s">
        <v>3969</v>
      </c>
      <c r="AK554">
        <v>2535</v>
      </c>
      <c r="AL554">
        <v>28000</v>
      </c>
      <c r="AM554" t="s">
        <v>2298</v>
      </c>
      <c r="BX554" t="str">
        <f>"-MTWTF- 0800-1800; ------S 0800-1700"</f>
        <v>-MTWTF- 0800-1800; ------S 0800-1700</v>
      </c>
      <c r="BY554" t="str">
        <f>""</f>
        <v/>
      </c>
      <c r="BZ554" t="str">
        <f>""</f>
        <v/>
      </c>
      <c r="CA554" t="str">
        <f>""</f>
        <v/>
      </c>
      <c r="CB554" t="str">
        <f>""</f>
        <v/>
      </c>
      <c r="CC554" t="str">
        <f>""</f>
        <v/>
      </c>
      <c r="CD554" t="str">
        <f>""</f>
        <v/>
      </c>
      <c r="CE554" t="str">
        <f>""</f>
        <v/>
      </c>
      <c r="CF554" t="str">
        <f>""</f>
        <v/>
      </c>
      <c r="CG554" t="str">
        <f>""</f>
        <v/>
      </c>
      <c r="CH554" t="str">
        <f>""</f>
        <v/>
      </c>
    </row>
    <row r="555" spans="1:86" x14ac:dyDescent="0.25">
      <c r="A555" t="s">
        <v>3970</v>
      </c>
      <c r="B555" t="s">
        <v>3971</v>
      </c>
      <c r="C555" t="s">
        <v>1992</v>
      </c>
      <c r="D555" t="s">
        <v>1993</v>
      </c>
      <c r="E555" t="s">
        <v>3972</v>
      </c>
      <c r="H555" t="s">
        <v>3973</v>
      </c>
      <c r="I555" t="s">
        <v>2061</v>
      </c>
      <c r="J555" t="str">
        <f>"94559-2528"</f>
        <v>94559-2528</v>
      </c>
      <c r="K555" t="s">
        <v>1998</v>
      </c>
      <c r="L555" t="s">
        <v>2062</v>
      </c>
      <c r="M555" t="s">
        <v>2063</v>
      </c>
      <c r="N555" t="s">
        <v>1992</v>
      </c>
      <c r="O555" t="s">
        <v>1992</v>
      </c>
      <c r="P555" t="s">
        <v>1992</v>
      </c>
      <c r="Q555" t="s">
        <v>1992</v>
      </c>
      <c r="R555" t="s">
        <v>1992</v>
      </c>
      <c r="S555" t="s">
        <v>1992</v>
      </c>
      <c r="T555" t="s">
        <v>1992</v>
      </c>
      <c r="U555" t="s">
        <v>1992</v>
      </c>
      <c r="V555" t="s">
        <v>1991</v>
      </c>
      <c r="W555" t="s">
        <v>1992</v>
      </c>
      <c r="X555" t="s">
        <v>1992</v>
      </c>
      <c r="Y555" t="s">
        <v>1991</v>
      </c>
      <c r="Z555" t="s">
        <v>1992</v>
      </c>
      <c r="AB555" t="s">
        <v>3974</v>
      </c>
      <c r="AF555" t="s">
        <v>2064</v>
      </c>
      <c r="AG555" t="s">
        <v>1991</v>
      </c>
      <c r="AH555">
        <v>30</v>
      </c>
      <c r="AI555">
        <v>30</v>
      </c>
      <c r="AJ555" t="s">
        <v>3975</v>
      </c>
      <c r="AK555">
        <v>23</v>
      </c>
      <c r="AM555" t="s">
        <v>2298</v>
      </c>
      <c r="BF555" t="s">
        <v>1053</v>
      </c>
      <c r="BG555" t="s">
        <v>309</v>
      </c>
      <c r="BH555" t="s">
        <v>2301</v>
      </c>
      <c r="BI555" t="s">
        <v>1053</v>
      </c>
      <c r="BK555" t="s">
        <v>1053</v>
      </c>
      <c r="BO555" t="s">
        <v>1053</v>
      </c>
      <c r="BP555" t="s">
        <v>5519</v>
      </c>
      <c r="BQ555" t="s">
        <v>1814</v>
      </c>
      <c r="BR555" t="s">
        <v>1053</v>
      </c>
      <c r="BX555" t="str">
        <f>""</f>
        <v/>
      </c>
      <c r="BY555" t="str">
        <f>""</f>
        <v/>
      </c>
      <c r="BZ555" t="str">
        <f>""</f>
        <v/>
      </c>
      <c r="CA555" t="str">
        <f>""</f>
        <v/>
      </c>
      <c r="CB555" t="str">
        <f>""</f>
        <v/>
      </c>
      <c r="CC555" t="str">
        <f>""</f>
        <v/>
      </c>
      <c r="CD555" t="str">
        <f>""</f>
        <v/>
      </c>
      <c r="CE555" t="str">
        <f>""</f>
        <v/>
      </c>
      <c r="CF555" t="str">
        <f>""</f>
        <v/>
      </c>
      <c r="CG555" t="str">
        <f>""</f>
        <v/>
      </c>
      <c r="CH555" t="str">
        <f>""</f>
        <v/>
      </c>
    </row>
    <row r="556" spans="1:86" x14ac:dyDescent="0.25">
      <c r="A556" t="s">
        <v>3976</v>
      </c>
      <c r="B556" t="s">
        <v>3977</v>
      </c>
      <c r="C556" t="s">
        <v>1991</v>
      </c>
      <c r="D556" t="s">
        <v>2010</v>
      </c>
      <c r="E556" t="s">
        <v>3978</v>
      </c>
      <c r="F556" t="s">
        <v>2030</v>
      </c>
      <c r="H556" t="s">
        <v>3979</v>
      </c>
      <c r="I556" t="s">
        <v>2032</v>
      </c>
      <c r="J556" t="str">
        <f>"08901"</f>
        <v>08901</v>
      </c>
      <c r="K556" t="s">
        <v>1998</v>
      </c>
      <c r="L556" t="s">
        <v>2033</v>
      </c>
      <c r="M556" t="s">
        <v>2034</v>
      </c>
      <c r="N556" t="s">
        <v>1991</v>
      </c>
      <c r="O556" t="s">
        <v>1992</v>
      </c>
      <c r="P556" t="s">
        <v>1992</v>
      </c>
      <c r="Q556" t="s">
        <v>1992</v>
      </c>
      <c r="R556" t="s">
        <v>1992</v>
      </c>
      <c r="S556" t="s">
        <v>1992</v>
      </c>
      <c r="T556" t="s">
        <v>1992</v>
      </c>
      <c r="U556" t="s">
        <v>1992</v>
      </c>
      <c r="V556" t="s">
        <v>1991</v>
      </c>
      <c r="W556" t="s">
        <v>1991</v>
      </c>
      <c r="X556" t="s">
        <v>1991</v>
      </c>
      <c r="Y556" t="s">
        <v>1992</v>
      </c>
      <c r="Z556" t="s">
        <v>1992</v>
      </c>
      <c r="AA556" t="s">
        <v>1991</v>
      </c>
      <c r="AE556" t="s">
        <v>3714</v>
      </c>
      <c r="AF556" t="s">
        <v>2016</v>
      </c>
      <c r="AG556" t="s">
        <v>1991</v>
      </c>
      <c r="AH556">
        <v>30</v>
      </c>
      <c r="AI556">
        <v>30</v>
      </c>
      <c r="AJ556" t="s">
        <v>3980</v>
      </c>
      <c r="AK556">
        <v>46</v>
      </c>
      <c r="AL556">
        <v>42450</v>
      </c>
      <c r="AN556" t="s">
        <v>1053</v>
      </c>
      <c r="AO556" t="s">
        <v>1053</v>
      </c>
      <c r="AP556" t="s">
        <v>1053</v>
      </c>
      <c r="AQ556" t="s">
        <v>1053</v>
      </c>
      <c r="AR556" t="s">
        <v>2083</v>
      </c>
      <c r="AS556" t="s">
        <v>3976</v>
      </c>
      <c r="AT556" t="s">
        <v>3981</v>
      </c>
      <c r="AU556" t="s">
        <v>1053</v>
      </c>
      <c r="AV556" t="s">
        <v>1053</v>
      </c>
      <c r="AW556" t="s">
        <v>1053</v>
      </c>
      <c r="AX556" t="s">
        <v>1053</v>
      </c>
      <c r="AY556" t="s">
        <v>2083</v>
      </c>
      <c r="AZ556" t="s">
        <v>3976</v>
      </c>
      <c r="BA556" t="s">
        <v>3981</v>
      </c>
      <c r="BB556" t="s">
        <v>1053</v>
      </c>
      <c r="BC556" t="s">
        <v>1053</v>
      </c>
      <c r="BD556" t="s">
        <v>1053</v>
      </c>
      <c r="BE556" t="s">
        <v>1053</v>
      </c>
      <c r="BF556" t="s">
        <v>1053</v>
      </c>
      <c r="BG556" t="s">
        <v>3982</v>
      </c>
      <c r="BH556" t="s">
        <v>1064</v>
      </c>
      <c r="BI556" t="s">
        <v>1053</v>
      </c>
      <c r="BJ556" t="s">
        <v>1053</v>
      </c>
      <c r="BK556" t="s">
        <v>1053</v>
      </c>
      <c r="BL556" t="s">
        <v>1053</v>
      </c>
      <c r="BM556" t="s">
        <v>1514</v>
      </c>
      <c r="BN556" t="s">
        <v>1066</v>
      </c>
      <c r="BO556" t="s">
        <v>1053</v>
      </c>
      <c r="BP556" t="s">
        <v>3983</v>
      </c>
      <c r="BQ556" t="s">
        <v>1067</v>
      </c>
      <c r="BR556" t="s">
        <v>1053</v>
      </c>
      <c r="BS556" t="s">
        <v>1053</v>
      </c>
      <c r="BT556" t="s">
        <v>1053</v>
      </c>
      <c r="BU556" t="s">
        <v>1053</v>
      </c>
      <c r="BV556" t="s">
        <v>1068</v>
      </c>
      <c r="BW556" t="s">
        <v>1069</v>
      </c>
      <c r="BX556" t="str">
        <f>"S-----S 0830-2000; -MTWTF- 0530-2030"</f>
        <v>S-----S 0830-2000; -MTWTF- 0530-2030</v>
      </c>
      <c r="BY556" t="str">
        <f>""</f>
        <v/>
      </c>
      <c r="BZ556" t="str">
        <f>""</f>
        <v/>
      </c>
      <c r="CA556" t="str">
        <f>"S-----S 0830-2000; -MTWTF- 0530-2030"</f>
        <v>S-----S 0830-2000; -MTWTF- 0530-2030</v>
      </c>
      <c r="CB556" t="str">
        <f>"SMTWTFS 0600-2130"</f>
        <v>SMTWTFS 0600-2130</v>
      </c>
      <c r="CC556" t="str">
        <f>""</f>
        <v/>
      </c>
      <c r="CD556" t="str">
        <f>""</f>
        <v/>
      </c>
      <c r="CE556" t="str">
        <f>""</f>
        <v/>
      </c>
      <c r="CF556" t="str">
        <f>""</f>
        <v/>
      </c>
      <c r="CG556" t="str">
        <f>""</f>
        <v/>
      </c>
      <c r="CH556" t="str">
        <f>"SMTWTFS 0000-2359"</f>
        <v>SMTWTFS 0000-2359</v>
      </c>
    </row>
    <row r="557" spans="1:86" x14ac:dyDescent="0.25">
      <c r="A557" t="s">
        <v>3984</v>
      </c>
      <c r="B557" t="s">
        <v>3985</v>
      </c>
      <c r="C557" t="s">
        <v>1992</v>
      </c>
      <c r="D557" t="s">
        <v>2028</v>
      </c>
      <c r="E557" t="s">
        <v>3986</v>
      </c>
      <c r="H557" t="s">
        <v>3987</v>
      </c>
      <c r="I557" t="s">
        <v>3705</v>
      </c>
      <c r="J557" t="str">
        <f>"38059"</f>
        <v>38059</v>
      </c>
      <c r="K557" t="s">
        <v>1998</v>
      </c>
      <c r="L557" t="s">
        <v>1999</v>
      </c>
      <c r="M557" t="s">
        <v>2063</v>
      </c>
      <c r="N557" t="s">
        <v>1992</v>
      </c>
      <c r="O557" t="s">
        <v>1992</v>
      </c>
      <c r="P557" t="s">
        <v>1992</v>
      </c>
      <c r="Q557" t="s">
        <v>1992</v>
      </c>
      <c r="R557" t="s">
        <v>1992</v>
      </c>
      <c r="S557" t="s">
        <v>1992</v>
      </c>
      <c r="T557" t="s">
        <v>1992</v>
      </c>
      <c r="U557" t="s">
        <v>1992</v>
      </c>
      <c r="V557" t="s">
        <v>1991</v>
      </c>
      <c r="W557" t="s">
        <v>1991</v>
      </c>
      <c r="X557" t="s">
        <v>1992</v>
      </c>
      <c r="Y557" t="s">
        <v>1992</v>
      </c>
      <c r="Z557" t="s">
        <v>1992</v>
      </c>
      <c r="AF557" t="s">
        <v>2001</v>
      </c>
      <c r="AG557" t="s">
        <v>1991</v>
      </c>
      <c r="AH557">
        <v>30</v>
      </c>
      <c r="AI557">
        <v>30</v>
      </c>
      <c r="AJ557" t="s">
        <v>3988</v>
      </c>
      <c r="AK557">
        <v>376</v>
      </c>
      <c r="AL557">
        <v>21000</v>
      </c>
      <c r="AN557" t="s">
        <v>2066</v>
      </c>
      <c r="AO557" t="s">
        <v>2063</v>
      </c>
      <c r="BF557" t="s">
        <v>1053</v>
      </c>
      <c r="BG557" t="s">
        <v>2371</v>
      </c>
      <c r="BH557" t="s">
        <v>985</v>
      </c>
      <c r="BI557" t="s">
        <v>1053</v>
      </c>
      <c r="BJ557" t="s">
        <v>1053</v>
      </c>
      <c r="BK557" t="s">
        <v>1053</v>
      </c>
      <c r="BL557" t="s">
        <v>1053</v>
      </c>
      <c r="BM557" t="s">
        <v>2373</v>
      </c>
      <c r="BN557" t="s">
        <v>2374</v>
      </c>
      <c r="BO557" t="s">
        <v>1053</v>
      </c>
      <c r="BP557" t="s">
        <v>3989</v>
      </c>
      <c r="BQ557" t="s">
        <v>2376</v>
      </c>
      <c r="BR557" t="s">
        <v>1053</v>
      </c>
      <c r="BS557" t="s">
        <v>1053</v>
      </c>
      <c r="BT557" t="s">
        <v>1053</v>
      </c>
      <c r="BU557" t="s">
        <v>1053</v>
      </c>
      <c r="BV557" t="s">
        <v>987</v>
      </c>
      <c r="BX557" t="str">
        <f>"SMTWTFS 0000-0100 0300-0430 2330-2359"</f>
        <v>SMTWTFS 0000-0100 0300-0430 2330-2359</v>
      </c>
      <c r="BY557" t="str">
        <f>""</f>
        <v/>
      </c>
      <c r="BZ557" t="str">
        <f>""</f>
        <v/>
      </c>
      <c r="CA557" t="str">
        <f>""</f>
        <v/>
      </c>
      <c r="CB557" t="str">
        <f>""</f>
        <v/>
      </c>
      <c r="CC557" t="str">
        <f>""</f>
        <v/>
      </c>
      <c r="CD557" t="str">
        <f>""</f>
        <v/>
      </c>
      <c r="CE557" t="str">
        <f>""</f>
        <v/>
      </c>
      <c r="CF557" t="str">
        <f>""</f>
        <v/>
      </c>
      <c r="CG557" t="str">
        <f>""</f>
        <v/>
      </c>
      <c r="CH557" t="str">
        <f>""</f>
        <v/>
      </c>
    </row>
    <row r="558" spans="1:86" x14ac:dyDescent="0.25">
      <c r="A558" t="s">
        <v>3990</v>
      </c>
      <c r="B558" t="s">
        <v>3991</v>
      </c>
      <c r="C558" t="s">
        <v>1992</v>
      </c>
      <c r="D558" t="s">
        <v>2010</v>
      </c>
      <c r="E558" t="s">
        <v>3992</v>
      </c>
      <c r="H558" t="s">
        <v>3993</v>
      </c>
      <c r="I558" t="s">
        <v>247</v>
      </c>
      <c r="J558" t="str">
        <f>"01950-3580"</f>
        <v>01950-3580</v>
      </c>
      <c r="K558" t="s">
        <v>1998</v>
      </c>
      <c r="L558" t="s">
        <v>2033</v>
      </c>
      <c r="M558" t="s">
        <v>3994</v>
      </c>
      <c r="N558" t="s">
        <v>1992</v>
      </c>
      <c r="O558" t="s">
        <v>1992</v>
      </c>
      <c r="P558" t="s">
        <v>1992</v>
      </c>
      <c r="Q558" t="s">
        <v>1992</v>
      </c>
      <c r="R558" t="s">
        <v>1992</v>
      </c>
      <c r="S558" t="s">
        <v>1992</v>
      </c>
      <c r="T558" t="s">
        <v>1992</v>
      </c>
      <c r="U558" t="s">
        <v>1992</v>
      </c>
      <c r="V558" t="s">
        <v>1991</v>
      </c>
      <c r="Z558" t="s">
        <v>1991</v>
      </c>
      <c r="AE558" t="s">
        <v>3995</v>
      </c>
      <c r="AF558" t="s">
        <v>2016</v>
      </c>
      <c r="AG558" t="s">
        <v>1991</v>
      </c>
      <c r="AH558">
        <v>30</v>
      </c>
      <c r="AI558">
        <v>30</v>
      </c>
      <c r="AJ558" t="s">
        <v>3996</v>
      </c>
      <c r="AK558">
        <v>80</v>
      </c>
      <c r="BX558" t="str">
        <f>""</f>
        <v/>
      </c>
      <c r="BY558" t="str">
        <f>""</f>
        <v/>
      </c>
      <c r="BZ558" t="str">
        <f>""</f>
        <v/>
      </c>
      <c r="CA558" t="str">
        <f>""</f>
        <v/>
      </c>
      <c r="CB558" t="str">
        <f>""</f>
        <v/>
      </c>
      <c r="CC558" t="str">
        <f>""</f>
        <v/>
      </c>
      <c r="CD558" t="str">
        <f>""</f>
        <v/>
      </c>
      <c r="CE558" t="str">
        <f>""</f>
        <v/>
      </c>
      <c r="CF558" t="str">
        <f>""</f>
        <v/>
      </c>
      <c r="CG558" t="str">
        <f>""</f>
        <v/>
      </c>
      <c r="CH558" t="str">
        <f>""</f>
        <v/>
      </c>
    </row>
    <row r="559" spans="1:86" x14ac:dyDescent="0.25">
      <c r="A559" t="s">
        <v>3997</v>
      </c>
      <c r="B559" t="s">
        <v>3998</v>
      </c>
      <c r="C559" t="s">
        <v>1992</v>
      </c>
      <c r="D559" t="s">
        <v>2028</v>
      </c>
      <c r="E559" t="s">
        <v>3999</v>
      </c>
      <c r="H559" t="s">
        <v>4000</v>
      </c>
      <c r="I559" t="s">
        <v>2352</v>
      </c>
      <c r="J559" t="str">
        <f>"49117-1161"</f>
        <v>49117-1161</v>
      </c>
      <c r="K559" t="s">
        <v>1998</v>
      </c>
      <c r="L559" t="s">
        <v>1999</v>
      </c>
      <c r="M559" t="s">
        <v>2000</v>
      </c>
      <c r="N559" t="s">
        <v>1992</v>
      </c>
      <c r="O559" t="s">
        <v>1992</v>
      </c>
      <c r="P559" t="s">
        <v>1992</v>
      </c>
      <c r="Q559" t="s">
        <v>1992</v>
      </c>
      <c r="R559" t="s">
        <v>1992</v>
      </c>
      <c r="S559" t="s">
        <v>1992</v>
      </c>
      <c r="T559" t="s">
        <v>1992</v>
      </c>
      <c r="U559" t="s">
        <v>1992</v>
      </c>
      <c r="V559" t="s">
        <v>1991</v>
      </c>
      <c r="W559" t="s">
        <v>1991</v>
      </c>
      <c r="AF559" t="s">
        <v>2016</v>
      </c>
      <c r="AG559" t="s">
        <v>1991</v>
      </c>
      <c r="AH559">
        <v>30</v>
      </c>
      <c r="AI559">
        <v>30</v>
      </c>
      <c r="AJ559" t="s">
        <v>4001</v>
      </c>
      <c r="AK559">
        <v>606</v>
      </c>
      <c r="AN559" t="s">
        <v>450</v>
      </c>
      <c r="AO559" t="s">
        <v>2311</v>
      </c>
      <c r="BF559" t="s">
        <v>1053</v>
      </c>
      <c r="BG559" t="s">
        <v>235</v>
      </c>
      <c r="BH559" t="s">
        <v>4002</v>
      </c>
      <c r="BI559" t="s">
        <v>1053</v>
      </c>
      <c r="BK559" t="s">
        <v>1053</v>
      </c>
      <c r="BM559" t="s">
        <v>2313</v>
      </c>
      <c r="BN559" t="s">
        <v>2314</v>
      </c>
      <c r="BO559" t="s">
        <v>1053</v>
      </c>
      <c r="BP559" t="s">
        <v>301</v>
      </c>
      <c r="BQ559" t="s">
        <v>2316</v>
      </c>
      <c r="BR559" t="s">
        <v>1053</v>
      </c>
      <c r="BT559" t="s">
        <v>1053</v>
      </c>
      <c r="BX559" t="str">
        <f>""</f>
        <v/>
      </c>
      <c r="BY559" t="str">
        <f>""</f>
        <v/>
      </c>
      <c r="BZ559" t="str">
        <f>""</f>
        <v/>
      </c>
      <c r="CA559" t="str">
        <f>""</f>
        <v/>
      </c>
      <c r="CB559" t="str">
        <f>""</f>
        <v/>
      </c>
      <c r="CC559" t="str">
        <f>""</f>
        <v/>
      </c>
      <c r="CD559" t="str">
        <f>""</f>
        <v/>
      </c>
      <c r="CE559" t="str">
        <f>""</f>
        <v/>
      </c>
      <c r="CF559" t="str">
        <f>""</f>
        <v/>
      </c>
      <c r="CG559" t="str">
        <f>""</f>
        <v/>
      </c>
      <c r="CH559" t="str">
        <f>"SMTWTFS 0000-2359"</f>
        <v>SMTWTFS 0000-2359</v>
      </c>
    </row>
    <row r="560" spans="1:86" x14ac:dyDescent="0.25">
      <c r="A560" t="s">
        <v>4003</v>
      </c>
      <c r="B560" t="s">
        <v>4004</v>
      </c>
      <c r="C560" t="s">
        <v>1992</v>
      </c>
      <c r="D560" t="s">
        <v>1993</v>
      </c>
      <c r="E560" t="s">
        <v>4005</v>
      </c>
      <c r="F560" t="s">
        <v>4006</v>
      </c>
      <c r="H560" t="s">
        <v>4007</v>
      </c>
      <c r="I560" t="s">
        <v>2381</v>
      </c>
      <c r="J560" t="str">
        <f>"75965-0818"</f>
        <v>75965-0818</v>
      </c>
      <c r="K560" t="s">
        <v>1998</v>
      </c>
      <c r="L560" t="s">
        <v>2045</v>
      </c>
      <c r="M560" t="s">
        <v>2000</v>
      </c>
      <c r="N560" t="s">
        <v>1992</v>
      </c>
      <c r="O560" t="s">
        <v>1992</v>
      </c>
      <c r="P560" t="s">
        <v>1992</v>
      </c>
      <c r="Q560" t="s">
        <v>1992</v>
      </c>
      <c r="R560" t="s">
        <v>1992</v>
      </c>
      <c r="S560" t="s">
        <v>1992</v>
      </c>
      <c r="T560" t="s">
        <v>1992</v>
      </c>
      <c r="U560" t="s">
        <v>1992</v>
      </c>
      <c r="V560" t="s">
        <v>1991</v>
      </c>
      <c r="W560" t="s">
        <v>1992</v>
      </c>
      <c r="X560" t="s">
        <v>1992</v>
      </c>
      <c r="Y560" t="s">
        <v>1992</v>
      </c>
      <c r="Z560" t="s">
        <v>1991</v>
      </c>
      <c r="AF560" t="s">
        <v>2001</v>
      </c>
      <c r="AG560" t="s">
        <v>1991</v>
      </c>
      <c r="AH560">
        <v>30</v>
      </c>
      <c r="AI560">
        <v>30</v>
      </c>
      <c r="AJ560" t="s">
        <v>4008</v>
      </c>
      <c r="AK560">
        <v>539</v>
      </c>
      <c r="AL560">
        <v>52900</v>
      </c>
      <c r="AM560" t="s">
        <v>4009</v>
      </c>
      <c r="BF560" t="s">
        <v>1053</v>
      </c>
      <c r="BG560" t="s">
        <v>235</v>
      </c>
      <c r="BH560" t="s">
        <v>2098</v>
      </c>
      <c r="BI560" t="s">
        <v>1053</v>
      </c>
      <c r="BK560" t="s">
        <v>1053</v>
      </c>
      <c r="BO560" t="s">
        <v>1053</v>
      </c>
      <c r="BP560" t="s">
        <v>2101</v>
      </c>
      <c r="BQ560" t="s">
        <v>4010</v>
      </c>
      <c r="BR560" t="s">
        <v>1053</v>
      </c>
      <c r="BS560" t="s">
        <v>1053</v>
      </c>
      <c r="BT560" t="s">
        <v>1053</v>
      </c>
      <c r="BU560" t="s">
        <v>1053</v>
      </c>
      <c r="BV560" t="s">
        <v>2056</v>
      </c>
      <c r="BX560" t="str">
        <f>""</f>
        <v/>
      </c>
      <c r="BY560" t="str">
        <f>""</f>
        <v/>
      </c>
      <c r="BZ560" t="str">
        <f>""</f>
        <v/>
      </c>
      <c r="CA560" t="str">
        <f>""</f>
        <v/>
      </c>
      <c r="CB560" t="str">
        <f>""</f>
        <v/>
      </c>
      <c r="CC560" t="str">
        <f>""</f>
        <v/>
      </c>
      <c r="CD560" t="str">
        <f>""</f>
        <v/>
      </c>
      <c r="CE560" t="str">
        <f>""</f>
        <v/>
      </c>
      <c r="CF560" t="str">
        <f>""</f>
        <v/>
      </c>
      <c r="CG560" t="str">
        <f>""</f>
        <v/>
      </c>
      <c r="CH560" t="str">
        <f>""</f>
        <v/>
      </c>
    </row>
    <row r="561" spans="1:86" x14ac:dyDescent="0.25">
      <c r="A561" t="s">
        <v>4011</v>
      </c>
      <c r="B561" t="s">
        <v>4012</v>
      </c>
      <c r="C561" t="s">
        <v>1992</v>
      </c>
      <c r="D561" t="s">
        <v>1993</v>
      </c>
      <c r="E561" t="s">
        <v>4013</v>
      </c>
      <c r="F561" t="s">
        <v>4014</v>
      </c>
      <c r="H561" t="s">
        <v>4015</v>
      </c>
      <c r="I561" t="s">
        <v>2295</v>
      </c>
      <c r="J561" t="str">
        <f>"97301"</f>
        <v>97301</v>
      </c>
      <c r="K561" t="s">
        <v>1998</v>
      </c>
      <c r="L561" t="s">
        <v>231</v>
      </c>
      <c r="M561" t="s">
        <v>2063</v>
      </c>
      <c r="N561" t="s">
        <v>1992</v>
      </c>
      <c r="O561" t="s">
        <v>1992</v>
      </c>
      <c r="P561" t="s">
        <v>1992</v>
      </c>
      <c r="Q561" t="s">
        <v>1992</v>
      </c>
      <c r="R561" t="s">
        <v>1992</v>
      </c>
      <c r="S561" t="s">
        <v>1992</v>
      </c>
      <c r="T561" t="s">
        <v>1992</v>
      </c>
      <c r="U561" t="s">
        <v>1992</v>
      </c>
      <c r="V561" t="s">
        <v>1991</v>
      </c>
      <c r="W561" t="s">
        <v>1992</v>
      </c>
      <c r="X561" t="s">
        <v>1992</v>
      </c>
      <c r="Y561" t="s">
        <v>1991</v>
      </c>
      <c r="Z561" t="s">
        <v>1992</v>
      </c>
      <c r="AE561" t="s">
        <v>4016</v>
      </c>
      <c r="AF561" t="s">
        <v>2064</v>
      </c>
      <c r="AG561" t="s">
        <v>1991</v>
      </c>
      <c r="AH561">
        <v>30</v>
      </c>
      <c r="AI561">
        <v>30</v>
      </c>
      <c r="AJ561" t="s">
        <v>4017</v>
      </c>
      <c r="AK561">
        <v>418</v>
      </c>
      <c r="AM561" t="s">
        <v>2298</v>
      </c>
      <c r="AN561" t="s">
        <v>450</v>
      </c>
      <c r="AO561" t="s">
        <v>2063</v>
      </c>
      <c r="BF561" t="s">
        <v>1053</v>
      </c>
      <c r="BG561" t="s">
        <v>330</v>
      </c>
      <c r="BH561" t="s">
        <v>236</v>
      </c>
      <c r="BI561" t="s">
        <v>1053</v>
      </c>
      <c r="BJ561" t="s">
        <v>1053</v>
      </c>
      <c r="BK561" t="s">
        <v>1053</v>
      </c>
      <c r="BL561" t="s">
        <v>1053</v>
      </c>
      <c r="BX561" t="str">
        <f>""</f>
        <v/>
      </c>
      <c r="BY561" t="str">
        <f>""</f>
        <v/>
      </c>
      <c r="BZ561" t="str">
        <f>""</f>
        <v/>
      </c>
      <c r="CA561" t="str">
        <f>""</f>
        <v/>
      </c>
      <c r="CB561" t="str">
        <f>""</f>
        <v/>
      </c>
      <c r="CC561" t="str">
        <f>""</f>
        <v/>
      </c>
      <c r="CD561" t="str">
        <f>""</f>
        <v/>
      </c>
      <c r="CE561" t="str">
        <f>""</f>
        <v/>
      </c>
      <c r="CF561" t="str">
        <f>""</f>
        <v/>
      </c>
      <c r="CG561" t="str">
        <f>""</f>
        <v/>
      </c>
      <c r="CH561" t="str">
        <f>""</f>
        <v/>
      </c>
    </row>
    <row r="562" spans="1:86" x14ac:dyDescent="0.25">
      <c r="A562" t="s">
        <v>4018</v>
      </c>
      <c r="B562" t="s">
        <v>4019</v>
      </c>
      <c r="C562" t="s">
        <v>1991</v>
      </c>
      <c r="D562" t="s">
        <v>2010</v>
      </c>
      <c r="E562" t="s">
        <v>4020</v>
      </c>
      <c r="H562" t="s">
        <v>4021</v>
      </c>
      <c r="I562" t="s">
        <v>2014</v>
      </c>
      <c r="J562" t="str">
        <f>"20784"</f>
        <v>20784</v>
      </c>
      <c r="K562" t="s">
        <v>1998</v>
      </c>
      <c r="L562" t="s">
        <v>2015</v>
      </c>
      <c r="M562" t="s">
        <v>4022</v>
      </c>
      <c r="N562" t="s">
        <v>1991</v>
      </c>
      <c r="O562" t="s">
        <v>1991</v>
      </c>
      <c r="P562" t="s">
        <v>1992</v>
      </c>
      <c r="Q562" t="s">
        <v>1992</v>
      </c>
      <c r="R562" t="s">
        <v>1992</v>
      </c>
      <c r="S562" t="s">
        <v>1992</v>
      </c>
      <c r="T562" t="s">
        <v>1992</v>
      </c>
      <c r="U562" t="s">
        <v>1991</v>
      </c>
      <c r="V562" t="s">
        <v>1991</v>
      </c>
      <c r="W562" t="s">
        <v>1991</v>
      </c>
      <c r="X562" t="s">
        <v>1991</v>
      </c>
      <c r="Y562" t="s">
        <v>1992</v>
      </c>
      <c r="Z562" t="s">
        <v>1992</v>
      </c>
      <c r="AA562" t="s">
        <v>1991</v>
      </c>
      <c r="AE562" t="s">
        <v>4023</v>
      </c>
      <c r="AF562" t="s">
        <v>2016</v>
      </c>
      <c r="AG562" t="s">
        <v>1991</v>
      </c>
      <c r="AH562">
        <v>30</v>
      </c>
      <c r="AI562">
        <v>30</v>
      </c>
      <c r="AJ562" t="s">
        <v>4024</v>
      </c>
      <c r="AK562">
        <v>99</v>
      </c>
      <c r="AL562">
        <v>12651</v>
      </c>
      <c r="AM562" t="s">
        <v>4025</v>
      </c>
      <c r="AN562" t="s">
        <v>1053</v>
      </c>
      <c r="AO562" t="s">
        <v>1053</v>
      </c>
      <c r="AP562" t="s">
        <v>1053</v>
      </c>
      <c r="AQ562" t="s">
        <v>1053</v>
      </c>
      <c r="AR562" t="s">
        <v>1053</v>
      </c>
      <c r="AS562" t="s">
        <v>4018</v>
      </c>
      <c r="AT562" t="s">
        <v>4026</v>
      </c>
      <c r="AU562" t="s">
        <v>1053</v>
      </c>
      <c r="AV562" t="s">
        <v>1053</v>
      </c>
      <c r="AW562" t="s">
        <v>1053</v>
      </c>
      <c r="AX562" t="s">
        <v>1053</v>
      </c>
      <c r="AY562" t="s">
        <v>1053</v>
      </c>
      <c r="AZ562" t="s">
        <v>4018</v>
      </c>
      <c r="BA562" t="s">
        <v>4027</v>
      </c>
      <c r="BB562" t="s">
        <v>1053</v>
      </c>
      <c r="BC562" t="s">
        <v>1053</v>
      </c>
      <c r="BD562" t="s">
        <v>1053</v>
      </c>
      <c r="BE562" t="s">
        <v>1053</v>
      </c>
      <c r="BF562" t="s">
        <v>1053</v>
      </c>
      <c r="BG562" t="s">
        <v>2019</v>
      </c>
      <c r="BH562" t="s">
        <v>454</v>
      </c>
      <c r="BI562" t="s">
        <v>1053</v>
      </c>
      <c r="BJ562" t="s">
        <v>1053</v>
      </c>
      <c r="BK562" t="s">
        <v>1053</v>
      </c>
      <c r="BL562" t="s">
        <v>1053</v>
      </c>
      <c r="BM562" t="s">
        <v>2021</v>
      </c>
      <c r="BN562" t="s">
        <v>2022</v>
      </c>
      <c r="BO562" t="s">
        <v>1053</v>
      </c>
      <c r="BP562" t="s">
        <v>2023</v>
      </c>
      <c r="BQ562" t="s">
        <v>460</v>
      </c>
      <c r="BR562" t="s">
        <v>1053</v>
      </c>
      <c r="BS562" t="s">
        <v>1053</v>
      </c>
      <c r="BT562" t="s">
        <v>1053</v>
      </c>
      <c r="BU562" t="s">
        <v>1053</v>
      </c>
      <c r="BV562" t="s">
        <v>461</v>
      </c>
      <c r="BX562" t="str">
        <f>"S-----S 0500-2100; -MTWTF- 0445-2100"</f>
        <v>S-----S 0500-2100; -MTWTF- 0445-2100</v>
      </c>
      <c r="BY562" t="str">
        <f>""</f>
        <v/>
      </c>
      <c r="BZ562" t="str">
        <f>"SMTWTFS 0530-2045"</f>
        <v>SMTWTFS 0530-2045</v>
      </c>
      <c r="CA562" t="str">
        <f>"S-----S 0500-2100; -MTWTF- 0430-2100"</f>
        <v>S-----S 0500-2100; -MTWTF- 0430-2100</v>
      </c>
      <c r="CB562" t="str">
        <f>"S-----S 0500-2100; -MTWTF- 0430-2100"</f>
        <v>S-----S 0500-2100; -MTWTF- 0430-2100</v>
      </c>
      <c r="CC562" t="str">
        <f>"S-----S 0500-2100; -MTWTF- 0430-2100"</f>
        <v>S-----S 0500-2100; -MTWTF- 0430-2100</v>
      </c>
      <c r="CD562" t="str">
        <f>""</f>
        <v/>
      </c>
      <c r="CE562" t="str">
        <f>""</f>
        <v/>
      </c>
      <c r="CF562" t="str">
        <f>""</f>
        <v/>
      </c>
      <c r="CG562" t="str">
        <f>""</f>
        <v/>
      </c>
      <c r="CH562" t="str">
        <f>"SMTWTFS 0000-2359"</f>
        <v>SMTWTFS 0000-2359</v>
      </c>
    </row>
    <row r="563" spans="1:86" x14ac:dyDescent="0.25">
      <c r="A563" t="s">
        <v>4028</v>
      </c>
      <c r="B563" t="s">
        <v>4029</v>
      </c>
      <c r="C563" t="s">
        <v>1992</v>
      </c>
      <c r="D563" t="s">
        <v>2331</v>
      </c>
      <c r="E563" t="s">
        <v>4030</v>
      </c>
      <c r="H563" t="s">
        <v>4031</v>
      </c>
      <c r="I563" t="s">
        <v>2061</v>
      </c>
      <c r="J563" t="str">
        <f>"92363"</f>
        <v>92363</v>
      </c>
      <c r="K563" t="s">
        <v>1998</v>
      </c>
      <c r="L563" t="s">
        <v>2045</v>
      </c>
      <c r="M563" t="s">
        <v>2063</v>
      </c>
      <c r="N563" t="s">
        <v>1992</v>
      </c>
      <c r="O563" t="s">
        <v>1992</v>
      </c>
      <c r="P563" t="s">
        <v>1992</v>
      </c>
      <c r="Q563" t="s">
        <v>1992</v>
      </c>
      <c r="R563" t="s">
        <v>1992</v>
      </c>
      <c r="S563" t="s">
        <v>1992</v>
      </c>
      <c r="T563" t="s">
        <v>1992</v>
      </c>
      <c r="U563" t="s">
        <v>1992</v>
      </c>
      <c r="V563" t="s">
        <v>1991</v>
      </c>
      <c r="W563" t="s">
        <v>1991</v>
      </c>
      <c r="X563" t="s">
        <v>1992</v>
      </c>
      <c r="Y563" t="s">
        <v>1992</v>
      </c>
      <c r="Z563" t="s">
        <v>1992</v>
      </c>
      <c r="AA563" t="s">
        <v>1992</v>
      </c>
      <c r="AF563" t="s">
        <v>2064</v>
      </c>
      <c r="AG563" t="s">
        <v>1991</v>
      </c>
      <c r="AH563">
        <v>30</v>
      </c>
      <c r="AI563">
        <v>30</v>
      </c>
      <c r="AJ563" t="s">
        <v>4032</v>
      </c>
      <c r="AK563">
        <v>487</v>
      </c>
      <c r="AL563">
        <v>20000</v>
      </c>
      <c r="AN563" t="s">
        <v>2066</v>
      </c>
      <c r="BF563" t="s">
        <v>1053</v>
      </c>
      <c r="BG563" t="s">
        <v>4033</v>
      </c>
      <c r="BH563" t="s">
        <v>2053</v>
      </c>
      <c r="BI563" t="s">
        <v>1053</v>
      </c>
      <c r="BK563" t="s">
        <v>1053</v>
      </c>
      <c r="BM563" t="s">
        <v>2039</v>
      </c>
      <c r="BO563" t="s">
        <v>1053</v>
      </c>
      <c r="BP563" t="s">
        <v>2054</v>
      </c>
      <c r="BQ563" t="s">
        <v>2055</v>
      </c>
      <c r="BR563" t="s">
        <v>1053</v>
      </c>
      <c r="BS563" t="s">
        <v>1053</v>
      </c>
      <c r="BV563" t="s">
        <v>2056</v>
      </c>
      <c r="BX563" t="str">
        <f>""</f>
        <v/>
      </c>
      <c r="BY563" t="str">
        <f>""</f>
        <v/>
      </c>
      <c r="BZ563" t="str">
        <f>""</f>
        <v/>
      </c>
      <c r="CA563" t="str">
        <f>""</f>
        <v/>
      </c>
      <c r="CB563" t="str">
        <f>""</f>
        <v/>
      </c>
      <c r="CC563" t="str">
        <f>""</f>
        <v/>
      </c>
      <c r="CD563" t="str">
        <f>""</f>
        <v/>
      </c>
      <c r="CE563" t="str">
        <f>""</f>
        <v/>
      </c>
      <c r="CF563" t="str">
        <f>""</f>
        <v/>
      </c>
      <c r="CG563" t="str">
        <f>""</f>
        <v/>
      </c>
      <c r="CH563" t="str">
        <f>""</f>
        <v/>
      </c>
    </row>
    <row r="564" spans="1:86" x14ac:dyDescent="0.25">
      <c r="A564" t="s">
        <v>4034</v>
      </c>
      <c r="B564" t="s">
        <v>4035</v>
      </c>
      <c r="C564" t="s">
        <v>1991</v>
      </c>
      <c r="D564" t="s">
        <v>2010</v>
      </c>
      <c r="E564" t="s">
        <v>4036</v>
      </c>
      <c r="H564" t="s">
        <v>4037</v>
      </c>
      <c r="I564" t="s">
        <v>1144</v>
      </c>
      <c r="J564" t="str">
        <f>"67114"</f>
        <v>67114</v>
      </c>
      <c r="K564" t="s">
        <v>1998</v>
      </c>
      <c r="L564" t="s">
        <v>1999</v>
      </c>
      <c r="M564" t="s">
        <v>4038</v>
      </c>
      <c r="N564" t="s">
        <v>1991</v>
      </c>
      <c r="O564" t="s">
        <v>1992</v>
      </c>
      <c r="P564" t="s">
        <v>1992</v>
      </c>
      <c r="Q564" t="s">
        <v>1992</v>
      </c>
      <c r="R564" t="s">
        <v>1992</v>
      </c>
      <c r="S564" t="s">
        <v>1992</v>
      </c>
      <c r="T564" t="s">
        <v>1992</v>
      </c>
      <c r="U564" t="s">
        <v>1992</v>
      </c>
      <c r="V564" t="s">
        <v>1991</v>
      </c>
      <c r="W564" t="s">
        <v>1991</v>
      </c>
      <c r="AE564" t="s">
        <v>2047</v>
      </c>
      <c r="AF564" t="s">
        <v>2001</v>
      </c>
      <c r="AG564" t="s">
        <v>1991</v>
      </c>
      <c r="AH564">
        <v>60</v>
      </c>
      <c r="AI564">
        <v>30</v>
      </c>
      <c r="AJ564" t="s">
        <v>4039</v>
      </c>
      <c r="AK564">
        <v>1446</v>
      </c>
      <c r="AL564">
        <v>19132</v>
      </c>
      <c r="AM564" t="s">
        <v>4040</v>
      </c>
      <c r="AN564" t="s">
        <v>1053</v>
      </c>
      <c r="AO564" t="s">
        <v>1053</v>
      </c>
      <c r="AP564" t="s">
        <v>2069</v>
      </c>
      <c r="AQ564" t="s">
        <v>1053</v>
      </c>
      <c r="AR564" t="s">
        <v>2069</v>
      </c>
      <c r="AS564" t="s">
        <v>4034</v>
      </c>
      <c r="AT564" t="s">
        <v>4041</v>
      </c>
      <c r="AU564" t="s">
        <v>1053</v>
      </c>
      <c r="AV564" t="s">
        <v>1053</v>
      </c>
      <c r="AW564" t="s">
        <v>2069</v>
      </c>
      <c r="AX564" t="s">
        <v>1053</v>
      </c>
      <c r="AY564" t="s">
        <v>2069</v>
      </c>
      <c r="AZ564" t="s">
        <v>4034</v>
      </c>
      <c r="BA564" t="s">
        <v>4041</v>
      </c>
      <c r="BB564" t="s">
        <v>1053</v>
      </c>
      <c r="BC564" t="s">
        <v>2069</v>
      </c>
      <c r="BD564" t="s">
        <v>1053</v>
      </c>
      <c r="BE564" t="s">
        <v>2069</v>
      </c>
      <c r="BF564" t="s">
        <v>1053</v>
      </c>
      <c r="BG564" t="s">
        <v>2371</v>
      </c>
      <c r="BH564" t="s">
        <v>985</v>
      </c>
      <c r="BI564" t="s">
        <v>1053</v>
      </c>
      <c r="BJ564" t="s">
        <v>1053</v>
      </c>
      <c r="BK564" t="s">
        <v>1053</v>
      </c>
      <c r="BL564" t="s">
        <v>1053</v>
      </c>
      <c r="BM564" t="s">
        <v>2373</v>
      </c>
      <c r="BN564" t="s">
        <v>2374</v>
      </c>
      <c r="BO564" t="s">
        <v>1053</v>
      </c>
      <c r="BP564" t="s">
        <v>653</v>
      </c>
      <c r="BQ564" t="s">
        <v>2376</v>
      </c>
      <c r="BR564" t="s">
        <v>1053</v>
      </c>
      <c r="BX564" t="str">
        <f>"S-----S 0130-0400; -MTWTF- 0000-0800"</f>
        <v>S-----S 0130-0400; -MTWTF- 0000-0800</v>
      </c>
      <c r="BY564" t="str">
        <f>""</f>
        <v/>
      </c>
      <c r="BZ564" t="str">
        <f>"-MTWTF- 0000-0800"</f>
        <v>-MTWTF- 0000-0800</v>
      </c>
      <c r="CA564" t="str">
        <f>"-MTWTF- 0000-0800"</f>
        <v>-MTWTF- 0000-0800</v>
      </c>
      <c r="CB564" t="str">
        <f>""</f>
        <v/>
      </c>
      <c r="CC564" t="str">
        <f>""</f>
        <v/>
      </c>
      <c r="CD564" t="str">
        <f>""</f>
        <v/>
      </c>
      <c r="CE564" t="str">
        <f>""</f>
        <v/>
      </c>
      <c r="CF564" t="str">
        <f>""</f>
        <v/>
      </c>
      <c r="CG564" t="str">
        <f>""</f>
        <v/>
      </c>
      <c r="CH564" t="str">
        <f>""</f>
        <v/>
      </c>
    </row>
    <row r="565" spans="1:86" x14ac:dyDescent="0.25">
      <c r="A565" t="s">
        <v>4042</v>
      </c>
      <c r="B565" t="s">
        <v>4043</v>
      </c>
      <c r="C565" t="s">
        <v>1992</v>
      </c>
      <c r="D565" t="s">
        <v>1993</v>
      </c>
      <c r="E565" t="s">
        <v>4044</v>
      </c>
      <c r="F565" t="s">
        <v>4045</v>
      </c>
      <c r="H565" t="s">
        <v>4046</v>
      </c>
      <c r="I565" t="s">
        <v>2405</v>
      </c>
      <c r="J565" t="str">
        <f>"23510"</f>
        <v>23510</v>
      </c>
      <c r="K565" t="s">
        <v>1998</v>
      </c>
      <c r="L565" t="s">
        <v>2015</v>
      </c>
      <c r="M565" t="s">
        <v>2063</v>
      </c>
      <c r="N565" t="s">
        <v>1992</v>
      </c>
      <c r="O565" t="s">
        <v>1992</v>
      </c>
      <c r="P565" t="s">
        <v>1992</v>
      </c>
      <c r="Q565" t="s">
        <v>1992</v>
      </c>
      <c r="R565" t="s">
        <v>1992</v>
      </c>
      <c r="S565" t="s">
        <v>1992</v>
      </c>
      <c r="T565" t="s">
        <v>1992</v>
      </c>
      <c r="U565" t="s">
        <v>1992</v>
      </c>
      <c r="V565" t="s">
        <v>1991</v>
      </c>
      <c r="W565" t="s">
        <v>1992</v>
      </c>
      <c r="X565" t="s">
        <v>1992</v>
      </c>
      <c r="Y565" t="s">
        <v>1991</v>
      </c>
      <c r="Z565" t="s">
        <v>1992</v>
      </c>
      <c r="AF565" t="s">
        <v>2016</v>
      </c>
      <c r="AG565" t="s">
        <v>1991</v>
      </c>
      <c r="AH565">
        <v>30</v>
      </c>
      <c r="AI565">
        <v>30</v>
      </c>
      <c r="AJ565" t="s">
        <v>4047</v>
      </c>
      <c r="AK565">
        <v>6</v>
      </c>
      <c r="AL565">
        <v>500000</v>
      </c>
      <c r="AN565" t="s">
        <v>4048</v>
      </c>
      <c r="AO565" t="s">
        <v>2063</v>
      </c>
      <c r="BF565" t="s">
        <v>1053</v>
      </c>
      <c r="BG565" t="s">
        <v>1054</v>
      </c>
      <c r="BH565" t="s">
        <v>4049</v>
      </c>
      <c r="BI565" t="s">
        <v>1053</v>
      </c>
      <c r="BJ565" t="s">
        <v>1053</v>
      </c>
      <c r="BK565" t="s">
        <v>1053</v>
      </c>
      <c r="BL565" t="s">
        <v>1053</v>
      </c>
      <c r="BO565" t="s">
        <v>1053</v>
      </c>
      <c r="BP565" t="s">
        <v>2345</v>
      </c>
      <c r="BQ565" t="s">
        <v>4050</v>
      </c>
      <c r="BR565" t="s">
        <v>1053</v>
      </c>
      <c r="BS565" t="s">
        <v>1053</v>
      </c>
      <c r="BX565" t="str">
        <f>""</f>
        <v/>
      </c>
      <c r="BY565" t="str">
        <f>""</f>
        <v/>
      </c>
      <c r="BZ565" t="str">
        <f>""</f>
        <v/>
      </c>
      <c r="CA565" t="str">
        <f>""</f>
        <v/>
      </c>
      <c r="CB565" t="str">
        <f>""</f>
        <v/>
      </c>
      <c r="CC565" t="str">
        <f>""</f>
        <v/>
      </c>
      <c r="CD565" t="str">
        <f>""</f>
        <v/>
      </c>
      <c r="CE565" t="str">
        <f>""</f>
        <v/>
      </c>
      <c r="CF565" t="str">
        <f>""</f>
        <v/>
      </c>
      <c r="CG565" t="str">
        <f>""</f>
        <v/>
      </c>
      <c r="CH565" t="str">
        <f>"SMTWTFS 0000-2359"</f>
        <v>SMTWTFS 0000-2359</v>
      </c>
    </row>
    <row r="566" spans="1:86" x14ac:dyDescent="0.25">
      <c r="A566" t="s">
        <v>4051</v>
      </c>
      <c r="B566" t="s">
        <v>4052</v>
      </c>
      <c r="C566" t="s">
        <v>1991</v>
      </c>
      <c r="D566" t="s">
        <v>2010</v>
      </c>
      <c r="E566" t="s">
        <v>4053</v>
      </c>
      <c r="F566" t="s">
        <v>4054</v>
      </c>
      <c r="H566" t="s">
        <v>4055</v>
      </c>
      <c r="I566" t="s">
        <v>2321</v>
      </c>
      <c r="J566" t="str">
        <f>"14305"</f>
        <v>14305</v>
      </c>
      <c r="K566" t="s">
        <v>1998</v>
      </c>
      <c r="L566" t="s">
        <v>2033</v>
      </c>
      <c r="M566" t="s">
        <v>4056</v>
      </c>
      <c r="N566" t="s">
        <v>1991</v>
      </c>
      <c r="O566" t="s">
        <v>1992</v>
      </c>
      <c r="P566" t="s">
        <v>1992</v>
      </c>
      <c r="Q566" t="s">
        <v>1992</v>
      </c>
      <c r="R566" t="s">
        <v>1992</v>
      </c>
      <c r="S566" t="s">
        <v>1992</v>
      </c>
      <c r="T566" t="s">
        <v>1992</v>
      </c>
      <c r="U566" t="s">
        <v>1991</v>
      </c>
      <c r="V566" t="s">
        <v>1991</v>
      </c>
      <c r="W566" t="s">
        <v>1991</v>
      </c>
      <c r="X566" t="s">
        <v>1992</v>
      </c>
      <c r="Y566" t="s">
        <v>1992</v>
      </c>
      <c r="Z566" t="s">
        <v>1992</v>
      </c>
      <c r="AA566" t="s">
        <v>1992</v>
      </c>
      <c r="AE566" t="s">
        <v>296</v>
      </c>
      <c r="AF566" t="s">
        <v>2016</v>
      </c>
      <c r="AG566" t="s">
        <v>1991</v>
      </c>
      <c r="AH566">
        <v>45</v>
      </c>
      <c r="AI566">
        <v>30</v>
      </c>
      <c r="AJ566" t="s">
        <v>4057</v>
      </c>
      <c r="AK566">
        <v>600</v>
      </c>
      <c r="AL566">
        <v>64500</v>
      </c>
      <c r="AM566" t="s">
        <v>4058</v>
      </c>
      <c r="AN566" t="s">
        <v>1053</v>
      </c>
      <c r="AO566" t="s">
        <v>1053</v>
      </c>
      <c r="AP566" t="s">
        <v>2069</v>
      </c>
      <c r="AQ566" t="s">
        <v>1053</v>
      </c>
      <c r="AR566" t="s">
        <v>2069</v>
      </c>
      <c r="AS566" t="s">
        <v>4051</v>
      </c>
      <c r="AT566" t="s">
        <v>4059</v>
      </c>
      <c r="AU566" t="s">
        <v>1053</v>
      </c>
      <c r="AV566" t="s">
        <v>1053</v>
      </c>
      <c r="AW566" t="s">
        <v>2069</v>
      </c>
      <c r="AX566" t="s">
        <v>1053</v>
      </c>
      <c r="AY566" t="s">
        <v>2069</v>
      </c>
      <c r="AZ566" t="s">
        <v>4051</v>
      </c>
      <c r="BA566" t="s">
        <v>4059</v>
      </c>
      <c r="BB566" t="s">
        <v>1053</v>
      </c>
      <c r="BC566" t="s">
        <v>2069</v>
      </c>
      <c r="BD566" t="s">
        <v>1053</v>
      </c>
      <c r="BE566" t="s">
        <v>2069</v>
      </c>
      <c r="BF566" t="s">
        <v>1053</v>
      </c>
      <c r="BG566" t="s">
        <v>2067</v>
      </c>
      <c r="BH566" t="s">
        <v>4060</v>
      </c>
      <c r="BI566" t="s">
        <v>1053</v>
      </c>
      <c r="BJ566" t="s">
        <v>2069</v>
      </c>
      <c r="BK566" t="s">
        <v>1053</v>
      </c>
      <c r="BL566" t="s">
        <v>2069</v>
      </c>
      <c r="BM566" t="s">
        <v>632</v>
      </c>
      <c r="BN566" t="s">
        <v>633</v>
      </c>
      <c r="BO566" t="s">
        <v>1053</v>
      </c>
      <c r="BP566" t="s">
        <v>634</v>
      </c>
      <c r="BQ566" t="s">
        <v>635</v>
      </c>
      <c r="BR566" t="s">
        <v>1053</v>
      </c>
      <c r="BS566" t="s">
        <v>2069</v>
      </c>
      <c r="BT566" t="s">
        <v>1053</v>
      </c>
      <c r="BV566" t="s">
        <v>2324</v>
      </c>
      <c r="BX566" t="str">
        <f>"SMTWTFS 0615-1645"</f>
        <v>SMTWTFS 0615-1645</v>
      </c>
      <c r="BY566" t="str">
        <f>""</f>
        <v/>
      </c>
      <c r="BZ566" t="str">
        <f>"SMTWTFS 0615-1645"</f>
        <v>SMTWTFS 0615-1645</v>
      </c>
      <c r="CA566" t="str">
        <f>"SMTWTFS 0615-1645"</f>
        <v>SMTWTFS 0615-1645</v>
      </c>
      <c r="CB566" t="str">
        <f>""</f>
        <v/>
      </c>
      <c r="CC566" t="str">
        <f>""</f>
        <v/>
      </c>
      <c r="CD566" t="str">
        <f>""</f>
        <v/>
      </c>
      <c r="CE566" t="str">
        <f>""</f>
        <v/>
      </c>
      <c r="CF566" t="str">
        <f>""</f>
        <v/>
      </c>
      <c r="CG566" t="str">
        <f>""</f>
        <v/>
      </c>
      <c r="CH566" t="str">
        <f>""</f>
        <v/>
      </c>
    </row>
    <row r="567" spans="1:86" x14ac:dyDescent="0.25">
      <c r="A567" t="s">
        <v>4061</v>
      </c>
      <c r="B567" t="s">
        <v>4062</v>
      </c>
      <c r="C567" t="s">
        <v>1991</v>
      </c>
      <c r="D567" t="s">
        <v>2010</v>
      </c>
      <c r="E567" t="s">
        <v>4063</v>
      </c>
      <c r="H567" t="s">
        <v>4055</v>
      </c>
      <c r="I567" t="s">
        <v>372</v>
      </c>
      <c r="J567" t="str">
        <f>"L2E 2R6"</f>
        <v>L2E 2R6</v>
      </c>
      <c r="K567" t="s">
        <v>373</v>
      </c>
      <c r="L567" t="s">
        <v>374</v>
      </c>
      <c r="M567" t="s">
        <v>375</v>
      </c>
      <c r="N567" t="s">
        <v>1991</v>
      </c>
      <c r="O567" t="s">
        <v>1992</v>
      </c>
      <c r="P567" t="s">
        <v>1992</v>
      </c>
      <c r="Q567" t="s">
        <v>1992</v>
      </c>
      <c r="R567" t="s">
        <v>1992</v>
      </c>
      <c r="S567" t="s">
        <v>1992</v>
      </c>
      <c r="T567" t="s">
        <v>1992</v>
      </c>
      <c r="U567" t="s">
        <v>1992</v>
      </c>
      <c r="V567" t="s">
        <v>1991</v>
      </c>
      <c r="W567" t="s">
        <v>1991</v>
      </c>
      <c r="X567" t="s">
        <v>1991</v>
      </c>
      <c r="Y567" t="s">
        <v>1992</v>
      </c>
      <c r="Z567" t="s">
        <v>1992</v>
      </c>
      <c r="AC567" t="s">
        <v>4064</v>
      </c>
      <c r="AD567" t="s">
        <v>4065</v>
      </c>
      <c r="AE567" t="s">
        <v>296</v>
      </c>
      <c r="AF567" t="s">
        <v>2016</v>
      </c>
      <c r="AG567" t="s">
        <v>1991</v>
      </c>
      <c r="AH567">
        <v>30</v>
      </c>
      <c r="AI567">
        <v>30</v>
      </c>
      <c r="AJ567" t="s">
        <v>4066</v>
      </c>
      <c r="AK567">
        <v>574</v>
      </c>
      <c r="AL567">
        <v>75000</v>
      </c>
      <c r="AM567" t="s">
        <v>379</v>
      </c>
      <c r="AN567" t="s">
        <v>380</v>
      </c>
      <c r="AO567" t="s">
        <v>1053</v>
      </c>
      <c r="AP567" t="s">
        <v>2069</v>
      </c>
      <c r="AQ567" t="s">
        <v>1053</v>
      </c>
      <c r="AR567" t="s">
        <v>2069</v>
      </c>
      <c r="AS567">
        <v>0</v>
      </c>
      <c r="AT567" t="s">
        <v>357</v>
      </c>
      <c r="AU567" t="s">
        <v>380</v>
      </c>
      <c r="AV567" t="s">
        <v>1053</v>
      </c>
      <c r="AW567" t="s">
        <v>2069</v>
      </c>
      <c r="AX567" t="s">
        <v>1053</v>
      </c>
      <c r="AY567" t="s">
        <v>2069</v>
      </c>
      <c r="AZ567">
        <v>0</v>
      </c>
      <c r="BA567" t="s">
        <v>357</v>
      </c>
      <c r="BB567" t="s">
        <v>1053</v>
      </c>
      <c r="BC567" t="s">
        <v>2069</v>
      </c>
      <c r="BD567" t="s">
        <v>1053</v>
      </c>
      <c r="BE567" t="s">
        <v>2069</v>
      </c>
      <c r="BF567" t="s">
        <v>1053</v>
      </c>
      <c r="BG567" t="s">
        <v>4067</v>
      </c>
      <c r="BH567" t="s">
        <v>5002</v>
      </c>
      <c r="BI567" t="s">
        <v>1053</v>
      </c>
      <c r="BJ567" t="s">
        <v>2069</v>
      </c>
      <c r="BK567" t="s">
        <v>1053</v>
      </c>
      <c r="BL567" t="s">
        <v>2069</v>
      </c>
      <c r="BM567">
        <v>0</v>
      </c>
      <c r="BN567">
        <v>0</v>
      </c>
      <c r="BO567" t="s">
        <v>1053</v>
      </c>
      <c r="BP567" t="s">
        <v>4068</v>
      </c>
      <c r="BQ567" t="s">
        <v>4069</v>
      </c>
      <c r="BR567" t="s">
        <v>1053</v>
      </c>
      <c r="BS567" t="s">
        <v>2069</v>
      </c>
      <c r="BT567" t="s">
        <v>1053</v>
      </c>
      <c r="BU567" t="s">
        <v>2069</v>
      </c>
      <c r="BV567">
        <v>0</v>
      </c>
      <c r="BW567">
        <v>0</v>
      </c>
      <c r="BX567" t="str">
        <f>"S-----S 0930-2030; -MTWTF- 0600-1100 1530-1800"</f>
        <v>S-----S 0930-2030; -MTWTF- 0600-1100 1530-1800</v>
      </c>
      <c r="BY567" t="str">
        <f>""</f>
        <v/>
      </c>
      <c r="BZ567" t="str">
        <f>"S-----S 0930-2030; -MTWTF- 0600-1100 1530-1800"</f>
        <v>S-----S 0930-2030; -MTWTF- 0600-1100 1530-1800</v>
      </c>
      <c r="CA567" t="str">
        <f>""</f>
        <v/>
      </c>
      <c r="CB567" t="str">
        <f>"S-----S 0800-2000; -MTWTF- 0600-2000"</f>
        <v>S-----S 0800-2000; -MTWTF- 0600-2000</v>
      </c>
      <c r="CC567" t="str">
        <f>""</f>
        <v/>
      </c>
      <c r="CD567" t="str">
        <f>""</f>
        <v/>
      </c>
      <c r="CE567" t="str">
        <f>""</f>
        <v/>
      </c>
      <c r="CF567" t="str">
        <f>""</f>
        <v/>
      </c>
      <c r="CG567" t="str">
        <f>""</f>
        <v/>
      </c>
      <c r="CH567" t="str">
        <f>""</f>
        <v/>
      </c>
    </row>
    <row r="568" spans="1:86" x14ac:dyDescent="0.25">
      <c r="A568" t="s">
        <v>4070</v>
      </c>
      <c r="B568" t="s">
        <v>4071</v>
      </c>
      <c r="C568" t="s">
        <v>1992</v>
      </c>
      <c r="D568" t="s">
        <v>2028</v>
      </c>
      <c r="E568" t="s">
        <v>4072</v>
      </c>
      <c r="F568" t="s">
        <v>3548</v>
      </c>
      <c r="H568" t="s">
        <v>4073</v>
      </c>
      <c r="I568" t="s">
        <v>2061</v>
      </c>
      <c r="J568" t="str">
        <f>"91321-0000"</f>
        <v>91321-0000</v>
      </c>
      <c r="K568" t="s">
        <v>1998</v>
      </c>
      <c r="L568" t="s">
        <v>2045</v>
      </c>
      <c r="M568" t="s">
        <v>2063</v>
      </c>
      <c r="N568" t="s">
        <v>1992</v>
      </c>
      <c r="O568" t="s">
        <v>1992</v>
      </c>
      <c r="P568" t="s">
        <v>1991</v>
      </c>
      <c r="Q568" t="s">
        <v>1992</v>
      </c>
      <c r="R568" t="s">
        <v>1992</v>
      </c>
      <c r="S568" t="s">
        <v>1992</v>
      </c>
      <c r="T568" t="s">
        <v>1992</v>
      </c>
      <c r="U568" t="s">
        <v>1992</v>
      </c>
      <c r="V568" t="s">
        <v>1991</v>
      </c>
      <c r="W568" t="s">
        <v>1992</v>
      </c>
      <c r="X568" t="s">
        <v>1991</v>
      </c>
      <c r="Y568" t="s">
        <v>1991</v>
      </c>
      <c r="Z568" t="s">
        <v>1992</v>
      </c>
      <c r="AA568" t="s">
        <v>1991</v>
      </c>
      <c r="AF568" t="s">
        <v>2064</v>
      </c>
      <c r="AG568" t="s">
        <v>1991</v>
      </c>
      <c r="AH568">
        <v>30</v>
      </c>
      <c r="AI568">
        <v>30</v>
      </c>
      <c r="AJ568" t="s">
        <v>4074</v>
      </c>
      <c r="AK568">
        <v>1270</v>
      </c>
      <c r="AL568">
        <v>24400</v>
      </c>
      <c r="AM568" t="s">
        <v>2298</v>
      </c>
      <c r="AN568" t="s">
        <v>450</v>
      </c>
      <c r="AO568" t="s">
        <v>2063</v>
      </c>
      <c r="BF568" t="s">
        <v>1053</v>
      </c>
      <c r="BG568" t="s">
        <v>309</v>
      </c>
      <c r="BH568" t="s">
        <v>311</v>
      </c>
      <c r="BI568" t="s">
        <v>1053</v>
      </c>
      <c r="BK568" t="s">
        <v>1053</v>
      </c>
      <c r="BO568" t="s">
        <v>1053</v>
      </c>
      <c r="BP568" t="s">
        <v>310</v>
      </c>
      <c r="BQ568" t="s">
        <v>311</v>
      </c>
      <c r="BR568" t="s">
        <v>1053</v>
      </c>
      <c r="BS568" t="s">
        <v>1053</v>
      </c>
      <c r="BT568" t="s">
        <v>1053</v>
      </c>
      <c r="BU568" t="s">
        <v>1053</v>
      </c>
      <c r="BX568" t="str">
        <f>""</f>
        <v/>
      </c>
      <c r="BY568" t="str">
        <f>""</f>
        <v/>
      </c>
      <c r="BZ568" t="str">
        <f>""</f>
        <v/>
      </c>
      <c r="CA568" t="str">
        <f>""</f>
        <v/>
      </c>
      <c r="CB568" t="str">
        <f>""</f>
        <v/>
      </c>
      <c r="CC568" t="str">
        <f>""</f>
        <v/>
      </c>
      <c r="CD568" t="str">
        <f>"SMTWTFS 0000-2359"</f>
        <v>SMTWTFS 0000-2359</v>
      </c>
      <c r="CE568" t="str">
        <f>""</f>
        <v/>
      </c>
      <c r="CF568" t="str">
        <f>""</f>
        <v/>
      </c>
      <c r="CG568" t="str">
        <f>""</f>
        <v/>
      </c>
      <c r="CH568" t="str">
        <f>""</f>
        <v/>
      </c>
    </row>
    <row r="569" spans="1:86" x14ac:dyDescent="0.25">
      <c r="A569" t="s">
        <v>4075</v>
      </c>
      <c r="B569" t="s">
        <v>4076</v>
      </c>
      <c r="C569" t="s">
        <v>1992</v>
      </c>
      <c r="D569" t="s">
        <v>1993</v>
      </c>
      <c r="E569" t="s">
        <v>4077</v>
      </c>
      <c r="F569" t="s">
        <v>4078</v>
      </c>
      <c r="H569" t="s">
        <v>4079</v>
      </c>
      <c r="I569" t="s">
        <v>660</v>
      </c>
      <c r="J569" t="str">
        <f>"03256-4219"</f>
        <v>03256-4219</v>
      </c>
      <c r="K569" t="s">
        <v>1998</v>
      </c>
      <c r="L569" t="s">
        <v>2033</v>
      </c>
      <c r="M569" t="s">
        <v>2063</v>
      </c>
      <c r="N569" t="s">
        <v>1992</v>
      </c>
      <c r="O569" t="s">
        <v>1992</v>
      </c>
      <c r="P569" t="s">
        <v>1992</v>
      </c>
      <c r="Q569" t="s">
        <v>1992</v>
      </c>
      <c r="R569" t="s">
        <v>1992</v>
      </c>
      <c r="S569" t="s">
        <v>1992</v>
      </c>
      <c r="T569" t="s">
        <v>1992</v>
      </c>
      <c r="U569" t="s">
        <v>1992</v>
      </c>
      <c r="V569" t="s">
        <v>1991</v>
      </c>
      <c r="Z569" t="s">
        <v>1991</v>
      </c>
      <c r="AF569" t="s">
        <v>2016</v>
      </c>
      <c r="AG569" t="s">
        <v>1991</v>
      </c>
      <c r="AH569">
        <v>15</v>
      </c>
      <c r="AI569">
        <v>15</v>
      </c>
      <c r="AJ569" t="s">
        <v>4080</v>
      </c>
      <c r="AK569">
        <v>525</v>
      </c>
      <c r="AM569" t="s">
        <v>4081</v>
      </c>
      <c r="BX569" t="str">
        <f>""</f>
        <v/>
      </c>
      <c r="BY569" t="str">
        <f>""</f>
        <v/>
      </c>
      <c r="BZ569" t="str">
        <f>""</f>
        <v/>
      </c>
      <c r="CA569" t="str">
        <f>""</f>
        <v/>
      </c>
      <c r="CB569" t="str">
        <f>""</f>
        <v/>
      </c>
      <c r="CC569" t="str">
        <f>""</f>
        <v/>
      </c>
      <c r="CD569" t="str">
        <f>""</f>
        <v/>
      </c>
      <c r="CE569" t="str">
        <f>""</f>
        <v/>
      </c>
      <c r="CF569" t="str">
        <f>""</f>
        <v/>
      </c>
      <c r="CG569" t="str">
        <f>""</f>
        <v/>
      </c>
      <c r="CH569" t="str">
        <f>""</f>
        <v/>
      </c>
    </row>
    <row r="570" spans="1:86" x14ac:dyDescent="0.25">
      <c r="A570" t="s">
        <v>4082</v>
      </c>
      <c r="B570" t="s">
        <v>6677</v>
      </c>
      <c r="C570" t="s">
        <v>1991</v>
      </c>
      <c r="D570" t="s">
        <v>2010</v>
      </c>
      <c r="E570" t="s">
        <v>5552</v>
      </c>
      <c r="F570" t="s">
        <v>1095</v>
      </c>
      <c r="H570" t="s">
        <v>4083</v>
      </c>
      <c r="I570" t="s">
        <v>592</v>
      </c>
      <c r="J570" t="str">
        <f>"06519-1754"</f>
        <v>06519-1754</v>
      </c>
      <c r="K570" t="s">
        <v>1998</v>
      </c>
      <c r="L570" t="s">
        <v>2033</v>
      </c>
      <c r="M570" t="s">
        <v>4084</v>
      </c>
      <c r="N570" t="s">
        <v>1991</v>
      </c>
      <c r="O570" t="s">
        <v>1991</v>
      </c>
      <c r="P570" t="s">
        <v>1992</v>
      </c>
      <c r="Q570" t="s">
        <v>1991</v>
      </c>
      <c r="R570" t="s">
        <v>1992</v>
      </c>
      <c r="S570" t="s">
        <v>1992</v>
      </c>
      <c r="T570" t="s">
        <v>1992</v>
      </c>
      <c r="U570" t="s">
        <v>1991</v>
      </c>
      <c r="V570" t="s">
        <v>1991</v>
      </c>
      <c r="W570" t="s">
        <v>1991</v>
      </c>
      <c r="X570" t="s">
        <v>1991</v>
      </c>
      <c r="Y570" t="s">
        <v>1992</v>
      </c>
      <c r="Z570" t="s">
        <v>1992</v>
      </c>
      <c r="AA570" t="s">
        <v>1991</v>
      </c>
      <c r="AE570" t="s">
        <v>4085</v>
      </c>
      <c r="AF570" t="s">
        <v>2016</v>
      </c>
      <c r="AG570" t="s">
        <v>1991</v>
      </c>
      <c r="AH570">
        <v>45</v>
      </c>
      <c r="AI570">
        <v>30</v>
      </c>
      <c r="AJ570" t="s">
        <v>4086</v>
      </c>
      <c r="AK570">
        <v>22</v>
      </c>
      <c r="AL570">
        <v>143860</v>
      </c>
      <c r="AM570" t="s">
        <v>4087</v>
      </c>
      <c r="AN570" t="s">
        <v>1053</v>
      </c>
      <c r="AO570" t="s">
        <v>1053</v>
      </c>
      <c r="AP570" t="s">
        <v>1053</v>
      </c>
      <c r="AQ570" t="s">
        <v>1053</v>
      </c>
      <c r="AR570" t="s">
        <v>1053</v>
      </c>
      <c r="AS570" t="s">
        <v>4082</v>
      </c>
      <c r="AT570" t="s">
        <v>256</v>
      </c>
      <c r="AU570" t="s">
        <v>4088</v>
      </c>
      <c r="AV570" t="s">
        <v>1053</v>
      </c>
      <c r="AW570" t="s">
        <v>1053</v>
      </c>
      <c r="AX570" t="s">
        <v>1053</v>
      </c>
      <c r="AY570" t="s">
        <v>1053</v>
      </c>
      <c r="AZ570" t="s">
        <v>4082</v>
      </c>
      <c r="BA570" t="s">
        <v>256</v>
      </c>
      <c r="BB570" t="s">
        <v>1053</v>
      </c>
      <c r="BC570" t="s">
        <v>1053</v>
      </c>
      <c r="BD570" t="s">
        <v>1053</v>
      </c>
      <c r="BE570" t="s">
        <v>1053</v>
      </c>
      <c r="BF570" t="s">
        <v>1053</v>
      </c>
      <c r="BG570" t="s">
        <v>3957</v>
      </c>
      <c r="BH570" t="s">
        <v>4089</v>
      </c>
      <c r="BI570" t="s">
        <v>1053</v>
      </c>
      <c r="BJ570" t="s">
        <v>1053</v>
      </c>
      <c r="BK570" t="s">
        <v>1053</v>
      </c>
      <c r="BL570" t="s">
        <v>1053</v>
      </c>
      <c r="BM570" t="s">
        <v>255</v>
      </c>
      <c r="BN570" t="s">
        <v>256</v>
      </c>
      <c r="BO570" t="s">
        <v>1053</v>
      </c>
      <c r="BP570" t="s">
        <v>2067</v>
      </c>
      <c r="BQ570" t="s">
        <v>4090</v>
      </c>
      <c r="BR570" t="s">
        <v>1053</v>
      </c>
      <c r="BS570" t="s">
        <v>1053</v>
      </c>
      <c r="BT570" t="s">
        <v>1053</v>
      </c>
      <c r="BU570" t="s">
        <v>1053</v>
      </c>
      <c r="BV570" t="s">
        <v>255</v>
      </c>
      <c r="BW570" t="s">
        <v>256</v>
      </c>
      <c r="BX570" t="str">
        <f>"SMTWTFS 0001-0100 0400-2359"</f>
        <v>SMTWTFS 0001-0100 0400-2359</v>
      </c>
      <c r="BY570" t="str">
        <f>"SMTWTFS 0700-2300"</f>
        <v>SMTWTFS 0700-2300</v>
      </c>
      <c r="BZ570" t="str">
        <f>"SMTWTFS 0000-2359"</f>
        <v>SMTWTFS 0000-2359</v>
      </c>
      <c r="CA570" t="str">
        <f>"SMTWTFS 0630-2130"</f>
        <v>SMTWTFS 0630-2130</v>
      </c>
      <c r="CB570" t="str">
        <f>""</f>
        <v/>
      </c>
      <c r="CC570" t="str">
        <f>"SMTWTFS 0000-2359"</f>
        <v>SMTWTFS 0000-2359</v>
      </c>
      <c r="CD570" t="str">
        <f>""</f>
        <v/>
      </c>
      <c r="CE570" t="str">
        <f>""</f>
        <v/>
      </c>
      <c r="CF570" t="str">
        <f>""</f>
        <v/>
      </c>
      <c r="CG570" t="str">
        <f>""</f>
        <v/>
      </c>
      <c r="CH570" t="str">
        <f>"SMTWTFS 0001-2359"</f>
        <v>SMTWTFS 0001-2359</v>
      </c>
    </row>
    <row r="571" spans="1:86" x14ac:dyDescent="0.25">
      <c r="A571" t="s">
        <v>4091</v>
      </c>
      <c r="B571" t="s">
        <v>4092</v>
      </c>
      <c r="C571" t="s">
        <v>1992</v>
      </c>
      <c r="D571" t="s">
        <v>2331</v>
      </c>
      <c r="E571" t="s">
        <v>4093</v>
      </c>
      <c r="F571" t="s">
        <v>4094</v>
      </c>
      <c r="H571" t="s">
        <v>4095</v>
      </c>
      <c r="I571" t="s">
        <v>830</v>
      </c>
      <c r="J571" t="str">
        <f>"70560"</f>
        <v>70560</v>
      </c>
      <c r="K571" t="s">
        <v>1998</v>
      </c>
      <c r="L571" t="s">
        <v>408</v>
      </c>
      <c r="M571" t="s">
        <v>2063</v>
      </c>
      <c r="N571" t="s">
        <v>1992</v>
      </c>
      <c r="O571" t="s">
        <v>1992</v>
      </c>
      <c r="P571" t="s">
        <v>1992</v>
      </c>
      <c r="Q571" t="s">
        <v>1992</v>
      </c>
      <c r="R571" t="s">
        <v>1992</v>
      </c>
      <c r="S571" t="s">
        <v>1992</v>
      </c>
      <c r="T571" t="s">
        <v>1992</v>
      </c>
      <c r="U571" t="s">
        <v>1992</v>
      </c>
      <c r="V571" t="s">
        <v>1991</v>
      </c>
      <c r="W571" t="s">
        <v>1991</v>
      </c>
      <c r="X571" t="s">
        <v>1992</v>
      </c>
      <c r="Y571" t="s">
        <v>1992</v>
      </c>
      <c r="Z571" t="s">
        <v>1992</v>
      </c>
      <c r="AF571" t="s">
        <v>2001</v>
      </c>
      <c r="AG571" t="s">
        <v>1991</v>
      </c>
      <c r="AH571">
        <v>30</v>
      </c>
      <c r="AI571">
        <v>30</v>
      </c>
      <c r="AJ571" t="s">
        <v>4096</v>
      </c>
      <c r="AK571">
        <v>19</v>
      </c>
      <c r="AL571">
        <v>32981</v>
      </c>
      <c r="AM571" t="s">
        <v>4097</v>
      </c>
      <c r="AN571" t="s">
        <v>2066</v>
      </c>
      <c r="AO571" t="s">
        <v>2063</v>
      </c>
      <c r="BF571" t="s">
        <v>1053</v>
      </c>
      <c r="BG571" t="s">
        <v>2097</v>
      </c>
      <c r="BH571" t="s">
        <v>781</v>
      </c>
      <c r="BI571" t="s">
        <v>1053</v>
      </c>
      <c r="BJ571" t="s">
        <v>1053</v>
      </c>
      <c r="BK571" t="s">
        <v>1053</v>
      </c>
      <c r="BL571" t="s">
        <v>1053</v>
      </c>
      <c r="BM571" t="s">
        <v>416</v>
      </c>
      <c r="BN571" t="s">
        <v>782</v>
      </c>
      <c r="BO571" t="s">
        <v>1053</v>
      </c>
      <c r="BP571" t="s">
        <v>653</v>
      </c>
      <c r="BQ571" t="s">
        <v>783</v>
      </c>
      <c r="BR571" t="s">
        <v>1053</v>
      </c>
      <c r="BS571" t="s">
        <v>1053</v>
      </c>
      <c r="BT571" t="s">
        <v>1053</v>
      </c>
      <c r="BU571" t="s">
        <v>1053</v>
      </c>
      <c r="BV571" t="s">
        <v>416</v>
      </c>
      <c r="BW571" t="s">
        <v>782</v>
      </c>
      <c r="BX571" t="str">
        <f>""</f>
        <v/>
      </c>
      <c r="BY571" t="str">
        <f>""</f>
        <v/>
      </c>
      <c r="BZ571" t="str">
        <f>""</f>
        <v/>
      </c>
      <c r="CA571" t="str">
        <f>""</f>
        <v/>
      </c>
      <c r="CB571" t="str">
        <f>""</f>
        <v/>
      </c>
      <c r="CC571" t="str">
        <f>""</f>
        <v/>
      </c>
      <c r="CD571" t="str">
        <f>""</f>
        <v/>
      </c>
      <c r="CE571" t="str">
        <f>""</f>
        <v/>
      </c>
      <c r="CF571" t="str">
        <f>""</f>
        <v/>
      </c>
      <c r="CG571" t="str">
        <f>""</f>
        <v/>
      </c>
      <c r="CH571" t="str">
        <f>""</f>
        <v/>
      </c>
    </row>
    <row r="572" spans="1:86" x14ac:dyDescent="0.25">
      <c r="A572" t="s">
        <v>4098</v>
      </c>
      <c r="B572" t="s">
        <v>4099</v>
      </c>
      <c r="C572" t="s">
        <v>1991</v>
      </c>
      <c r="D572" t="s">
        <v>2010</v>
      </c>
      <c r="E572" t="s">
        <v>4100</v>
      </c>
      <c r="H572" t="s">
        <v>4101</v>
      </c>
      <c r="I572" t="s">
        <v>592</v>
      </c>
      <c r="J572" t="str">
        <f>"06320"</f>
        <v>06320</v>
      </c>
      <c r="K572" t="s">
        <v>1998</v>
      </c>
      <c r="L572" t="s">
        <v>2033</v>
      </c>
      <c r="M572" t="s">
        <v>4102</v>
      </c>
      <c r="N572" t="s">
        <v>1991</v>
      </c>
      <c r="O572" t="s">
        <v>1991</v>
      </c>
      <c r="P572" t="s">
        <v>1992</v>
      </c>
      <c r="Q572" t="s">
        <v>1992</v>
      </c>
      <c r="R572" t="s">
        <v>1992</v>
      </c>
      <c r="S572" t="s">
        <v>1992</v>
      </c>
      <c r="T572" t="s">
        <v>1992</v>
      </c>
      <c r="U572" t="s">
        <v>1991</v>
      </c>
      <c r="V572" t="s">
        <v>1991</v>
      </c>
      <c r="W572" t="s">
        <v>1991</v>
      </c>
      <c r="X572" t="s">
        <v>1992</v>
      </c>
      <c r="Y572" t="s">
        <v>1992</v>
      </c>
      <c r="Z572" t="s">
        <v>1992</v>
      </c>
      <c r="AE572" t="s">
        <v>4103</v>
      </c>
      <c r="AF572" t="s">
        <v>2016</v>
      </c>
      <c r="AG572" t="s">
        <v>1991</v>
      </c>
      <c r="AH572">
        <v>30</v>
      </c>
      <c r="AI572">
        <v>30</v>
      </c>
      <c r="AJ572" t="s">
        <v>1224</v>
      </c>
      <c r="AK572">
        <v>6</v>
      </c>
      <c r="AL572">
        <v>105892</v>
      </c>
      <c r="AN572" t="s">
        <v>1053</v>
      </c>
      <c r="AO572" t="s">
        <v>1053</v>
      </c>
      <c r="AP572" t="s">
        <v>1053</v>
      </c>
      <c r="AQ572" t="s">
        <v>1053</v>
      </c>
      <c r="AR572" t="s">
        <v>1053</v>
      </c>
      <c r="AS572" t="s">
        <v>4098</v>
      </c>
      <c r="AT572" t="s">
        <v>1225</v>
      </c>
      <c r="AU572" t="s">
        <v>1053</v>
      </c>
      <c r="AV572" t="s">
        <v>1053</v>
      </c>
      <c r="AW572" t="s">
        <v>1053</v>
      </c>
      <c r="AX572" t="s">
        <v>1053</v>
      </c>
      <c r="AY572" t="s">
        <v>1053</v>
      </c>
      <c r="AZ572" t="s">
        <v>4098</v>
      </c>
      <c r="BA572" t="s">
        <v>1225</v>
      </c>
      <c r="BB572" t="s">
        <v>1053</v>
      </c>
      <c r="BC572" t="s">
        <v>1053</v>
      </c>
      <c r="BD572" t="s">
        <v>1053</v>
      </c>
      <c r="BE572" t="s">
        <v>1053</v>
      </c>
      <c r="BF572" t="s">
        <v>1053</v>
      </c>
      <c r="BG572" t="s">
        <v>1226</v>
      </c>
      <c r="BH572" t="s">
        <v>254</v>
      </c>
      <c r="BI572" t="s">
        <v>1053</v>
      </c>
      <c r="BJ572" t="s">
        <v>1053</v>
      </c>
      <c r="BK572" t="s">
        <v>1053</v>
      </c>
      <c r="BL572" t="s">
        <v>1053</v>
      </c>
      <c r="BM572" t="s">
        <v>255</v>
      </c>
      <c r="BN572" t="s">
        <v>256</v>
      </c>
      <c r="BO572" t="s">
        <v>1053</v>
      </c>
      <c r="BP572" t="s">
        <v>2067</v>
      </c>
      <c r="BQ572" t="s">
        <v>254</v>
      </c>
      <c r="BR572" t="s">
        <v>1053</v>
      </c>
      <c r="BS572" t="s">
        <v>1053</v>
      </c>
      <c r="BT572" t="s">
        <v>1053</v>
      </c>
      <c r="BU572" t="s">
        <v>1053</v>
      </c>
      <c r="BV572" t="s">
        <v>255</v>
      </c>
      <c r="BW572" t="s">
        <v>256</v>
      </c>
      <c r="BX572" t="str">
        <f>"SMTWTFS 0530-2320"</f>
        <v>SMTWTFS 0530-2320</v>
      </c>
      <c r="BY572" t="str">
        <f>""</f>
        <v/>
      </c>
      <c r="BZ572" t="str">
        <f>"SMTWTFS 0530-2315"</f>
        <v>SMTWTFS 0530-2315</v>
      </c>
      <c r="CA572" t="str">
        <f>"SMTWTFS 0530-2315"</f>
        <v>SMTWTFS 0530-2315</v>
      </c>
      <c r="CB572" t="str">
        <f>""</f>
        <v/>
      </c>
      <c r="CC572" t="str">
        <f>"SMTWTFS 0530-2320"</f>
        <v>SMTWTFS 0530-2320</v>
      </c>
      <c r="CD572" t="str">
        <f>""</f>
        <v/>
      </c>
      <c r="CE572" t="str">
        <f>""</f>
        <v/>
      </c>
      <c r="CF572" t="str">
        <f>""</f>
        <v/>
      </c>
      <c r="CG572" t="str">
        <f>""</f>
        <v/>
      </c>
      <c r="CH572" t="str">
        <f>""</f>
        <v/>
      </c>
    </row>
    <row r="573" spans="1:86" x14ac:dyDescent="0.25">
      <c r="A573" t="s">
        <v>1227</v>
      </c>
      <c r="B573" t="s">
        <v>1228</v>
      </c>
      <c r="C573" t="s">
        <v>1991</v>
      </c>
      <c r="D573" t="s">
        <v>2010</v>
      </c>
      <c r="E573" t="s">
        <v>1229</v>
      </c>
      <c r="H573" t="s">
        <v>1230</v>
      </c>
      <c r="I573" t="s">
        <v>2352</v>
      </c>
      <c r="J573" t="str">
        <f>"49120-1745"</f>
        <v>49120-1745</v>
      </c>
      <c r="K573" t="s">
        <v>1998</v>
      </c>
      <c r="L573" t="s">
        <v>1999</v>
      </c>
      <c r="M573" t="s">
        <v>1231</v>
      </c>
      <c r="N573" t="s">
        <v>1991</v>
      </c>
      <c r="O573" t="s">
        <v>1992</v>
      </c>
      <c r="P573" t="s">
        <v>1992</v>
      </c>
      <c r="Q573" t="s">
        <v>1992</v>
      </c>
      <c r="R573" t="s">
        <v>1992</v>
      </c>
      <c r="S573" t="s">
        <v>1992</v>
      </c>
      <c r="T573" t="s">
        <v>1992</v>
      </c>
      <c r="U573" t="s">
        <v>1991</v>
      </c>
      <c r="V573" t="s">
        <v>1991</v>
      </c>
      <c r="W573" t="s">
        <v>1991</v>
      </c>
      <c r="X573" t="s">
        <v>1992</v>
      </c>
      <c r="Y573" t="s">
        <v>1992</v>
      </c>
      <c r="Z573" t="s">
        <v>1992</v>
      </c>
      <c r="AA573" t="s">
        <v>1992</v>
      </c>
      <c r="AE573" t="s">
        <v>296</v>
      </c>
      <c r="AF573" t="s">
        <v>2016</v>
      </c>
      <c r="AG573" t="s">
        <v>1991</v>
      </c>
      <c r="AH573">
        <v>30</v>
      </c>
      <c r="AI573">
        <v>20</v>
      </c>
      <c r="AJ573" t="s">
        <v>1232</v>
      </c>
      <c r="AK573">
        <v>690</v>
      </c>
      <c r="AL573">
        <v>12990</v>
      </c>
      <c r="AN573" t="s">
        <v>1053</v>
      </c>
      <c r="AO573" t="s">
        <v>1053</v>
      </c>
      <c r="AP573" t="s">
        <v>2069</v>
      </c>
      <c r="AQ573" t="s">
        <v>1053</v>
      </c>
      <c r="AR573" t="s">
        <v>2069</v>
      </c>
      <c r="AS573" t="s">
        <v>1227</v>
      </c>
      <c r="AT573" t="s">
        <v>1233</v>
      </c>
      <c r="AU573" t="s">
        <v>1053</v>
      </c>
      <c r="AV573" t="s">
        <v>1053</v>
      </c>
      <c r="AW573" t="s">
        <v>2069</v>
      </c>
      <c r="AX573" t="s">
        <v>1053</v>
      </c>
      <c r="AY573" t="s">
        <v>2069</v>
      </c>
      <c r="AZ573" t="s">
        <v>1227</v>
      </c>
      <c r="BA573" t="s">
        <v>1233</v>
      </c>
      <c r="BB573" t="s">
        <v>1053</v>
      </c>
      <c r="BC573" t="s">
        <v>2069</v>
      </c>
      <c r="BD573" t="s">
        <v>1053</v>
      </c>
      <c r="BE573" t="s">
        <v>2069</v>
      </c>
      <c r="BF573" t="s">
        <v>1053</v>
      </c>
      <c r="BG573" t="s">
        <v>467</v>
      </c>
      <c r="BH573" t="s">
        <v>2312</v>
      </c>
      <c r="BI573" t="s">
        <v>1053</v>
      </c>
      <c r="BJ573" t="s">
        <v>2069</v>
      </c>
      <c r="BK573" t="s">
        <v>1053</v>
      </c>
      <c r="BL573" t="s">
        <v>2069</v>
      </c>
      <c r="BM573" t="s">
        <v>2313</v>
      </c>
      <c r="BN573" t="s">
        <v>2314</v>
      </c>
      <c r="BO573" t="s">
        <v>1053</v>
      </c>
      <c r="BP573" t="s">
        <v>301</v>
      </c>
      <c r="BQ573" t="s">
        <v>2316</v>
      </c>
      <c r="BR573" t="s">
        <v>1053</v>
      </c>
      <c r="BT573" t="s">
        <v>1053</v>
      </c>
      <c r="BX573" t="str">
        <f>"SMTWTFS 0930-1700"</f>
        <v>SMTWTFS 0930-1700</v>
      </c>
      <c r="BY573" t="str">
        <f>""</f>
        <v/>
      </c>
      <c r="BZ573" t="str">
        <f>"SMTWTFS 0930-1700"</f>
        <v>SMTWTFS 0930-1700</v>
      </c>
      <c r="CA573" t="str">
        <f>"SMTWTFS 0930-1700"</f>
        <v>SMTWTFS 0930-1700</v>
      </c>
      <c r="CB573" t="str">
        <f>""</f>
        <v/>
      </c>
      <c r="CC573" t="str">
        <f>""</f>
        <v/>
      </c>
      <c r="CD573" t="str">
        <f>""</f>
        <v/>
      </c>
      <c r="CE573" t="str">
        <f>""</f>
        <v/>
      </c>
      <c r="CF573" t="str">
        <f>""</f>
        <v/>
      </c>
      <c r="CG573" t="str">
        <f>""</f>
        <v/>
      </c>
      <c r="CH573" t="str">
        <f>""</f>
        <v/>
      </c>
    </row>
    <row r="574" spans="1:86" x14ac:dyDescent="0.25">
      <c r="A574" t="s">
        <v>1234</v>
      </c>
      <c r="B574" t="s">
        <v>1235</v>
      </c>
      <c r="C574" t="s">
        <v>1992</v>
      </c>
      <c r="D574" t="s">
        <v>2010</v>
      </c>
      <c r="E574" t="s">
        <v>1236</v>
      </c>
      <c r="F574" t="s">
        <v>1237</v>
      </c>
      <c r="H574" t="s">
        <v>1238</v>
      </c>
      <c r="I574" t="s">
        <v>1797</v>
      </c>
      <c r="J574" t="str">
        <f>"V9R 5R4"</f>
        <v>V9R 5R4</v>
      </c>
      <c r="K574" t="s">
        <v>373</v>
      </c>
      <c r="L574" t="s">
        <v>2062</v>
      </c>
      <c r="M574" t="s">
        <v>1239</v>
      </c>
      <c r="N574" t="s">
        <v>1992</v>
      </c>
      <c r="O574" t="s">
        <v>1992</v>
      </c>
      <c r="P574" t="s">
        <v>1992</v>
      </c>
      <c r="Q574" t="s">
        <v>1992</v>
      </c>
      <c r="R574" t="s">
        <v>1992</v>
      </c>
      <c r="S574" t="s">
        <v>1992</v>
      </c>
      <c r="T574" t="s">
        <v>1992</v>
      </c>
      <c r="U574" t="s">
        <v>1992</v>
      </c>
      <c r="V574" t="s">
        <v>1991</v>
      </c>
      <c r="W574" t="s">
        <v>1992</v>
      </c>
      <c r="X574" t="s">
        <v>1992</v>
      </c>
      <c r="Y574" t="s">
        <v>1992</v>
      </c>
      <c r="Z574" t="s">
        <v>1991</v>
      </c>
      <c r="AF574" t="s">
        <v>2064</v>
      </c>
      <c r="AG574" t="s">
        <v>1991</v>
      </c>
      <c r="AH574">
        <v>30</v>
      </c>
      <c r="AI574">
        <v>30</v>
      </c>
      <c r="AJ574" t="s">
        <v>1240</v>
      </c>
      <c r="AK574">
        <v>72</v>
      </c>
      <c r="AM574" t="s">
        <v>1241</v>
      </c>
      <c r="AN574" t="s">
        <v>450</v>
      </c>
      <c r="AO574" t="s">
        <v>2063</v>
      </c>
      <c r="BF574" t="s">
        <v>1053</v>
      </c>
      <c r="BG574" t="s">
        <v>394</v>
      </c>
      <c r="BH574" t="s">
        <v>311</v>
      </c>
      <c r="BI574" t="s">
        <v>1053</v>
      </c>
      <c r="BJ574" t="s">
        <v>1053</v>
      </c>
      <c r="BK574" t="s">
        <v>1053</v>
      </c>
      <c r="BL574" t="s">
        <v>1053</v>
      </c>
      <c r="BX574" t="str">
        <f>""</f>
        <v/>
      </c>
      <c r="BY574" t="str">
        <f>""</f>
        <v/>
      </c>
      <c r="BZ574" t="str">
        <f>""</f>
        <v/>
      </c>
      <c r="CA574" t="str">
        <f>""</f>
        <v/>
      </c>
      <c r="CB574" t="str">
        <f>""</f>
        <v/>
      </c>
      <c r="CC574" t="str">
        <f>""</f>
        <v/>
      </c>
      <c r="CD574" t="str">
        <f>""</f>
        <v/>
      </c>
      <c r="CE574" t="str">
        <f>""</f>
        <v/>
      </c>
      <c r="CF574" t="str">
        <f>""</f>
        <v/>
      </c>
      <c r="CG574" t="str">
        <f>""</f>
        <v/>
      </c>
      <c r="CH574" t="str">
        <f>""</f>
        <v/>
      </c>
    </row>
    <row r="575" spans="1:86" x14ac:dyDescent="0.25">
      <c r="A575" t="s">
        <v>1242</v>
      </c>
      <c r="B575" t="s">
        <v>1243</v>
      </c>
      <c r="C575" t="s">
        <v>1991</v>
      </c>
      <c r="D575" t="s">
        <v>2010</v>
      </c>
      <c r="E575" t="s">
        <v>1244</v>
      </c>
      <c r="F575" t="s">
        <v>1245</v>
      </c>
      <c r="H575" t="s">
        <v>783</v>
      </c>
      <c r="I575" t="s">
        <v>830</v>
      </c>
      <c r="J575" t="str">
        <f>"70113"</f>
        <v>70113</v>
      </c>
      <c r="K575" t="s">
        <v>1998</v>
      </c>
      <c r="L575" t="s">
        <v>408</v>
      </c>
      <c r="M575" t="s">
        <v>1246</v>
      </c>
      <c r="N575" t="s">
        <v>1991</v>
      </c>
      <c r="O575" t="s">
        <v>1991</v>
      </c>
      <c r="P575" t="s">
        <v>1992</v>
      </c>
      <c r="Q575" t="s">
        <v>1991</v>
      </c>
      <c r="R575" t="s">
        <v>1991</v>
      </c>
      <c r="S575" t="s">
        <v>1992</v>
      </c>
      <c r="T575" t="s">
        <v>1991</v>
      </c>
      <c r="U575" t="s">
        <v>1991</v>
      </c>
      <c r="V575" t="s">
        <v>1991</v>
      </c>
      <c r="W575" t="s">
        <v>1991</v>
      </c>
      <c r="X575" t="s">
        <v>1992</v>
      </c>
      <c r="Y575" t="s">
        <v>1992</v>
      </c>
      <c r="Z575" t="s">
        <v>1992</v>
      </c>
      <c r="AA575" t="s">
        <v>1991</v>
      </c>
      <c r="AF575" t="s">
        <v>2001</v>
      </c>
      <c r="AG575" t="s">
        <v>1991</v>
      </c>
      <c r="AH575">
        <v>60</v>
      </c>
      <c r="AI575">
        <v>60</v>
      </c>
      <c r="AJ575" t="s">
        <v>1247</v>
      </c>
      <c r="AK575">
        <v>4</v>
      </c>
      <c r="AL575">
        <v>343829</v>
      </c>
      <c r="AM575" t="s">
        <v>1248</v>
      </c>
      <c r="AN575" t="s">
        <v>1053</v>
      </c>
      <c r="AO575" t="s">
        <v>1053</v>
      </c>
      <c r="AP575" t="s">
        <v>1053</v>
      </c>
      <c r="AQ575" t="s">
        <v>1053</v>
      </c>
      <c r="AR575" t="s">
        <v>1053</v>
      </c>
      <c r="AS575" t="s">
        <v>1242</v>
      </c>
      <c r="AT575" t="s">
        <v>417</v>
      </c>
      <c r="AU575" t="s">
        <v>1053</v>
      </c>
      <c r="AV575" t="s">
        <v>1053</v>
      </c>
      <c r="AW575" t="s">
        <v>1053</v>
      </c>
      <c r="AX575" t="s">
        <v>1053</v>
      </c>
      <c r="AY575" t="s">
        <v>1053</v>
      </c>
      <c r="AZ575" t="s">
        <v>1242</v>
      </c>
      <c r="BA575" t="s">
        <v>417</v>
      </c>
      <c r="BB575" t="s">
        <v>1053</v>
      </c>
      <c r="BC575" t="s">
        <v>1053</v>
      </c>
      <c r="BD575" t="s">
        <v>1053</v>
      </c>
      <c r="BE575" t="s">
        <v>1053</v>
      </c>
      <c r="BF575" t="s">
        <v>1053</v>
      </c>
      <c r="BG575" t="s">
        <v>2097</v>
      </c>
      <c r="BH575" t="s">
        <v>781</v>
      </c>
      <c r="BI575" t="s">
        <v>1053</v>
      </c>
      <c r="BJ575" t="s">
        <v>1053</v>
      </c>
      <c r="BK575" t="s">
        <v>1053</v>
      </c>
      <c r="BL575" t="s">
        <v>1053</v>
      </c>
      <c r="BM575" t="s">
        <v>416</v>
      </c>
      <c r="BN575" t="s">
        <v>417</v>
      </c>
      <c r="BO575" t="s">
        <v>1053</v>
      </c>
      <c r="BP575" t="s">
        <v>653</v>
      </c>
      <c r="BQ575" t="s">
        <v>427</v>
      </c>
      <c r="BR575" t="s">
        <v>1053</v>
      </c>
      <c r="BS575" t="s">
        <v>1053</v>
      </c>
      <c r="BT575" t="s">
        <v>1053</v>
      </c>
      <c r="BU575" t="s">
        <v>1053</v>
      </c>
      <c r="BV575" t="s">
        <v>416</v>
      </c>
      <c r="BW575" t="s">
        <v>417</v>
      </c>
      <c r="BX575" t="str">
        <f>"SMTWTFS 0500-2200"</f>
        <v>SMTWTFS 0500-2200</v>
      </c>
      <c r="BY575" t="str">
        <f>"SMTWTFS 0600-2230"</f>
        <v>SMTWTFS 0600-2230</v>
      </c>
      <c r="BZ575" t="str">
        <f>"SMTWTFS 0545-2200"</f>
        <v>SMTWTFS 0545-2200</v>
      </c>
      <c r="CA575" t="str">
        <f>"SMTWTFS 0545-2145"</f>
        <v>SMTWTFS 0545-2145</v>
      </c>
      <c r="CB575" t="str">
        <f>""</f>
        <v/>
      </c>
      <c r="CC575" t="str">
        <f>"SMTWTFS 0000-2359"</f>
        <v>SMTWTFS 0000-2359</v>
      </c>
      <c r="CD575" t="str">
        <f>""</f>
        <v/>
      </c>
      <c r="CE575" t="str">
        <f>"SMTWTFS 0545-1345"</f>
        <v>SMTWTFS 0545-1345</v>
      </c>
      <c r="CF575" t="str">
        <f>"SMTWTFS 0600-2200"</f>
        <v>SMTWTFS 0600-2200</v>
      </c>
      <c r="CG575" t="str">
        <f>""</f>
        <v/>
      </c>
      <c r="CH575" t="str">
        <f>"SMTWTFS 0000-2359"</f>
        <v>SMTWTFS 0000-2359</v>
      </c>
    </row>
    <row r="576" spans="1:86" x14ac:dyDescent="0.25">
      <c r="A576" t="s">
        <v>1249</v>
      </c>
      <c r="B576" t="s">
        <v>1250</v>
      </c>
      <c r="C576" t="s">
        <v>1992</v>
      </c>
      <c r="D576" t="s">
        <v>2010</v>
      </c>
      <c r="E576" t="s">
        <v>1251</v>
      </c>
      <c r="H576" t="s">
        <v>1252</v>
      </c>
      <c r="I576" t="s">
        <v>2095</v>
      </c>
      <c r="J576" t="str">
        <f>"73069-6023"</f>
        <v>73069-6023</v>
      </c>
      <c r="K576" t="s">
        <v>1998</v>
      </c>
      <c r="L576" t="s">
        <v>1999</v>
      </c>
      <c r="M576" t="s">
        <v>2063</v>
      </c>
      <c r="N576" t="s">
        <v>1992</v>
      </c>
      <c r="O576" t="s">
        <v>1992</v>
      </c>
      <c r="P576" t="s">
        <v>1992</v>
      </c>
      <c r="Q576" t="s">
        <v>1992</v>
      </c>
      <c r="R576" t="s">
        <v>1992</v>
      </c>
      <c r="S576" t="s">
        <v>1992</v>
      </c>
      <c r="T576" t="s">
        <v>1992</v>
      </c>
      <c r="U576" t="s">
        <v>1992</v>
      </c>
      <c r="V576" t="s">
        <v>1991</v>
      </c>
      <c r="W576" t="s">
        <v>1991</v>
      </c>
      <c r="X576" t="s">
        <v>1992</v>
      </c>
      <c r="Y576" t="s">
        <v>1992</v>
      </c>
      <c r="Z576" t="s">
        <v>1992</v>
      </c>
      <c r="AA576" t="s">
        <v>1992</v>
      </c>
      <c r="AF576" t="s">
        <v>2001</v>
      </c>
      <c r="AG576" t="s">
        <v>1991</v>
      </c>
      <c r="AH576">
        <v>30</v>
      </c>
      <c r="AI576">
        <v>30</v>
      </c>
      <c r="AJ576" t="s">
        <v>1253</v>
      </c>
      <c r="AK576">
        <v>1170</v>
      </c>
      <c r="AL576">
        <v>106957</v>
      </c>
      <c r="AN576" t="s">
        <v>2066</v>
      </c>
      <c r="AO576" t="s">
        <v>2063</v>
      </c>
      <c r="BF576" t="s">
        <v>1053</v>
      </c>
      <c r="BG576" t="s">
        <v>2097</v>
      </c>
      <c r="BH576" t="s">
        <v>2098</v>
      </c>
      <c r="BI576" t="s">
        <v>1053</v>
      </c>
      <c r="BJ576" t="s">
        <v>2069</v>
      </c>
      <c r="BK576" t="s">
        <v>1053</v>
      </c>
      <c r="BL576" t="s">
        <v>2069</v>
      </c>
      <c r="BM576" t="s">
        <v>2099</v>
      </c>
      <c r="BN576" t="s">
        <v>2100</v>
      </c>
      <c r="BO576" t="s">
        <v>1053</v>
      </c>
      <c r="BP576" t="s">
        <v>2101</v>
      </c>
      <c r="BQ576" t="s">
        <v>2055</v>
      </c>
      <c r="BR576" t="s">
        <v>1053</v>
      </c>
      <c r="BS576" t="s">
        <v>1053</v>
      </c>
      <c r="BT576" t="s">
        <v>1053</v>
      </c>
      <c r="BU576" t="s">
        <v>1053</v>
      </c>
      <c r="BV576" t="s">
        <v>2056</v>
      </c>
      <c r="BX576" t="str">
        <f>"SMTWTFS 0850-2111"</f>
        <v>SMTWTFS 0850-2111</v>
      </c>
      <c r="BY576" t="str">
        <f>""</f>
        <v/>
      </c>
      <c r="BZ576" t="str">
        <f>""</f>
        <v/>
      </c>
      <c r="CA576" t="str">
        <f>""</f>
        <v/>
      </c>
      <c r="CB576" t="str">
        <f>""</f>
        <v/>
      </c>
      <c r="CC576" t="str">
        <f>""</f>
        <v/>
      </c>
      <c r="CD576" t="str">
        <f>""</f>
        <v/>
      </c>
      <c r="CE576" t="str">
        <f>""</f>
        <v/>
      </c>
      <c r="CF576" t="str">
        <f>""</f>
        <v/>
      </c>
      <c r="CG576" t="str">
        <f>""</f>
        <v/>
      </c>
      <c r="CH576" t="str">
        <f>""</f>
        <v/>
      </c>
    </row>
    <row r="577" spans="1:86" x14ac:dyDescent="0.25">
      <c r="A577" t="s">
        <v>1254</v>
      </c>
      <c r="B577" t="s">
        <v>1255</v>
      </c>
      <c r="C577" t="s">
        <v>1991</v>
      </c>
      <c r="D577" t="s">
        <v>2010</v>
      </c>
      <c r="E577" t="s">
        <v>1256</v>
      </c>
      <c r="H577" t="s">
        <v>1257</v>
      </c>
      <c r="I577" t="s">
        <v>2405</v>
      </c>
      <c r="J577" t="str">
        <f>"23601-4535"</f>
        <v>23601-4535</v>
      </c>
      <c r="K577" t="s">
        <v>1998</v>
      </c>
      <c r="L577" t="s">
        <v>2015</v>
      </c>
      <c r="M577" t="s">
        <v>1258</v>
      </c>
      <c r="N577" t="s">
        <v>1991</v>
      </c>
      <c r="O577" t="s">
        <v>1991</v>
      </c>
      <c r="P577" t="s">
        <v>1992</v>
      </c>
      <c r="Q577" t="s">
        <v>1992</v>
      </c>
      <c r="R577" t="s">
        <v>1992</v>
      </c>
      <c r="S577" t="s">
        <v>1992</v>
      </c>
      <c r="T577" t="s">
        <v>1992</v>
      </c>
      <c r="U577" t="s">
        <v>1991</v>
      </c>
      <c r="V577" t="s">
        <v>1991</v>
      </c>
      <c r="W577" t="s">
        <v>1991</v>
      </c>
      <c r="X577" t="s">
        <v>1992</v>
      </c>
      <c r="Y577" t="s">
        <v>1991</v>
      </c>
      <c r="Z577" t="s">
        <v>1992</v>
      </c>
      <c r="AE577" t="s">
        <v>2047</v>
      </c>
      <c r="AF577" t="s">
        <v>2016</v>
      </c>
      <c r="AG577" t="s">
        <v>1991</v>
      </c>
      <c r="AH577">
        <v>60</v>
      </c>
      <c r="AI577">
        <v>30</v>
      </c>
      <c r="AJ577" t="s">
        <v>1259</v>
      </c>
      <c r="AK577">
        <v>28</v>
      </c>
      <c r="AL577">
        <v>170045</v>
      </c>
      <c r="AN577" t="s">
        <v>1053</v>
      </c>
      <c r="AO577" t="s">
        <v>1053</v>
      </c>
      <c r="AP577" t="s">
        <v>2069</v>
      </c>
      <c r="AQ577" t="s">
        <v>1053</v>
      </c>
      <c r="AR577" t="s">
        <v>2069</v>
      </c>
      <c r="AS577" t="s">
        <v>1254</v>
      </c>
      <c r="AT577" t="s">
        <v>1260</v>
      </c>
      <c r="AU577" t="s">
        <v>1053</v>
      </c>
      <c r="AV577" t="s">
        <v>1053</v>
      </c>
      <c r="AW577" t="s">
        <v>2069</v>
      </c>
      <c r="AX577" t="s">
        <v>1053</v>
      </c>
      <c r="AY577" t="s">
        <v>2069</v>
      </c>
      <c r="AZ577" t="s">
        <v>1254</v>
      </c>
      <c r="BA577" t="s">
        <v>1260</v>
      </c>
      <c r="BB577" t="s">
        <v>1053</v>
      </c>
      <c r="BC577" t="s">
        <v>2069</v>
      </c>
      <c r="BD577" t="s">
        <v>1053</v>
      </c>
      <c r="BE577" t="s">
        <v>2069</v>
      </c>
      <c r="BF577" t="s">
        <v>1053</v>
      </c>
      <c r="BG577" t="s">
        <v>2097</v>
      </c>
      <c r="BH577" t="s">
        <v>4049</v>
      </c>
      <c r="BI577" t="s">
        <v>1053</v>
      </c>
      <c r="BJ577" t="s">
        <v>1053</v>
      </c>
      <c r="BK577" t="s">
        <v>1053</v>
      </c>
      <c r="BL577" t="s">
        <v>1053</v>
      </c>
      <c r="BM577" t="s">
        <v>2343</v>
      </c>
      <c r="BN577" t="s">
        <v>2344</v>
      </c>
      <c r="BO577" t="s">
        <v>1053</v>
      </c>
      <c r="BP577" t="s">
        <v>366</v>
      </c>
      <c r="BQ577" t="s">
        <v>2346</v>
      </c>
      <c r="BR577" t="s">
        <v>1053</v>
      </c>
      <c r="BS577" t="s">
        <v>1053</v>
      </c>
      <c r="BT577" t="s">
        <v>1053</v>
      </c>
      <c r="BU577" t="s">
        <v>1053</v>
      </c>
      <c r="BV577" t="s">
        <v>2347</v>
      </c>
      <c r="BW577" t="s">
        <v>2653</v>
      </c>
      <c r="BX577" t="str">
        <f>"S-----S 0730-2115; -MTWT-- 0730-2000; -----F- 0730-2215"</f>
        <v>S-----S 0730-2115; -MTWT-- 0730-2000; -----F- 0730-2215</v>
      </c>
      <c r="BY577" t="str">
        <f>""</f>
        <v/>
      </c>
      <c r="BZ577" t="str">
        <f>"S-----S 0730-2115; -MTWT-- 0730-2000; -----F- 0730-2215"</f>
        <v>S-----S 0730-2115; -MTWT-- 0730-2000; -----F- 0730-2215</v>
      </c>
      <c r="CA577" t="str">
        <f>"S-----S 0730-2115; -MTWT-- 0730-2000; -----F- 0730-2215"</f>
        <v>S-----S 0730-2115; -MTWT-- 0730-2000; -----F- 0730-2215</v>
      </c>
      <c r="CB577" t="str">
        <f>""</f>
        <v/>
      </c>
      <c r="CC577" t="str">
        <f>"S-----S 0730-2115; -MTWT-- 0730-2000; -----F- 0730-2215"</f>
        <v>S-----S 0730-2115; -MTWT-- 0730-2000; -----F- 0730-2215</v>
      </c>
      <c r="CD577" t="str">
        <f>""</f>
        <v/>
      </c>
      <c r="CE577" t="str">
        <f>""</f>
        <v/>
      </c>
      <c r="CF577" t="str">
        <f>""</f>
        <v/>
      </c>
      <c r="CG577" t="str">
        <f>""</f>
        <v/>
      </c>
      <c r="CH577" t="str">
        <f>""</f>
        <v/>
      </c>
    </row>
    <row r="578" spans="1:86" x14ac:dyDescent="0.25">
      <c r="A578" t="s">
        <v>1261</v>
      </c>
      <c r="B578" t="s">
        <v>1262</v>
      </c>
      <c r="C578" t="s">
        <v>1992</v>
      </c>
      <c r="D578" t="s">
        <v>2010</v>
      </c>
      <c r="E578" t="s">
        <v>1263</v>
      </c>
      <c r="F578" t="s">
        <v>1264</v>
      </c>
      <c r="H578" t="s">
        <v>1265</v>
      </c>
      <c r="I578" t="s">
        <v>2295</v>
      </c>
      <c r="J578" t="str">
        <f>"97365"</f>
        <v>97365</v>
      </c>
      <c r="K578" t="s">
        <v>1998</v>
      </c>
      <c r="L578" t="s">
        <v>231</v>
      </c>
      <c r="M578" t="s">
        <v>1266</v>
      </c>
      <c r="N578" t="s">
        <v>1992</v>
      </c>
      <c r="O578" t="s">
        <v>1992</v>
      </c>
      <c r="P578" t="s">
        <v>1992</v>
      </c>
      <c r="Q578" t="s">
        <v>1992</v>
      </c>
      <c r="R578" t="s">
        <v>1992</v>
      </c>
      <c r="S578" t="s">
        <v>1992</v>
      </c>
      <c r="T578" t="s">
        <v>1992</v>
      </c>
      <c r="U578" t="s">
        <v>1992</v>
      </c>
      <c r="V578" t="s">
        <v>1991</v>
      </c>
      <c r="W578" t="s">
        <v>1992</v>
      </c>
      <c r="X578" t="s">
        <v>1992</v>
      </c>
      <c r="Y578" t="s">
        <v>1992</v>
      </c>
      <c r="Z578" t="s">
        <v>1991</v>
      </c>
      <c r="AA578" t="s">
        <v>1991</v>
      </c>
      <c r="AE578" t="s">
        <v>3631</v>
      </c>
      <c r="AF578" t="s">
        <v>2064</v>
      </c>
      <c r="AG578" t="s">
        <v>1991</v>
      </c>
      <c r="AH578">
        <v>30</v>
      </c>
      <c r="AI578">
        <v>30</v>
      </c>
      <c r="AJ578" t="s">
        <v>1267</v>
      </c>
      <c r="AK578">
        <v>112</v>
      </c>
      <c r="AM578" t="s">
        <v>2298</v>
      </c>
      <c r="AN578" t="s">
        <v>1053</v>
      </c>
      <c r="AO578" t="s">
        <v>1053</v>
      </c>
      <c r="BF578" t="s">
        <v>1053</v>
      </c>
      <c r="BG578" t="s">
        <v>394</v>
      </c>
      <c r="BH578" t="s">
        <v>311</v>
      </c>
      <c r="BI578" t="s">
        <v>1053</v>
      </c>
      <c r="BJ578" t="s">
        <v>1053</v>
      </c>
      <c r="BK578" t="s">
        <v>1053</v>
      </c>
      <c r="BL578" t="s">
        <v>1053</v>
      </c>
      <c r="BO578" t="s">
        <v>1268</v>
      </c>
      <c r="BP578" t="s">
        <v>1268</v>
      </c>
      <c r="BQ578" t="s">
        <v>1268</v>
      </c>
      <c r="BR578" t="s">
        <v>2063</v>
      </c>
      <c r="BX578" t="str">
        <f>"-MTWTF- 0808-0945 1300-1615"</f>
        <v>-MTWTF- 0808-0945 1300-1615</v>
      </c>
      <c r="BY578" t="str">
        <f>""</f>
        <v/>
      </c>
      <c r="BZ578" t="str">
        <f>""</f>
        <v/>
      </c>
      <c r="CA578" t="str">
        <f>""</f>
        <v/>
      </c>
      <c r="CB578" t="str">
        <f>""</f>
        <v/>
      </c>
      <c r="CC578" t="str">
        <f>""</f>
        <v/>
      </c>
      <c r="CD578" t="str">
        <f>""</f>
        <v/>
      </c>
      <c r="CE578" t="str">
        <f>""</f>
        <v/>
      </c>
      <c r="CF578" t="str">
        <f>""</f>
        <v/>
      </c>
      <c r="CG578" t="str">
        <f>""</f>
        <v/>
      </c>
      <c r="CH578" t="str">
        <f>""</f>
        <v/>
      </c>
    </row>
    <row r="579" spans="1:86" x14ac:dyDescent="0.25">
      <c r="A579" t="s">
        <v>1269</v>
      </c>
      <c r="B579" t="s">
        <v>1270</v>
      </c>
      <c r="C579" t="s">
        <v>1991</v>
      </c>
      <c r="D579" t="s">
        <v>2010</v>
      </c>
      <c r="E579" t="s">
        <v>1271</v>
      </c>
      <c r="F579" t="s">
        <v>1272</v>
      </c>
      <c r="H579" t="s">
        <v>1273</v>
      </c>
      <c r="I579" t="s">
        <v>2367</v>
      </c>
      <c r="J579" t="str">
        <f>"60540"</f>
        <v>60540</v>
      </c>
      <c r="K579" t="s">
        <v>1998</v>
      </c>
      <c r="L579" t="s">
        <v>1999</v>
      </c>
      <c r="M579" t="s">
        <v>1274</v>
      </c>
      <c r="N579" t="s">
        <v>1991</v>
      </c>
      <c r="O579" t="s">
        <v>1991</v>
      </c>
      <c r="P579" t="s">
        <v>1992</v>
      </c>
      <c r="Q579" t="s">
        <v>1992</v>
      </c>
      <c r="R579" t="s">
        <v>1992</v>
      </c>
      <c r="S579" t="s">
        <v>1992</v>
      </c>
      <c r="T579" t="s">
        <v>1992</v>
      </c>
      <c r="U579" t="s">
        <v>1991</v>
      </c>
      <c r="V579" t="s">
        <v>1991</v>
      </c>
      <c r="W579" t="s">
        <v>1991</v>
      </c>
      <c r="X579" t="s">
        <v>1991</v>
      </c>
      <c r="Y579" t="s">
        <v>1992</v>
      </c>
      <c r="Z579" t="s">
        <v>1992</v>
      </c>
      <c r="AE579" t="s">
        <v>1275</v>
      </c>
      <c r="AF579" t="s">
        <v>2001</v>
      </c>
      <c r="AG579" t="s">
        <v>1991</v>
      </c>
      <c r="AH579">
        <v>60</v>
      </c>
      <c r="AI579">
        <v>30</v>
      </c>
      <c r="AJ579" t="s">
        <v>1276</v>
      </c>
      <c r="AK579">
        <v>714</v>
      </c>
      <c r="AL579">
        <v>110100</v>
      </c>
      <c r="AN579" t="s">
        <v>1053</v>
      </c>
      <c r="AO579" t="s">
        <v>1053</v>
      </c>
      <c r="AP579" t="s">
        <v>2069</v>
      </c>
      <c r="AQ579" t="s">
        <v>1053</v>
      </c>
      <c r="AR579" t="s">
        <v>2069</v>
      </c>
      <c r="AS579" t="s">
        <v>1269</v>
      </c>
      <c r="AT579" t="s">
        <v>1277</v>
      </c>
      <c r="AU579" t="s">
        <v>1053</v>
      </c>
      <c r="AV579" t="s">
        <v>1053</v>
      </c>
      <c r="AW579" t="s">
        <v>2069</v>
      </c>
      <c r="AX579" t="s">
        <v>1053</v>
      </c>
      <c r="AY579" t="s">
        <v>2069</v>
      </c>
      <c r="AZ579" t="s">
        <v>1269</v>
      </c>
      <c r="BA579" t="s">
        <v>1277</v>
      </c>
      <c r="BB579" t="s">
        <v>1053</v>
      </c>
      <c r="BC579" t="s">
        <v>2069</v>
      </c>
      <c r="BD579" t="s">
        <v>1053</v>
      </c>
      <c r="BF579" t="s">
        <v>1053</v>
      </c>
      <c r="BG579" t="s">
        <v>2097</v>
      </c>
      <c r="BH579" t="s">
        <v>1787</v>
      </c>
      <c r="BI579" t="s">
        <v>1053</v>
      </c>
      <c r="BJ579" t="s">
        <v>1053</v>
      </c>
      <c r="BK579" t="s">
        <v>1053</v>
      </c>
      <c r="BL579" t="s">
        <v>1053</v>
      </c>
      <c r="BO579" t="s">
        <v>1053</v>
      </c>
      <c r="BP579" t="s">
        <v>1173</v>
      </c>
      <c r="BQ579" t="s">
        <v>2376</v>
      </c>
      <c r="BR579" t="s">
        <v>1053</v>
      </c>
      <c r="BX579" t="str">
        <f>"S-----S 0800-1830; -MTWTF- 0530-1830"</f>
        <v>S-----S 0800-1830; -MTWTF- 0530-1830</v>
      </c>
      <c r="BY579" t="str">
        <f>""</f>
        <v/>
      </c>
      <c r="BZ579" t="str">
        <f>"SMTWTFS 1130-1900"</f>
        <v>SMTWTFS 1130-1900</v>
      </c>
      <c r="CA579" t="str">
        <f>"SMTWTFS 1100-1830"</f>
        <v>SMTWTFS 1100-1830</v>
      </c>
      <c r="CB579" t="str">
        <f>""</f>
        <v/>
      </c>
      <c r="CC579" t="str">
        <f>"S-----S 0800-1930; -MTWTF- 0530-1930"</f>
        <v>S-----S 0800-1930; -MTWTF- 0530-1930</v>
      </c>
      <c r="CD579" t="str">
        <f>""</f>
        <v/>
      </c>
      <c r="CE579" t="str">
        <f>""</f>
        <v/>
      </c>
      <c r="CF579" t="str">
        <f>""</f>
        <v/>
      </c>
      <c r="CG579" t="str">
        <f>""</f>
        <v/>
      </c>
      <c r="CH579" t="str">
        <f>""</f>
        <v/>
      </c>
    </row>
    <row r="580" spans="1:86" x14ac:dyDescent="0.25">
      <c r="A580" t="s">
        <v>1278</v>
      </c>
      <c r="B580" t="s">
        <v>1279</v>
      </c>
      <c r="C580" t="s">
        <v>1992</v>
      </c>
      <c r="D580" t="s">
        <v>1993</v>
      </c>
      <c r="E580" t="s">
        <v>1280</v>
      </c>
      <c r="H580" t="s">
        <v>3973</v>
      </c>
      <c r="I580" t="s">
        <v>2061</v>
      </c>
      <c r="J580" t="str">
        <f>"94559-1925"</f>
        <v>94559-1925</v>
      </c>
      <c r="K580" t="s">
        <v>1998</v>
      </c>
      <c r="L580" t="s">
        <v>2062</v>
      </c>
      <c r="M580" t="s">
        <v>2063</v>
      </c>
      <c r="N580" t="s">
        <v>1992</v>
      </c>
      <c r="O580" t="s">
        <v>1992</v>
      </c>
      <c r="P580" t="s">
        <v>1992</v>
      </c>
      <c r="Q580" t="s">
        <v>1992</v>
      </c>
      <c r="R580" t="s">
        <v>1992</v>
      </c>
      <c r="S580" t="s">
        <v>1992</v>
      </c>
      <c r="T580" t="s">
        <v>1992</v>
      </c>
      <c r="U580" t="s">
        <v>1992</v>
      </c>
      <c r="V580" t="s">
        <v>1991</v>
      </c>
      <c r="W580" t="s">
        <v>1992</v>
      </c>
      <c r="X580" t="s">
        <v>1991</v>
      </c>
      <c r="Y580" t="s">
        <v>1991</v>
      </c>
      <c r="Z580" t="s">
        <v>1992</v>
      </c>
      <c r="AB580" t="s">
        <v>3974</v>
      </c>
      <c r="AF580" t="s">
        <v>2064</v>
      </c>
      <c r="AG580" t="s">
        <v>1991</v>
      </c>
      <c r="AH580">
        <v>30</v>
      </c>
      <c r="AI580">
        <v>30</v>
      </c>
      <c r="AJ580" t="s">
        <v>1281</v>
      </c>
      <c r="AK580">
        <v>18</v>
      </c>
      <c r="BF580" t="s">
        <v>1053</v>
      </c>
      <c r="BG580" t="s">
        <v>309</v>
      </c>
      <c r="BH580" t="s">
        <v>2301</v>
      </c>
      <c r="BI580" t="s">
        <v>1053</v>
      </c>
      <c r="BK580" t="s">
        <v>1053</v>
      </c>
      <c r="BO580" t="s">
        <v>1053</v>
      </c>
      <c r="BP580" t="s">
        <v>310</v>
      </c>
      <c r="BQ580" t="s">
        <v>311</v>
      </c>
      <c r="BR580" t="s">
        <v>1053</v>
      </c>
      <c r="BS580" t="s">
        <v>1053</v>
      </c>
      <c r="BT580" t="s">
        <v>1053</v>
      </c>
      <c r="BU580" t="s">
        <v>1053</v>
      </c>
      <c r="BX580" t="str">
        <f>""</f>
        <v/>
      </c>
      <c r="BY580" t="str">
        <f>""</f>
        <v/>
      </c>
      <c r="BZ580" t="str">
        <f>""</f>
        <v/>
      </c>
      <c r="CA580" t="str">
        <f>""</f>
        <v/>
      </c>
      <c r="CB580" t="str">
        <f>""</f>
        <v/>
      </c>
      <c r="CC580" t="str">
        <f>""</f>
        <v/>
      </c>
      <c r="CD580" t="str">
        <f>""</f>
        <v/>
      </c>
      <c r="CE580" t="str">
        <f>""</f>
        <v/>
      </c>
      <c r="CF580" t="str">
        <f>""</f>
        <v/>
      </c>
      <c r="CG580" t="str">
        <f>""</f>
        <v/>
      </c>
      <c r="CH580" t="str">
        <f>""</f>
        <v/>
      </c>
    </row>
    <row r="581" spans="1:86" x14ac:dyDescent="0.25">
      <c r="A581" t="s">
        <v>1282</v>
      </c>
      <c r="B581" t="s">
        <v>1283</v>
      </c>
      <c r="C581" t="s">
        <v>1992</v>
      </c>
      <c r="D581" t="s">
        <v>2028</v>
      </c>
      <c r="E581" t="s">
        <v>1284</v>
      </c>
      <c r="H581" t="s">
        <v>1507</v>
      </c>
      <c r="I581" t="s">
        <v>2539</v>
      </c>
      <c r="J581" t="str">
        <f>"19711-5105"</f>
        <v>19711-5105</v>
      </c>
      <c r="K581" t="s">
        <v>1998</v>
      </c>
      <c r="L581" t="s">
        <v>2015</v>
      </c>
      <c r="M581" t="s">
        <v>1285</v>
      </c>
      <c r="N581" t="s">
        <v>1992</v>
      </c>
      <c r="O581" t="s">
        <v>1992</v>
      </c>
      <c r="P581" t="s">
        <v>1992</v>
      </c>
      <c r="Q581" t="s">
        <v>1992</v>
      </c>
      <c r="R581" t="s">
        <v>1992</v>
      </c>
      <c r="S581" t="s">
        <v>1992</v>
      </c>
      <c r="T581" t="s">
        <v>1992</v>
      </c>
      <c r="U581" t="s">
        <v>1992</v>
      </c>
      <c r="V581" t="s">
        <v>1991</v>
      </c>
      <c r="W581" t="s">
        <v>1991</v>
      </c>
      <c r="X581" t="s">
        <v>1991</v>
      </c>
      <c r="Y581" t="s">
        <v>1992</v>
      </c>
      <c r="Z581" t="s">
        <v>1992</v>
      </c>
      <c r="AF581" t="s">
        <v>2016</v>
      </c>
      <c r="AG581" t="s">
        <v>1991</v>
      </c>
      <c r="AH581">
        <v>30</v>
      </c>
      <c r="AI581">
        <v>30</v>
      </c>
      <c r="AJ581" t="s">
        <v>1286</v>
      </c>
      <c r="AK581">
        <v>111</v>
      </c>
      <c r="AL581">
        <v>70000</v>
      </c>
      <c r="AN581" t="s">
        <v>2066</v>
      </c>
      <c r="AO581" t="s">
        <v>2063</v>
      </c>
      <c r="BF581" t="s">
        <v>1053</v>
      </c>
      <c r="BG581" t="s">
        <v>1287</v>
      </c>
      <c r="BH581" t="s">
        <v>1288</v>
      </c>
      <c r="BI581" t="s">
        <v>1053</v>
      </c>
      <c r="BJ581" t="s">
        <v>1053</v>
      </c>
      <c r="BK581" t="s">
        <v>1053</v>
      </c>
      <c r="BL581" t="s">
        <v>1053</v>
      </c>
      <c r="BO581" t="s">
        <v>1053</v>
      </c>
      <c r="BP581" t="s">
        <v>2397</v>
      </c>
      <c r="BQ581" t="s">
        <v>2398</v>
      </c>
      <c r="BR581" t="s">
        <v>1053</v>
      </c>
      <c r="BS581" t="s">
        <v>1053</v>
      </c>
      <c r="BT581" t="s">
        <v>1053</v>
      </c>
      <c r="BU581" t="s">
        <v>1053</v>
      </c>
      <c r="BX581" t="str">
        <f>""</f>
        <v/>
      </c>
      <c r="BY581" t="str">
        <f>""</f>
        <v/>
      </c>
      <c r="BZ581" t="str">
        <f>""</f>
        <v/>
      </c>
      <c r="CA581" t="str">
        <f>""</f>
        <v/>
      </c>
      <c r="CB581" t="str">
        <f>""</f>
        <v/>
      </c>
      <c r="CC581" t="str">
        <f>""</f>
        <v/>
      </c>
      <c r="CD581" t="str">
        <f>""</f>
        <v/>
      </c>
      <c r="CE581" t="str">
        <f>""</f>
        <v/>
      </c>
      <c r="CF581" t="str">
        <f>""</f>
        <v/>
      </c>
      <c r="CG581" t="str">
        <f>""</f>
        <v/>
      </c>
      <c r="CH581" t="str">
        <f>""</f>
        <v/>
      </c>
    </row>
    <row r="582" spans="1:86" x14ac:dyDescent="0.25">
      <c r="A582" t="s">
        <v>1289</v>
      </c>
      <c r="B582" t="s">
        <v>1290</v>
      </c>
      <c r="C582" t="s">
        <v>1992</v>
      </c>
      <c r="D582" t="s">
        <v>2010</v>
      </c>
      <c r="E582" t="s">
        <v>1291</v>
      </c>
      <c r="F582" t="s">
        <v>3833</v>
      </c>
      <c r="H582" t="s">
        <v>1292</v>
      </c>
      <c r="I582" t="s">
        <v>2321</v>
      </c>
      <c r="J582" t="str">
        <f>"10801-6353"</f>
        <v>10801-6353</v>
      </c>
      <c r="K582" t="s">
        <v>1998</v>
      </c>
      <c r="L582" t="s">
        <v>2033</v>
      </c>
      <c r="M582" t="s">
        <v>1293</v>
      </c>
      <c r="N582" t="s">
        <v>1992</v>
      </c>
      <c r="O582" t="s">
        <v>1991</v>
      </c>
      <c r="P582" t="s">
        <v>1992</v>
      </c>
      <c r="Q582" t="s">
        <v>1992</v>
      </c>
      <c r="R582" t="s">
        <v>1992</v>
      </c>
      <c r="S582" t="s">
        <v>1992</v>
      </c>
      <c r="T582" t="s">
        <v>1992</v>
      </c>
      <c r="U582" t="s">
        <v>1992</v>
      </c>
      <c r="V582" t="s">
        <v>1991</v>
      </c>
      <c r="W582" t="s">
        <v>1991</v>
      </c>
      <c r="X582" t="s">
        <v>1991</v>
      </c>
      <c r="Y582" t="s">
        <v>1992</v>
      </c>
      <c r="Z582" t="s">
        <v>1992</v>
      </c>
      <c r="AF582" t="s">
        <v>2016</v>
      </c>
      <c r="AG582" t="s">
        <v>1991</v>
      </c>
      <c r="AH582">
        <v>45</v>
      </c>
      <c r="AI582">
        <v>30</v>
      </c>
      <c r="AJ582" t="s">
        <v>1294</v>
      </c>
      <c r="AK582">
        <v>75</v>
      </c>
      <c r="AL582">
        <v>72852</v>
      </c>
      <c r="AN582" t="s">
        <v>815</v>
      </c>
      <c r="AO582" t="s">
        <v>2063</v>
      </c>
      <c r="BF582" t="s">
        <v>1053</v>
      </c>
      <c r="BG582" t="s">
        <v>597</v>
      </c>
      <c r="BH582" t="s">
        <v>816</v>
      </c>
      <c r="BI582" t="s">
        <v>1053</v>
      </c>
      <c r="BJ582" t="s">
        <v>1053</v>
      </c>
      <c r="BK582" t="s">
        <v>1053</v>
      </c>
      <c r="BL582" t="s">
        <v>1053</v>
      </c>
      <c r="BM582" t="s">
        <v>255</v>
      </c>
      <c r="BN582" t="s">
        <v>256</v>
      </c>
      <c r="BO582" t="s">
        <v>1053</v>
      </c>
      <c r="BP582" t="s">
        <v>2067</v>
      </c>
      <c r="BQ582" t="s">
        <v>816</v>
      </c>
      <c r="BR582" t="s">
        <v>1053</v>
      </c>
      <c r="BS582" t="s">
        <v>1053</v>
      </c>
      <c r="BT582" t="s">
        <v>1053</v>
      </c>
      <c r="BU582" t="s">
        <v>1053</v>
      </c>
      <c r="BV582" t="s">
        <v>255</v>
      </c>
      <c r="BW582" t="s">
        <v>256</v>
      </c>
      <c r="BX582" t="str">
        <f>"SMTWTFS 0525-2100"</f>
        <v>SMTWTFS 0525-2100</v>
      </c>
      <c r="BY582" t="str">
        <f>""</f>
        <v/>
      </c>
      <c r="BZ582" t="str">
        <f>""</f>
        <v/>
      </c>
      <c r="CA582" t="str">
        <f>""</f>
        <v/>
      </c>
      <c r="CB582" t="str">
        <f>""</f>
        <v/>
      </c>
      <c r="CC582" t="str">
        <f>"SMTWTFS 0525-2100"</f>
        <v>SMTWTFS 0525-2100</v>
      </c>
      <c r="CD582" t="str">
        <f>""</f>
        <v/>
      </c>
      <c r="CE582" t="str">
        <f>""</f>
        <v/>
      </c>
      <c r="CF582" t="str">
        <f>""</f>
        <v/>
      </c>
      <c r="CG582" t="str">
        <f>""</f>
        <v/>
      </c>
      <c r="CH582" t="str">
        <f>""</f>
        <v/>
      </c>
    </row>
    <row r="583" spans="1:86" x14ac:dyDescent="0.25">
      <c r="A583" t="s">
        <v>1295</v>
      </c>
      <c r="B583" t="s">
        <v>1296</v>
      </c>
      <c r="C583" t="s">
        <v>1992</v>
      </c>
      <c r="D583" t="s">
        <v>2331</v>
      </c>
      <c r="E583" t="s">
        <v>1297</v>
      </c>
      <c r="F583" t="s">
        <v>1298</v>
      </c>
      <c r="G583" t="s">
        <v>1299</v>
      </c>
      <c r="H583" t="s">
        <v>1300</v>
      </c>
      <c r="I583" t="s">
        <v>700</v>
      </c>
      <c r="J583" t="str">
        <f>"27607-3902"</f>
        <v>27607-3902</v>
      </c>
      <c r="K583" t="s">
        <v>1998</v>
      </c>
      <c r="L583" t="s">
        <v>408</v>
      </c>
      <c r="M583" t="s">
        <v>2063</v>
      </c>
      <c r="N583" t="s">
        <v>1992</v>
      </c>
      <c r="O583" t="s">
        <v>1992</v>
      </c>
      <c r="P583" t="s">
        <v>1992</v>
      </c>
      <c r="Q583" t="s">
        <v>1992</v>
      </c>
      <c r="R583" t="s">
        <v>1992</v>
      </c>
      <c r="S583" t="s">
        <v>1992</v>
      </c>
      <c r="T583" t="s">
        <v>1992</v>
      </c>
      <c r="U583" t="s">
        <v>1992</v>
      </c>
      <c r="V583" t="s">
        <v>1991</v>
      </c>
      <c r="W583" t="s">
        <v>1991</v>
      </c>
      <c r="X583" t="s">
        <v>1992</v>
      </c>
      <c r="Y583" t="s">
        <v>1992</v>
      </c>
      <c r="Z583" t="s">
        <v>1992</v>
      </c>
      <c r="AF583" t="s">
        <v>2016</v>
      </c>
      <c r="AG583" t="s">
        <v>1991</v>
      </c>
      <c r="AH583">
        <v>15</v>
      </c>
      <c r="AI583">
        <v>15</v>
      </c>
      <c r="AJ583" t="s">
        <v>1301</v>
      </c>
      <c r="AK583">
        <v>483</v>
      </c>
      <c r="AM583" t="s">
        <v>1302</v>
      </c>
      <c r="AN583" t="s">
        <v>1303</v>
      </c>
      <c r="AU583" t="s">
        <v>1304</v>
      </c>
      <c r="BF583" t="s">
        <v>1053</v>
      </c>
      <c r="BG583" t="s">
        <v>1305</v>
      </c>
      <c r="BH583" t="s">
        <v>1306</v>
      </c>
      <c r="BI583" t="s">
        <v>1053</v>
      </c>
      <c r="BJ583" t="s">
        <v>1053</v>
      </c>
      <c r="BK583" t="s">
        <v>1053</v>
      </c>
      <c r="BL583" t="s">
        <v>1053</v>
      </c>
      <c r="BM583" t="s">
        <v>705</v>
      </c>
      <c r="BN583" t="s">
        <v>1307</v>
      </c>
      <c r="BO583" t="s">
        <v>1053</v>
      </c>
      <c r="BP583" t="s">
        <v>1308</v>
      </c>
      <c r="BQ583" t="s">
        <v>781</v>
      </c>
      <c r="BR583" t="s">
        <v>1053</v>
      </c>
      <c r="BS583" t="s">
        <v>1053</v>
      </c>
      <c r="BT583" t="s">
        <v>1053</v>
      </c>
      <c r="BU583" t="s">
        <v>1053</v>
      </c>
      <c r="BV583" t="s">
        <v>416</v>
      </c>
      <c r="BW583" t="s">
        <v>417</v>
      </c>
      <c r="BX583" t="str">
        <f>""</f>
        <v/>
      </c>
      <c r="BY583" t="str">
        <f>""</f>
        <v/>
      </c>
      <c r="BZ583" t="str">
        <f>""</f>
        <v/>
      </c>
      <c r="CA583" t="str">
        <f>""</f>
        <v/>
      </c>
      <c r="CB583" t="str">
        <f>""</f>
        <v/>
      </c>
      <c r="CC583" t="str">
        <f>""</f>
        <v/>
      </c>
      <c r="CD583" t="str">
        <f>""</f>
        <v/>
      </c>
      <c r="CE583" t="str">
        <f>""</f>
        <v/>
      </c>
      <c r="CF583" t="str">
        <f>""</f>
        <v/>
      </c>
      <c r="CG583" t="str">
        <f>""</f>
        <v/>
      </c>
      <c r="CH583" t="str">
        <f>""</f>
        <v/>
      </c>
    </row>
    <row r="584" spans="1:86" x14ac:dyDescent="0.25">
      <c r="A584" t="s">
        <v>1309</v>
      </c>
      <c r="B584" t="s">
        <v>1310</v>
      </c>
      <c r="C584" t="s">
        <v>1992</v>
      </c>
      <c r="D584" t="s">
        <v>1993</v>
      </c>
      <c r="E584" t="s">
        <v>1311</v>
      </c>
      <c r="F584" t="s">
        <v>2285</v>
      </c>
      <c r="H584" t="s">
        <v>1312</v>
      </c>
      <c r="I584" t="s">
        <v>660</v>
      </c>
      <c r="J584" t="str">
        <f>"03064"</f>
        <v>03064</v>
      </c>
      <c r="K584" t="s">
        <v>1998</v>
      </c>
      <c r="L584" t="s">
        <v>1313</v>
      </c>
      <c r="M584" t="s">
        <v>2000</v>
      </c>
      <c r="N584" t="s">
        <v>1992</v>
      </c>
      <c r="O584" t="s">
        <v>1992</v>
      </c>
      <c r="P584" t="s">
        <v>1992</v>
      </c>
      <c r="Q584" t="s">
        <v>1992</v>
      </c>
      <c r="R584" t="s">
        <v>1992</v>
      </c>
      <c r="S584" t="s">
        <v>1992</v>
      </c>
      <c r="T584" t="s">
        <v>1992</v>
      </c>
      <c r="U584" t="s">
        <v>1992</v>
      </c>
      <c r="V584" t="s">
        <v>1991</v>
      </c>
      <c r="Z584" t="s">
        <v>1991</v>
      </c>
      <c r="AF584" t="s">
        <v>2016</v>
      </c>
      <c r="AG584" t="s">
        <v>1991</v>
      </c>
      <c r="AH584">
        <v>15</v>
      </c>
      <c r="AI584">
        <v>15</v>
      </c>
      <c r="AJ584" t="s">
        <v>1314</v>
      </c>
      <c r="AK584">
        <v>198</v>
      </c>
      <c r="BX584" t="str">
        <f>""</f>
        <v/>
      </c>
      <c r="BY584" t="str">
        <f>""</f>
        <v/>
      </c>
      <c r="BZ584" t="str">
        <f>""</f>
        <v/>
      </c>
      <c r="CA584" t="str">
        <f>""</f>
        <v/>
      </c>
      <c r="CB584" t="str">
        <f>""</f>
        <v/>
      </c>
      <c r="CC584" t="str">
        <f>""</f>
        <v/>
      </c>
      <c r="CD584" t="str">
        <f>""</f>
        <v/>
      </c>
      <c r="CE584" t="str">
        <f>""</f>
        <v/>
      </c>
      <c r="CF584" t="str">
        <f>""</f>
        <v/>
      </c>
      <c r="CG584" t="str">
        <f>""</f>
        <v/>
      </c>
      <c r="CH584" t="str">
        <f>""</f>
        <v/>
      </c>
    </row>
    <row r="585" spans="1:86" x14ac:dyDescent="0.25">
      <c r="A585" t="s">
        <v>1065</v>
      </c>
      <c r="B585" t="s">
        <v>1315</v>
      </c>
      <c r="C585" t="s">
        <v>1991</v>
      </c>
      <c r="D585" t="s">
        <v>2010</v>
      </c>
      <c r="E585" t="s">
        <v>1316</v>
      </c>
      <c r="F585" t="s">
        <v>1317</v>
      </c>
      <c r="H585" t="s">
        <v>1507</v>
      </c>
      <c r="I585" t="s">
        <v>2032</v>
      </c>
      <c r="J585" t="str">
        <f>"07102-5405"</f>
        <v>07102-5405</v>
      </c>
      <c r="K585" t="s">
        <v>1998</v>
      </c>
      <c r="L585" t="s">
        <v>2033</v>
      </c>
      <c r="M585" t="s">
        <v>1318</v>
      </c>
      <c r="N585" t="s">
        <v>1991</v>
      </c>
      <c r="O585" t="s">
        <v>1991</v>
      </c>
      <c r="P585" t="s">
        <v>1992</v>
      </c>
      <c r="Q585" t="s">
        <v>1991</v>
      </c>
      <c r="R585" t="s">
        <v>1991</v>
      </c>
      <c r="S585" t="s">
        <v>1992</v>
      </c>
      <c r="T585" t="s">
        <v>1992</v>
      </c>
      <c r="U585" t="s">
        <v>1991</v>
      </c>
      <c r="V585" t="s">
        <v>1991</v>
      </c>
      <c r="W585" t="s">
        <v>1991</v>
      </c>
      <c r="X585" t="s">
        <v>1991</v>
      </c>
      <c r="Y585" t="s">
        <v>1992</v>
      </c>
      <c r="Z585" t="s">
        <v>1992</v>
      </c>
      <c r="AA585" t="s">
        <v>1991</v>
      </c>
      <c r="AE585" t="s">
        <v>1319</v>
      </c>
      <c r="AF585" t="s">
        <v>2016</v>
      </c>
      <c r="AG585" t="s">
        <v>1991</v>
      </c>
      <c r="AH585">
        <v>60</v>
      </c>
      <c r="AI585">
        <v>30</v>
      </c>
      <c r="AJ585" t="s">
        <v>1320</v>
      </c>
      <c r="AK585">
        <v>18</v>
      </c>
      <c r="AL585">
        <v>382417</v>
      </c>
      <c r="AM585" t="s">
        <v>1321</v>
      </c>
      <c r="AN585" t="s">
        <v>1322</v>
      </c>
      <c r="AO585" t="s">
        <v>1053</v>
      </c>
      <c r="AP585" t="s">
        <v>1053</v>
      </c>
      <c r="AQ585" t="s">
        <v>1053</v>
      </c>
      <c r="AR585" t="s">
        <v>1053</v>
      </c>
      <c r="AS585" t="s">
        <v>1323</v>
      </c>
      <c r="AT585" t="s">
        <v>1324</v>
      </c>
      <c r="AU585" t="s">
        <v>1053</v>
      </c>
      <c r="AV585" t="s">
        <v>1053</v>
      </c>
      <c r="AW585" t="s">
        <v>1053</v>
      </c>
      <c r="AX585" t="s">
        <v>1053</v>
      </c>
      <c r="AY585" t="s">
        <v>1053</v>
      </c>
      <c r="AZ585" t="s">
        <v>1323</v>
      </c>
      <c r="BA585" t="s">
        <v>1324</v>
      </c>
      <c r="BB585" t="s">
        <v>1053</v>
      </c>
      <c r="BC585" t="s">
        <v>1053</v>
      </c>
      <c r="BD585" t="s">
        <v>1053</v>
      </c>
      <c r="BE585" t="s">
        <v>1053</v>
      </c>
      <c r="BF585" t="s">
        <v>1053</v>
      </c>
      <c r="BG585" t="s">
        <v>1512</v>
      </c>
      <c r="BH585" t="s">
        <v>1064</v>
      </c>
      <c r="BI585" t="s">
        <v>1053</v>
      </c>
      <c r="BJ585" t="s">
        <v>1053</v>
      </c>
      <c r="BK585" t="s">
        <v>1053</v>
      </c>
      <c r="BL585" t="s">
        <v>1053</v>
      </c>
      <c r="BM585" t="s">
        <v>1323</v>
      </c>
      <c r="BN585" t="s">
        <v>1324</v>
      </c>
      <c r="BO585" t="s">
        <v>1053</v>
      </c>
      <c r="BP585" t="s">
        <v>3718</v>
      </c>
      <c r="BQ585" t="s">
        <v>1067</v>
      </c>
      <c r="BR585" t="s">
        <v>1053</v>
      </c>
      <c r="BS585" t="s">
        <v>1053</v>
      </c>
      <c r="BT585" t="s">
        <v>1053</v>
      </c>
      <c r="BU585" t="s">
        <v>1053</v>
      </c>
      <c r="BV585" t="s">
        <v>1068</v>
      </c>
      <c r="BW585" t="s">
        <v>1325</v>
      </c>
      <c r="BX585" t="str">
        <f>"S-----S 0545-2300; -MTWTF- 0530-2300"</f>
        <v>S-----S 0545-2300; -MTWTF- 0530-2300</v>
      </c>
      <c r="BY585" t="str">
        <f>"SMTWTFS 0545-2230"</f>
        <v>SMTWTFS 0545-2230</v>
      </c>
      <c r="BZ585" t="str">
        <f>"SMTWTFS 0545-2200"</f>
        <v>SMTWTFS 0545-2200</v>
      </c>
      <c r="CA585" t="str">
        <f>"S-----S 0545-2200; -MTWTF- 0530-2200"</f>
        <v>S-----S 0545-2200; -MTWTF- 0530-2200</v>
      </c>
      <c r="CB585" t="str">
        <f>"SMTWTFS 0530-2200"</f>
        <v>SMTWTFS 0530-2200</v>
      </c>
      <c r="CC585" t="str">
        <f>"SMTWTFS 0000-2359"</f>
        <v>SMTWTFS 0000-2359</v>
      </c>
      <c r="CD585" t="str">
        <f>""</f>
        <v/>
      </c>
      <c r="CE585" t="str">
        <f>""</f>
        <v/>
      </c>
      <c r="CF585" t="str">
        <f>"SMTWTFS 0545-2100"</f>
        <v>SMTWTFS 0545-2100</v>
      </c>
      <c r="CG585" t="str">
        <f>""</f>
        <v/>
      </c>
      <c r="CH585" t="str">
        <f>"SMTWTFS 0000-2359"</f>
        <v>SMTWTFS 0000-2359</v>
      </c>
    </row>
    <row r="586" spans="1:86" x14ac:dyDescent="0.25">
      <c r="A586" t="s">
        <v>1326</v>
      </c>
      <c r="B586" t="s">
        <v>1327</v>
      </c>
      <c r="C586" t="s">
        <v>1992</v>
      </c>
      <c r="D586" t="s">
        <v>2028</v>
      </c>
      <c r="E586" t="s">
        <v>1328</v>
      </c>
      <c r="F586" t="s">
        <v>1329</v>
      </c>
      <c r="H586" t="s">
        <v>1330</v>
      </c>
      <c r="I586" t="s">
        <v>2321</v>
      </c>
      <c r="J586" t="str">
        <f>"13209-1551"</f>
        <v>13209-1551</v>
      </c>
      <c r="K586" t="s">
        <v>1998</v>
      </c>
      <c r="L586" t="s">
        <v>2033</v>
      </c>
      <c r="M586" t="s">
        <v>2000</v>
      </c>
      <c r="N586" t="s">
        <v>1992</v>
      </c>
      <c r="O586" t="s">
        <v>1992</v>
      </c>
      <c r="P586" t="s">
        <v>1992</v>
      </c>
      <c r="Q586" t="s">
        <v>1992</v>
      </c>
      <c r="R586" t="s">
        <v>1992</v>
      </c>
      <c r="S586" t="s">
        <v>1992</v>
      </c>
      <c r="T586" t="s">
        <v>1992</v>
      </c>
      <c r="U586" t="s">
        <v>1992</v>
      </c>
      <c r="V586" t="s">
        <v>1991</v>
      </c>
      <c r="W586" t="s">
        <v>1991</v>
      </c>
      <c r="X586" t="s">
        <v>1992</v>
      </c>
      <c r="Y586" t="s">
        <v>1992</v>
      </c>
      <c r="Z586" t="s">
        <v>1992</v>
      </c>
      <c r="AF586" t="s">
        <v>2016</v>
      </c>
      <c r="AG586" t="s">
        <v>1992</v>
      </c>
      <c r="AH586">
        <v>30</v>
      </c>
      <c r="AI586">
        <v>30</v>
      </c>
      <c r="AJ586" t="s">
        <v>1331</v>
      </c>
      <c r="AK586">
        <v>379</v>
      </c>
      <c r="AM586" t="s">
        <v>1332</v>
      </c>
      <c r="BF586" t="s">
        <v>1053</v>
      </c>
      <c r="BG586" t="s">
        <v>235</v>
      </c>
      <c r="BH586" t="s">
        <v>4060</v>
      </c>
      <c r="BI586" t="s">
        <v>1053</v>
      </c>
      <c r="BO586" t="s">
        <v>1053</v>
      </c>
      <c r="BP586" t="s">
        <v>1333</v>
      </c>
      <c r="BQ586" t="s">
        <v>230</v>
      </c>
      <c r="BR586" t="s">
        <v>1053</v>
      </c>
      <c r="BX586" t="str">
        <f>"SMTWTFS 0900-2000"</f>
        <v>SMTWTFS 0900-2000</v>
      </c>
      <c r="BY586" t="str">
        <f>""</f>
        <v/>
      </c>
      <c r="BZ586" t="str">
        <f>""</f>
        <v/>
      </c>
      <c r="CA586" t="str">
        <f>""</f>
        <v/>
      </c>
      <c r="CB586" t="str">
        <f>""</f>
        <v/>
      </c>
      <c r="CC586" t="str">
        <f>""</f>
        <v/>
      </c>
      <c r="CD586" t="str">
        <f>""</f>
        <v/>
      </c>
      <c r="CE586" t="str">
        <f>""</f>
        <v/>
      </c>
      <c r="CF586" t="str">
        <f>""</f>
        <v/>
      </c>
      <c r="CG586" t="str">
        <f>""</f>
        <v/>
      </c>
      <c r="CH586" t="str">
        <f>""</f>
        <v/>
      </c>
    </row>
    <row r="587" spans="1:86" x14ac:dyDescent="0.25">
      <c r="A587" t="s">
        <v>1334</v>
      </c>
      <c r="B587" t="s">
        <v>1335</v>
      </c>
      <c r="C587" t="s">
        <v>1991</v>
      </c>
      <c r="D587" t="s">
        <v>2010</v>
      </c>
      <c r="E587" t="s">
        <v>1336</v>
      </c>
      <c r="F587" t="s">
        <v>1337</v>
      </c>
      <c r="G587" t="s">
        <v>1338</v>
      </c>
      <c r="H587" t="s">
        <v>1339</v>
      </c>
      <c r="I587" t="s">
        <v>2321</v>
      </c>
      <c r="J587" t="str">
        <f>"10001"</f>
        <v>10001</v>
      </c>
      <c r="K587" t="s">
        <v>1998</v>
      </c>
      <c r="L587" t="s">
        <v>2033</v>
      </c>
      <c r="M587" t="s">
        <v>1340</v>
      </c>
      <c r="N587" t="s">
        <v>1991</v>
      </c>
      <c r="O587" t="s">
        <v>1991</v>
      </c>
      <c r="P587" t="s">
        <v>1992</v>
      </c>
      <c r="Q587" t="s">
        <v>1991</v>
      </c>
      <c r="R587" t="s">
        <v>1992</v>
      </c>
      <c r="S587" t="s">
        <v>1992</v>
      </c>
      <c r="T587" t="s">
        <v>1991</v>
      </c>
      <c r="U587" t="s">
        <v>1991</v>
      </c>
      <c r="V587" t="s">
        <v>1991</v>
      </c>
      <c r="W587" t="s">
        <v>1991</v>
      </c>
      <c r="X587" t="s">
        <v>1991</v>
      </c>
      <c r="Y587" t="s">
        <v>1992</v>
      </c>
      <c r="Z587" t="s">
        <v>1992</v>
      </c>
      <c r="AA587" t="s">
        <v>1992</v>
      </c>
      <c r="AE587" t="s">
        <v>2353</v>
      </c>
      <c r="AF587" t="s">
        <v>2016</v>
      </c>
      <c r="AG587" t="s">
        <v>1991</v>
      </c>
      <c r="AH587">
        <v>90</v>
      </c>
      <c r="AI587">
        <v>30</v>
      </c>
      <c r="AJ587" t="s">
        <v>1341</v>
      </c>
      <c r="AK587">
        <v>33</v>
      </c>
      <c r="AL587">
        <v>8000000</v>
      </c>
      <c r="AM587" t="s">
        <v>4503</v>
      </c>
      <c r="AN587" t="s">
        <v>1053</v>
      </c>
      <c r="AO587" t="s">
        <v>1053</v>
      </c>
      <c r="AP587" t="s">
        <v>1053</v>
      </c>
      <c r="AQ587" t="s">
        <v>1053</v>
      </c>
      <c r="AR587" t="s">
        <v>1053</v>
      </c>
      <c r="AS587" t="s">
        <v>1334</v>
      </c>
      <c r="AT587" t="s">
        <v>3837</v>
      </c>
      <c r="AU587" t="s">
        <v>1053</v>
      </c>
      <c r="AV587" t="s">
        <v>1053</v>
      </c>
      <c r="AW587" t="s">
        <v>1053</v>
      </c>
      <c r="AX587" t="s">
        <v>1053</v>
      </c>
      <c r="AY587" t="s">
        <v>1053</v>
      </c>
      <c r="AZ587" t="s">
        <v>1334</v>
      </c>
      <c r="BA587" t="s">
        <v>3840</v>
      </c>
      <c r="BB587" t="s">
        <v>1053</v>
      </c>
      <c r="BC587" t="s">
        <v>1053</v>
      </c>
      <c r="BD587" t="s">
        <v>1053</v>
      </c>
      <c r="BE587" t="s">
        <v>1053</v>
      </c>
      <c r="BF587" t="s">
        <v>1053</v>
      </c>
      <c r="BG587" t="s">
        <v>4504</v>
      </c>
      <c r="BH587" t="s">
        <v>4505</v>
      </c>
      <c r="BI587" t="s">
        <v>1053</v>
      </c>
      <c r="BJ587" t="s">
        <v>1053</v>
      </c>
      <c r="BK587" t="s">
        <v>1053</v>
      </c>
      <c r="BL587" t="s">
        <v>1053</v>
      </c>
      <c r="BM587" t="s">
        <v>1334</v>
      </c>
      <c r="BN587" t="s">
        <v>3840</v>
      </c>
      <c r="BO587" t="s">
        <v>1053</v>
      </c>
      <c r="BP587" t="s">
        <v>986</v>
      </c>
      <c r="BQ587" t="s">
        <v>1067</v>
      </c>
      <c r="BR587" t="s">
        <v>1053</v>
      </c>
      <c r="BS587" t="s">
        <v>1053</v>
      </c>
      <c r="BT587" t="s">
        <v>1053</v>
      </c>
      <c r="BU587" t="s">
        <v>1053</v>
      </c>
      <c r="BV587" t="s">
        <v>1068</v>
      </c>
      <c r="BW587" t="s">
        <v>1069</v>
      </c>
      <c r="BX587" t="str">
        <f>"SMTWTFS 0000-2359"</f>
        <v>SMTWTFS 0000-2359</v>
      </c>
      <c r="BY587" t="str">
        <f>"SMTWTFS 0515-2145"</f>
        <v>SMTWTFS 0515-2145</v>
      </c>
      <c r="BZ587" t="str">
        <f>"SMTWTFS 0000-2359"</f>
        <v>SMTWTFS 0000-2359</v>
      </c>
      <c r="CA587" t="str">
        <f>"SMTWTFS 0510-2200"</f>
        <v>SMTWTFS 0510-2200</v>
      </c>
      <c r="CB587" t="str">
        <f>"SMTWTFS 0630-1500"</f>
        <v>SMTWTFS 0630-1500</v>
      </c>
      <c r="CC587" t="str">
        <f>"SMTWTFS 0000-2359"</f>
        <v>SMTWTFS 0000-2359</v>
      </c>
      <c r="CD587" t="str">
        <f>""</f>
        <v/>
      </c>
      <c r="CE587" t="str">
        <f>"S-----S 0700-2200; -MTWTF- 0515-2200"</f>
        <v>S-----S 0700-2200; -MTWTF- 0515-2200</v>
      </c>
      <c r="CF587" t="str">
        <f>"SMTWTFS 0600-1430"</f>
        <v>SMTWTFS 0600-1430</v>
      </c>
      <c r="CG587" t="str">
        <f>"SMTWTFS 0600-1430"</f>
        <v>SMTWTFS 0600-1430</v>
      </c>
      <c r="CH587" t="str">
        <f>""</f>
        <v/>
      </c>
    </row>
    <row r="588" spans="1:86" x14ac:dyDescent="0.25">
      <c r="A588" t="s">
        <v>4506</v>
      </c>
      <c r="B588" t="s">
        <v>4507</v>
      </c>
      <c r="C588" t="s">
        <v>1992</v>
      </c>
      <c r="D588" t="s">
        <v>2028</v>
      </c>
      <c r="E588" t="s">
        <v>4508</v>
      </c>
      <c r="F588" t="s">
        <v>4509</v>
      </c>
      <c r="H588" t="s">
        <v>1814</v>
      </c>
      <c r="I588" t="s">
        <v>2061</v>
      </c>
      <c r="J588" t="str">
        <f>"94621-3316"</f>
        <v>94621-3316</v>
      </c>
      <c r="K588" t="s">
        <v>1998</v>
      </c>
      <c r="L588" t="s">
        <v>2062</v>
      </c>
      <c r="M588" t="s">
        <v>2063</v>
      </c>
      <c r="N588" t="s">
        <v>1992</v>
      </c>
      <c r="O588" t="s">
        <v>1992</v>
      </c>
      <c r="P588" t="s">
        <v>1992</v>
      </c>
      <c r="Q588" t="s">
        <v>1992</v>
      </c>
      <c r="R588" t="s">
        <v>1992</v>
      </c>
      <c r="S588" t="s">
        <v>1992</v>
      </c>
      <c r="T588" t="s">
        <v>1992</v>
      </c>
      <c r="U588" t="s">
        <v>1992</v>
      </c>
      <c r="V588" t="s">
        <v>1991</v>
      </c>
      <c r="W588" t="s">
        <v>1991</v>
      </c>
      <c r="X588" t="s">
        <v>1992</v>
      </c>
      <c r="Y588" t="s">
        <v>1992</v>
      </c>
      <c r="Z588" t="s">
        <v>1992</v>
      </c>
      <c r="AF588" t="s">
        <v>2064</v>
      </c>
      <c r="AG588" t="s">
        <v>1991</v>
      </c>
      <c r="AH588">
        <v>30</v>
      </c>
      <c r="AI588">
        <v>30</v>
      </c>
      <c r="AJ588" t="s">
        <v>4510</v>
      </c>
      <c r="AK588">
        <v>9</v>
      </c>
      <c r="AM588" t="s">
        <v>4511</v>
      </c>
      <c r="BF588" t="s">
        <v>1053</v>
      </c>
      <c r="BG588" t="s">
        <v>2067</v>
      </c>
      <c r="BH588" t="s">
        <v>348</v>
      </c>
      <c r="BI588" t="s">
        <v>1053</v>
      </c>
      <c r="BK588" t="s">
        <v>1053</v>
      </c>
      <c r="BO588" t="s">
        <v>1053</v>
      </c>
      <c r="BP588" t="s">
        <v>675</v>
      </c>
      <c r="BQ588" t="s">
        <v>2073</v>
      </c>
      <c r="BR588" t="s">
        <v>1053</v>
      </c>
      <c r="BS588" t="s">
        <v>1053</v>
      </c>
      <c r="BX588" t="str">
        <f>""</f>
        <v/>
      </c>
      <c r="BY588" t="str">
        <f>""</f>
        <v/>
      </c>
      <c r="BZ588" t="str">
        <f>""</f>
        <v/>
      </c>
      <c r="CA588" t="str">
        <f>""</f>
        <v/>
      </c>
      <c r="CB588" t="str">
        <f>""</f>
        <v/>
      </c>
      <c r="CC588" t="str">
        <f>""</f>
        <v/>
      </c>
      <c r="CD588" t="str">
        <f>""</f>
        <v/>
      </c>
      <c r="CE588" t="str">
        <f>""</f>
        <v/>
      </c>
      <c r="CF588" t="str">
        <f>""</f>
        <v/>
      </c>
      <c r="CG588" t="str">
        <f>""</f>
        <v/>
      </c>
      <c r="CH588" t="str">
        <f>""</f>
        <v/>
      </c>
    </row>
    <row r="589" spans="1:86" x14ac:dyDescent="0.25">
      <c r="A589" t="s">
        <v>4512</v>
      </c>
      <c r="B589" t="s">
        <v>4513</v>
      </c>
      <c r="C589" t="s">
        <v>1992</v>
      </c>
      <c r="D589" t="s">
        <v>2010</v>
      </c>
      <c r="E589" t="s">
        <v>4514</v>
      </c>
      <c r="F589" t="s">
        <v>4515</v>
      </c>
      <c r="H589" t="s">
        <v>4516</v>
      </c>
      <c r="I589" t="s">
        <v>558</v>
      </c>
      <c r="J589" t="str">
        <f>"34470-6647"</f>
        <v>34470-6647</v>
      </c>
      <c r="K589" t="s">
        <v>1998</v>
      </c>
      <c r="L589" t="s">
        <v>408</v>
      </c>
      <c r="M589" t="s">
        <v>2063</v>
      </c>
      <c r="N589" t="s">
        <v>1992</v>
      </c>
      <c r="O589" t="s">
        <v>1992</v>
      </c>
      <c r="P589" t="s">
        <v>1992</v>
      </c>
      <c r="Q589" t="s">
        <v>1992</v>
      </c>
      <c r="R589" t="s">
        <v>1992</v>
      </c>
      <c r="S589" t="s">
        <v>1992</v>
      </c>
      <c r="T589" t="s">
        <v>1992</v>
      </c>
      <c r="U589" t="s">
        <v>1992</v>
      </c>
      <c r="V589" t="s">
        <v>1991</v>
      </c>
      <c r="W589" t="s">
        <v>1992</v>
      </c>
      <c r="X589" t="s">
        <v>1992</v>
      </c>
      <c r="Y589" t="s">
        <v>1991</v>
      </c>
      <c r="Z589" t="s">
        <v>1992</v>
      </c>
      <c r="AA589" t="s">
        <v>1992</v>
      </c>
      <c r="AF589" t="s">
        <v>2016</v>
      </c>
      <c r="AG589" t="s">
        <v>1991</v>
      </c>
      <c r="AH589">
        <v>15</v>
      </c>
      <c r="AI589">
        <v>15</v>
      </c>
      <c r="AJ589" t="s">
        <v>4517</v>
      </c>
      <c r="AK589">
        <v>69</v>
      </c>
      <c r="AM589" t="s">
        <v>4518</v>
      </c>
      <c r="BF589" t="s">
        <v>1053</v>
      </c>
      <c r="BG589" t="s">
        <v>2019</v>
      </c>
      <c r="BH589" t="s">
        <v>1139</v>
      </c>
      <c r="BI589" t="s">
        <v>1053</v>
      </c>
      <c r="BJ589" t="s">
        <v>1053</v>
      </c>
      <c r="BK589" t="s">
        <v>1053</v>
      </c>
      <c r="BL589" t="s">
        <v>1053</v>
      </c>
      <c r="BM589" t="s">
        <v>1049</v>
      </c>
      <c r="BN589" t="s">
        <v>1050</v>
      </c>
      <c r="BO589" t="s">
        <v>1053</v>
      </c>
      <c r="BP589" t="s">
        <v>653</v>
      </c>
      <c r="BQ589" t="s">
        <v>1139</v>
      </c>
      <c r="BR589" t="s">
        <v>1053</v>
      </c>
      <c r="BS589" t="s">
        <v>1053</v>
      </c>
      <c r="BT589" t="s">
        <v>1053</v>
      </c>
      <c r="BU589" t="s">
        <v>1053</v>
      </c>
      <c r="BV589" t="s">
        <v>1052</v>
      </c>
      <c r="BW589" t="s">
        <v>170</v>
      </c>
      <c r="BX589" t="str">
        <f>""</f>
        <v/>
      </c>
      <c r="BY589" t="str">
        <f>""</f>
        <v/>
      </c>
      <c r="BZ589" t="str">
        <f>""</f>
        <v/>
      </c>
      <c r="CA589" t="str">
        <f>""</f>
        <v/>
      </c>
      <c r="CB589" t="str">
        <f>""</f>
        <v/>
      </c>
      <c r="CC589" t="str">
        <f>""</f>
        <v/>
      </c>
      <c r="CD589" t="str">
        <f>""</f>
        <v/>
      </c>
      <c r="CE589" t="str">
        <f>""</f>
        <v/>
      </c>
      <c r="CF589" t="str">
        <f>""</f>
        <v/>
      </c>
      <c r="CG589" t="str">
        <f>""</f>
        <v/>
      </c>
      <c r="CH589" t="str">
        <f>""</f>
        <v/>
      </c>
    </row>
    <row r="590" spans="1:86" x14ac:dyDescent="0.25">
      <c r="A590" t="s">
        <v>4519</v>
      </c>
      <c r="B590" t="s">
        <v>4520</v>
      </c>
      <c r="C590" t="s">
        <v>1992</v>
      </c>
      <c r="D590" t="s">
        <v>2010</v>
      </c>
      <c r="E590" t="s">
        <v>4521</v>
      </c>
      <c r="F590" t="s">
        <v>4522</v>
      </c>
      <c r="H590" t="s">
        <v>4523</v>
      </c>
      <c r="I590" t="s">
        <v>2014</v>
      </c>
      <c r="J590" t="str">
        <f>"21842"</f>
        <v>21842</v>
      </c>
      <c r="K590" t="s">
        <v>1998</v>
      </c>
      <c r="L590" t="s">
        <v>2015</v>
      </c>
      <c r="M590" t="s">
        <v>2000</v>
      </c>
      <c r="N590" t="s">
        <v>1992</v>
      </c>
      <c r="O590" t="s">
        <v>1992</v>
      </c>
      <c r="P590" t="s">
        <v>1992</v>
      </c>
      <c r="Q590" t="s">
        <v>1992</v>
      </c>
      <c r="R590" t="s">
        <v>1992</v>
      </c>
      <c r="S590" t="s">
        <v>1992</v>
      </c>
      <c r="T590" t="s">
        <v>1992</v>
      </c>
      <c r="U590" t="s">
        <v>1992</v>
      </c>
      <c r="V590" t="s">
        <v>1991</v>
      </c>
      <c r="W590" t="s">
        <v>1992</v>
      </c>
      <c r="X590" t="s">
        <v>1992</v>
      </c>
      <c r="Y590" t="s">
        <v>1992</v>
      </c>
      <c r="Z590" t="s">
        <v>1991</v>
      </c>
      <c r="AF590" t="s">
        <v>2016</v>
      </c>
      <c r="AG590" t="s">
        <v>1991</v>
      </c>
      <c r="AH590">
        <v>30</v>
      </c>
      <c r="AI590">
        <v>30</v>
      </c>
      <c r="AJ590" t="s">
        <v>4524</v>
      </c>
      <c r="AK590">
        <v>7</v>
      </c>
      <c r="BX590" t="str">
        <f>"SMTWTFS 0700-1800"</f>
        <v>SMTWTFS 0700-1800</v>
      </c>
      <c r="BY590" t="str">
        <f>""</f>
        <v/>
      </c>
      <c r="BZ590" t="str">
        <f>""</f>
        <v/>
      </c>
      <c r="CA590" t="str">
        <f>""</f>
        <v/>
      </c>
      <c r="CB590" t="str">
        <f>"SMTWTFS 0700-1800"</f>
        <v>SMTWTFS 0700-1800</v>
      </c>
      <c r="CC590" t="str">
        <f>""</f>
        <v/>
      </c>
      <c r="CD590" t="str">
        <f>""</f>
        <v/>
      </c>
      <c r="CE590" t="str">
        <f>""</f>
        <v/>
      </c>
      <c r="CF590" t="str">
        <f>""</f>
        <v/>
      </c>
      <c r="CG590" t="str">
        <f>""</f>
        <v/>
      </c>
      <c r="CH590" t="str">
        <f>""</f>
        <v/>
      </c>
    </row>
    <row r="591" spans="1:86" x14ac:dyDescent="0.25">
      <c r="A591" t="s">
        <v>4525</v>
      </c>
      <c r="B591" t="s">
        <v>4526</v>
      </c>
      <c r="C591" t="s">
        <v>1992</v>
      </c>
      <c r="D591" t="s">
        <v>1993</v>
      </c>
      <c r="E591" t="s">
        <v>4527</v>
      </c>
      <c r="F591" t="s">
        <v>3294</v>
      </c>
      <c r="H591" t="s">
        <v>4528</v>
      </c>
      <c r="I591" t="s">
        <v>1997</v>
      </c>
      <c r="J591" t="str">
        <f>"54153"</f>
        <v>54153</v>
      </c>
      <c r="K591" t="s">
        <v>1998</v>
      </c>
      <c r="L591" t="s">
        <v>1999</v>
      </c>
      <c r="M591" t="s">
        <v>2063</v>
      </c>
      <c r="N591" t="s">
        <v>1992</v>
      </c>
      <c r="O591" t="s">
        <v>1992</v>
      </c>
      <c r="P591" t="s">
        <v>1992</v>
      </c>
      <c r="Q591" t="s">
        <v>1992</v>
      </c>
      <c r="R591" t="s">
        <v>1992</v>
      </c>
      <c r="S591" t="s">
        <v>1992</v>
      </c>
      <c r="T591" t="s">
        <v>1992</v>
      </c>
      <c r="U591" t="s">
        <v>1992</v>
      </c>
      <c r="V591" t="s">
        <v>1991</v>
      </c>
      <c r="W591" t="s">
        <v>1992</v>
      </c>
      <c r="X591" t="s">
        <v>1992</v>
      </c>
      <c r="Y591" t="s">
        <v>1992</v>
      </c>
      <c r="Z591" t="s">
        <v>1991</v>
      </c>
      <c r="AF591" t="s">
        <v>2001</v>
      </c>
      <c r="AG591" t="s">
        <v>1991</v>
      </c>
      <c r="AH591">
        <v>15</v>
      </c>
      <c r="AI591">
        <v>15</v>
      </c>
      <c r="AJ591" t="s">
        <v>4529</v>
      </c>
      <c r="AK591">
        <v>595</v>
      </c>
      <c r="BF591" t="s">
        <v>1053</v>
      </c>
      <c r="BG591" t="s">
        <v>2003</v>
      </c>
      <c r="BH591" t="s">
        <v>2004</v>
      </c>
      <c r="BI591" t="s">
        <v>1053</v>
      </c>
      <c r="BK591" t="s">
        <v>1053</v>
      </c>
      <c r="BM591" t="s">
        <v>287</v>
      </c>
      <c r="BO591" t="s">
        <v>1053</v>
      </c>
      <c r="BP591" t="s">
        <v>2005</v>
      </c>
      <c r="BQ591" t="s">
        <v>2006</v>
      </c>
      <c r="BR591" t="s">
        <v>1053</v>
      </c>
      <c r="BS591" t="s">
        <v>1053</v>
      </c>
      <c r="BT591" t="s">
        <v>1053</v>
      </c>
      <c r="BU591" t="s">
        <v>1053</v>
      </c>
      <c r="BX591" t="str">
        <f>""</f>
        <v/>
      </c>
      <c r="BY591" t="str">
        <f>""</f>
        <v/>
      </c>
      <c r="BZ591" t="str">
        <f>""</f>
        <v/>
      </c>
      <c r="CA591" t="str">
        <f>""</f>
        <v/>
      </c>
      <c r="CB591" t="str">
        <f>""</f>
        <v/>
      </c>
      <c r="CC591" t="str">
        <f>""</f>
        <v/>
      </c>
      <c r="CD591" t="str">
        <f>""</f>
        <v/>
      </c>
      <c r="CE591" t="str">
        <f>""</f>
        <v/>
      </c>
      <c r="CF591" t="str">
        <f>""</f>
        <v/>
      </c>
      <c r="CG591" t="str">
        <f>""</f>
        <v/>
      </c>
      <c r="CH591" t="str">
        <f>""</f>
        <v/>
      </c>
    </row>
    <row r="592" spans="1:86" x14ac:dyDescent="0.25">
      <c r="A592" t="s">
        <v>4530</v>
      </c>
      <c r="B592" t="s">
        <v>4531</v>
      </c>
      <c r="C592" t="s">
        <v>1992</v>
      </c>
      <c r="D592" t="s">
        <v>1993</v>
      </c>
      <c r="E592" t="s">
        <v>4532</v>
      </c>
      <c r="F592" t="s">
        <v>4533</v>
      </c>
      <c r="H592" t="s">
        <v>659</v>
      </c>
      <c r="I592" t="s">
        <v>2014</v>
      </c>
      <c r="J592" t="str">
        <f>"21811-4010"</f>
        <v>21811-4010</v>
      </c>
      <c r="K592" t="s">
        <v>1998</v>
      </c>
      <c r="L592" t="s">
        <v>2015</v>
      </c>
      <c r="M592" t="s">
        <v>2000</v>
      </c>
      <c r="N592" t="s">
        <v>1992</v>
      </c>
      <c r="O592" t="s">
        <v>1992</v>
      </c>
      <c r="P592" t="s">
        <v>1992</v>
      </c>
      <c r="Q592" t="s">
        <v>1992</v>
      </c>
      <c r="R592" t="s">
        <v>1992</v>
      </c>
      <c r="S592" t="s">
        <v>1992</v>
      </c>
      <c r="T592" t="s">
        <v>1992</v>
      </c>
      <c r="U592" t="s">
        <v>1992</v>
      </c>
      <c r="V592" t="s">
        <v>1991</v>
      </c>
      <c r="Z592" t="s">
        <v>1991</v>
      </c>
      <c r="AF592" t="s">
        <v>2016</v>
      </c>
      <c r="AG592" t="s">
        <v>1991</v>
      </c>
      <c r="AH592">
        <v>15</v>
      </c>
      <c r="AI592">
        <v>15</v>
      </c>
      <c r="AJ592" t="s">
        <v>4534</v>
      </c>
      <c r="AK592">
        <v>13</v>
      </c>
      <c r="BX592" t="str">
        <f>""</f>
        <v/>
      </c>
      <c r="BY592" t="str">
        <f>""</f>
        <v/>
      </c>
      <c r="BZ592" t="str">
        <f>""</f>
        <v/>
      </c>
      <c r="CA592" t="str">
        <f>""</f>
        <v/>
      </c>
      <c r="CB592" t="str">
        <f>""</f>
        <v/>
      </c>
      <c r="CC592" t="str">
        <f>""</f>
        <v/>
      </c>
      <c r="CD592" t="str">
        <f>""</f>
        <v/>
      </c>
      <c r="CE592" t="str">
        <f>""</f>
        <v/>
      </c>
      <c r="CF592" t="str">
        <f>""</f>
        <v/>
      </c>
      <c r="CG592" t="str">
        <f>""</f>
        <v/>
      </c>
      <c r="CH592" t="str">
        <f>""</f>
        <v/>
      </c>
    </row>
    <row r="593" spans="1:86" x14ac:dyDescent="0.25">
      <c r="A593" t="s">
        <v>4535</v>
      </c>
      <c r="B593" t="s">
        <v>4536</v>
      </c>
      <c r="C593" t="s">
        <v>1992</v>
      </c>
      <c r="D593" t="s">
        <v>2010</v>
      </c>
      <c r="E593" t="s">
        <v>4537</v>
      </c>
      <c r="F593" t="s">
        <v>828</v>
      </c>
      <c r="H593" t="s">
        <v>4538</v>
      </c>
      <c r="I593" t="s">
        <v>5059</v>
      </c>
      <c r="J593" t="str">
        <f>"84401"</f>
        <v>84401</v>
      </c>
      <c r="K593" t="s">
        <v>1998</v>
      </c>
      <c r="L593" t="s">
        <v>2062</v>
      </c>
      <c r="M593" t="s">
        <v>4539</v>
      </c>
      <c r="N593" t="s">
        <v>1992</v>
      </c>
      <c r="O593" t="s">
        <v>1992</v>
      </c>
      <c r="P593" t="s">
        <v>1992</v>
      </c>
      <c r="Q593" t="s">
        <v>1992</v>
      </c>
      <c r="R593" t="s">
        <v>1992</v>
      </c>
      <c r="S593" t="s">
        <v>1992</v>
      </c>
      <c r="T593" t="s">
        <v>1992</v>
      </c>
      <c r="U593" t="s">
        <v>1992</v>
      </c>
      <c r="V593" t="s">
        <v>1991</v>
      </c>
      <c r="W593" t="s">
        <v>1992</v>
      </c>
      <c r="X593" t="s">
        <v>1992</v>
      </c>
      <c r="Y593" t="s">
        <v>1992</v>
      </c>
      <c r="Z593" t="s">
        <v>1991</v>
      </c>
      <c r="AF593" t="s">
        <v>2048</v>
      </c>
      <c r="AG593" t="s">
        <v>1991</v>
      </c>
      <c r="AH593">
        <v>30</v>
      </c>
      <c r="AI593">
        <v>30</v>
      </c>
      <c r="AJ593" t="s">
        <v>4540</v>
      </c>
      <c r="AK593">
        <v>4298</v>
      </c>
      <c r="AN593" t="s">
        <v>4541</v>
      </c>
      <c r="AO593" t="s">
        <v>1053</v>
      </c>
      <c r="BF593" t="s">
        <v>1053</v>
      </c>
      <c r="BG593" t="s">
        <v>1157</v>
      </c>
      <c r="BH593" t="s">
        <v>4542</v>
      </c>
      <c r="BI593" t="s">
        <v>1053</v>
      </c>
      <c r="BK593" t="s">
        <v>1053</v>
      </c>
      <c r="BX593" t="str">
        <f>""</f>
        <v/>
      </c>
      <c r="BY593" t="str">
        <f>""</f>
        <v/>
      </c>
      <c r="BZ593" t="str">
        <f>""</f>
        <v/>
      </c>
      <c r="CA593" t="str">
        <f>""</f>
        <v/>
      </c>
      <c r="CB593" t="str">
        <f>""</f>
        <v/>
      </c>
      <c r="CC593" t="str">
        <f>""</f>
        <v/>
      </c>
      <c r="CD593" t="str">
        <f>""</f>
        <v/>
      </c>
      <c r="CE593" t="str">
        <f>""</f>
        <v/>
      </c>
      <c r="CF593" t="str">
        <f>""</f>
        <v/>
      </c>
      <c r="CG593" t="str">
        <f>""</f>
        <v/>
      </c>
      <c r="CH593" t="str">
        <f>""</f>
        <v/>
      </c>
    </row>
    <row r="594" spans="1:86" x14ac:dyDescent="0.25">
      <c r="A594" t="s">
        <v>4543</v>
      </c>
      <c r="B594" t="s">
        <v>4544</v>
      </c>
      <c r="C594" t="s">
        <v>1992</v>
      </c>
      <c r="D594" t="s">
        <v>2028</v>
      </c>
      <c r="E594" t="s">
        <v>4545</v>
      </c>
      <c r="F594" t="s">
        <v>3548</v>
      </c>
      <c r="H594" t="s">
        <v>4546</v>
      </c>
      <c r="I594" t="s">
        <v>2061</v>
      </c>
      <c r="J594" t="str">
        <f>"92866"</f>
        <v>92866</v>
      </c>
      <c r="K594" t="s">
        <v>1998</v>
      </c>
      <c r="L594" t="s">
        <v>2045</v>
      </c>
      <c r="M594" t="s">
        <v>2063</v>
      </c>
      <c r="N594" t="s">
        <v>1992</v>
      </c>
      <c r="O594" t="s">
        <v>1992</v>
      </c>
      <c r="P594" t="s">
        <v>1991</v>
      </c>
      <c r="Q594" t="s">
        <v>1992</v>
      </c>
      <c r="R594" t="s">
        <v>1992</v>
      </c>
      <c r="S594" t="s">
        <v>1992</v>
      </c>
      <c r="T594" t="s">
        <v>1992</v>
      </c>
      <c r="U594" t="s">
        <v>1992</v>
      </c>
      <c r="V594" t="s">
        <v>1991</v>
      </c>
      <c r="W594" t="s">
        <v>1991</v>
      </c>
      <c r="X594" t="s">
        <v>1991</v>
      </c>
      <c r="Y594" t="s">
        <v>1992</v>
      </c>
      <c r="Z594" t="s">
        <v>1992</v>
      </c>
      <c r="AF594" t="s">
        <v>2064</v>
      </c>
      <c r="AG594" t="s">
        <v>1991</v>
      </c>
      <c r="AH594">
        <v>15</v>
      </c>
      <c r="AI594">
        <v>15</v>
      </c>
      <c r="AJ594" t="s">
        <v>4547</v>
      </c>
      <c r="AK594">
        <v>180</v>
      </c>
      <c r="BF594" t="s">
        <v>1053</v>
      </c>
      <c r="BG594" t="s">
        <v>2067</v>
      </c>
      <c r="BH594" t="s">
        <v>851</v>
      </c>
      <c r="BI594" t="s">
        <v>1053</v>
      </c>
      <c r="BK594" t="s">
        <v>1053</v>
      </c>
      <c r="BM594" t="s">
        <v>276</v>
      </c>
      <c r="BN594" t="s">
        <v>277</v>
      </c>
      <c r="BO594" t="s">
        <v>1053</v>
      </c>
      <c r="BP594" t="s">
        <v>2375</v>
      </c>
      <c r="BQ594" t="s">
        <v>1754</v>
      </c>
      <c r="BR594" t="s">
        <v>1053</v>
      </c>
      <c r="BT594" t="s">
        <v>1053</v>
      </c>
      <c r="BV594" t="s">
        <v>3029</v>
      </c>
      <c r="BW594" t="s">
        <v>1759</v>
      </c>
      <c r="BX594" t="str">
        <f>""</f>
        <v/>
      </c>
      <c r="BY594" t="str">
        <f>""</f>
        <v/>
      </c>
      <c r="BZ594" t="str">
        <f>""</f>
        <v/>
      </c>
      <c r="CA594" t="str">
        <f>""</f>
        <v/>
      </c>
      <c r="CB594" t="str">
        <f>""</f>
        <v/>
      </c>
      <c r="CC594" t="str">
        <f>""</f>
        <v/>
      </c>
      <c r="CD594" t="str">
        <f>"SMTWTFS 0000-2359"</f>
        <v>SMTWTFS 0000-2359</v>
      </c>
      <c r="CE594" t="str">
        <f>""</f>
        <v/>
      </c>
      <c r="CF594" t="str">
        <f>""</f>
        <v/>
      </c>
      <c r="CG594" t="str">
        <f>""</f>
        <v/>
      </c>
      <c r="CH594" t="str">
        <f>""</f>
        <v/>
      </c>
    </row>
    <row r="595" spans="1:86" x14ac:dyDescent="0.25">
      <c r="A595" t="s">
        <v>4548</v>
      </c>
      <c r="B595" t="s">
        <v>4549</v>
      </c>
      <c r="C595" t="s">
        <v>1992</v>
      </c>
      <c r="D595" t="s">
        <v>1993</v>
      </c>
      <c r="E595" t="s">
        <v>4550</v>
      </c>
      <c r="F595" t="s">
        <v>4551</v>
      </c>
      <c r="H595" t="s">
        <v>4552</v>
      </c>
      <c r="I595" t="s">
        <v>576</v>
      </c>
      <c r="J595" t="str">
        <f>"98840"</f>
        <v>98840</v>
      </c>
      <c r="K595" t="s">
        <v>1998</v>
      </c>
      <c r="L595" t="s">
        <v>2062</v>
      </c>
      <c r="M595" t="s">
        <v>2000</v>
      </c>
      <c r="N595" t="s">
        <v>1992</v>
      </c>
      <c r="O595" t="s">
        <v>1992</v>
      </c>
      <c r="P595" t="s">
        <v>1992</v>
      </c>
      <c r="Q595" t="s">
        <v>1992</v>
      </c>
      <c r="R595" t="s">
        <v>1992</v>
      </c>
      <c r="S595" t="s">
        <v>1992</v>
      </c>
      <c r="T595" t="s">
        <v>1992</v>
      </c>
      <c r="U595" t="s">
        <v>1992</v>
      </c>
      <c r="V595" t="s">
        <v>1991</v>
      </c>
      <c r="W595" t="s">
        <v>1992</v>
      </c>
      <c r="X595" t="s">
        <v>1992</v>
      </c>
      <c r="Y595" t="s">
        <v>1992</v>
      </c>
      <c r="Z595" t="s">
        <v>1991</v>
      </c>
      <c r="AF595" t="s">
        <v>2064</v>
      </c>
      <c r="AG595" t="s">
        <v>1991</v>
      </c>
      <c r="AH595">
        <v>30</v>
      </c>
      <c r="AI595">
        <v>30</v>
      </c>
      <c r="AJ595" t="s">
        <v>4553</v>
      </c>
      <c r="AK595">
        <v>843</v>
      </c>
      <c r="AM595" t="s">
        <v>2298</v>
      </c>
      <c r="AN595" t="s">
        <v>4554</v>
      </c>
      <c r="AO595" t="s">
        <v>1053</v>
      </c>
      <c r="BF595" t="s">
        <v>1053</v>
      </c>
      <c r="BG595" t="s">
        <v>394</v>
      </c>
      <c r="BH595" t="s">
        <v>311</v>
      </c>
      <c r="BI595" t="s">
        <v>1053</v>
      </c>
      <c r="BJ595" t="s">
        <v>1053</v>
      </c>
      <c r="BK595" t="s">
        <v>1053</v>
      </c>
      <c r="BL595" t="s">
        <v>1053</v>
      </c>
      <c r="BX595" t="str">
        <f>""</f>
        <v/>
      </c>
      <c r="BY595" t="str">
        <f>""</f>
        <v/>
      </c>
      <c r="BZ595" t="str">
        <f>""</f>
        <v/>
      </c>
      <c r="CA595" t="str">
        <f>""</f>
        <v/>
      </c>
      <c r="CB595" t="str">
        <f>""</f>
        <v/>
      </c>
      <c r="CC595" t="str">
        <f>""</f>
        <v/>
      </c>
      <c r="CD595" t="str">
        <f>""</f>
        <v/>
      </c>
      <c r="CE595" t="str">
        <f>""</f>
        <v/>
      </c>
      <c r="CF595" t="str">
        <f>""</f>
        <v/>
      </c>
      <c r="CG595" t="str">
        <f>""</f>
        <v/>
      </c>
      <c r="CH595" t="str">
        <f>""</f>
        <v/>
      </c>
    </row>
    <row r="596" spans="1:86" x14ac:dyDescent="0.25">
      <c r="A596" t="s">
        <v>4555</v>
      </c>
      <c r="B596" t="s">
        <v>4556</v>
      </c>
      <c r="C596" t="s">
        <v>1992</v>
      </c>
      <c r="D596" t="s">
        <v>2010</v>
      </c>
      <c r="E596" t="s">
        <v>4557</v>
      </c>
      <c r="H596" t="s">
        <v>4558</v>
      </c>
      <c r="I596" t="s">
        <v>2095</v>
      </c>
      <c r="J596" t="str">
        <f>"73102"</f>
        <v>73102</v>
      </c>
      <c r="K596" t="s">
        <v>1998</v>
      </c>
      <c r="L596" t="s">
        <v>2045</v>
      </c>
      <c r="M596" t="s">
        <v>2000</v>
      </c>
      <c r="N596" t="s">
        <v>1992</v>
      </c>
      <c r="O596" t="s">
        <v>1991</v>
      </c>
      <c r="P596" t="s">
        <v>1992</v>
      </c>
      <c r="Q596" t="s">
        <v>1992</v>
      </c>
      <c r="R596" t="s">
        <v>1992</v>
      </c>
      <c r="S596" t="s">
        <v>1992</v>
      </c>
      <c r="T596" t="s">
        <v>1992</v>
      </c>
      <c r="U596" t="s">
        <v>1992</v>
      </c>
      <c r="V596" t="s">
        <v>1991</v>
      </c>
      <c r="W596" t="s">
        <v>1991</v>
      </c>
      <c r="X596" t="s">
        <v>1992</v>
      </c>
      <c r="Y596" t="s">
        <v>1992</v>
      </c>
      <c r="Z596" t="s">
        <v>1992</v>
      </c>
      <c r="AF596" t="s">
        <v>2001</v>
      </c>
      <c r="AG596" t="s">
        <v>1991</v>
      </c>
      <c r="AH596">
        <v>30</v>
      </c>
      <c r="AI596">
        <v>30</v>
      </c>
      <c r="AJ596" t="s">
        <v>4559</v>
      </c>
      <c r="AK596">
        <v>1207</v>
      </c>
      <c r="AL596">
        <v>551789</v>
      </c>
      <c r="AN596" t="s">
        <v>4560</v>
      </c>
      <c r="AO596" t="s">
        <v>2063</v>
      </c>
      <c r="BF596" t="s">
        <v>1053</v>
      </c>
      <c r="BG596" t="s">
        <v>2097</v>
      </c>
      <c r="BH596" t="s">
        <v>2098</v>
      </c>
      <c r="BI596" t="s">
        <v>1053</v>
      </c>
      <c r="BJ596" t="s">
        <v>2069</v>
      </c>
      <c r="BK596" t="s">
        <v>1053</v>
      </c>
      <c r="BL596" t="s">
        <v>2069</v>
      </c>
      <c r="BM596" t="s">
        <v>2099</v>
      </c>
      <c r="BN596" t="s">
        <v>2100</v>
      </c>
      <c r="BO596" t="s">
        <v>1053</v>
      </c>
      <c r="BP596" t="s">
        <v>2101</v>
      </c>
      <c r="BQ596" t="s">
        <v>2055</v>
      </c>
      <c r="BR596" t="s">
        <v>1053</v>
      </c>
      <c r="BS596" t="s">
        <v>1053</v>
      </c>
      <c r="BT596" t="s">
        <v>1053</v>
      </c>
      <c r="BU596" t="s">
        <v>1053</v>
      </c>
      <c r="BV596" t="s">
        <v>2056</v>
      </c>
      <c r="BX596" t="str">
        <f>"SMTWTFS 0730-0845 2100-2300"</f>
        <v>SMTWTFS 0730-0845 2100-2300</v>
      </c>
      <c r="BY596" t="str">
        <f>""</f>
        <v/>
      </c>
      <c r="BZ596" t="str">
        <f>""</f>
        <v/>
      </c>
      <c r="CA596" t="str">
        <f>""</f>
        <v/>
      </c>
      <c r="CB596" t="str">
        <f>""</f>
        <v/>
      </c>
      <c r="CC596" t="str">
        <f>"SMTWTFS 0730-0845 2100-2300"</f>
        <v>SMTWTFS 0730-0845 2100-2300</v>
      </c>
      <c r="CD596" t="str">
        <f>""</f>
        <v/>
      </c>
      <c r="CE596" t="str">
        <f>""</f>
        <v/>
      </c>
      <c r="CF596" t="str">
        <f>""</f>
        <v/>
      </c>
      <c r="CG596" t="str">
        <f>""</f>
        <v/>
      </c>
      <c r="CH596" t="str">
        <f>""</f>
        <v/>
      </c>
    </row>
    <row r="597" spans="1:86" x14ac:dyDescent="0.25">
      <c r="A597" t="s">
        <v>4561</v>
      </c>
      <c r="B597" t="s">
        <v>4562</v>
      </c>
      <c r="C597" t="s">
        <v>1992</v>
      </c>
      <c r="D597" t="s">
        <v>2028</v>
      </c>
      <c r="E597" t="s">
        <v>4563</v>
      </c>
      <c r="H597" t="s">
        <v>4564</v>
      </c>
      <c r="I597" t="s">
        <v>558</v>
      </c>
      <c r="J597" t="str">
        <f>"34972-2130"</f>
        <v>34972-2130</v>
      </c>
      <c r="K597" t="s">
        <v>1998</v>
      </c>
      <c r="L597" t="s">
        <v>408</v>
      </c>
      <c r="M597" t="s">
        <v>2063</v>
      </c>
      <c r="N597" t="s">
        <v>1992</v>
      </c>
      <c r="O597" t="s">
        <v>1992</v>
      </c>
      <c r="P597" t="s">
        <v>1992</v>
      </c>
      <c r="Q597" t="s">
        <v>1992</v>
      </c>
      <c r="R597" t="s">
        <v>1992</v>
      </c>
      <c r="S597" t="s">
        <v>1992</v>
      </c>
      <c r="T597" t="s">
        <v>1992</v>
      </c>
      <c r="U597" t="s">
        <v>1992</v>
      </c>
      <c r="V597" t="s">
        <v>1991</v>
      </c>
      <c r="W597" t="s">
        <v>1991</v>
      </c>
      <c r="X597" t="s">
        <v>1992</v>
      </c>
      <c r="Y597" t="s">
        <v>1992</v>
      </c>
      <c r="Z597" t="s">
        <v>1992</v>
      </c>
      <c r="AA597" t="s">
        <v>1992</v>
      </c>
      <c r="AF597" t="s">
        <v>2016</v>
      </c>
      <c r="AG597" t="s">
        <v>1991</v>
      </c>
      <c r="AH597">
        <v>30</v>
      </c>
      <c r="AI597">
        <v>30</v>
      </c>
      <c r="AJ597" t="s">
        <v>4565</v>
      </c>
      <c r="AK597">
        <v>29</v>
      </c>
      <c r="AL597">
        <v>6000</v>
      </c>
      <c r="BF597" t="s">
        <v>1053</v>
      </c>
      <c r="BG597" t="s">
        <v>2019</v>
      </c>
      <c r="BH597" t="s">
        <v>2127</v>
      </c>
      <c r="BI597" t="s">
        <v>1053</v>
      </c>
      <c r="BJ597" t="s">
        <v>2069</v>
      </c>
      <c r="BK597" t="s">
        <v>1053</v>
      </c>
      <c r="BL597" t="s">
        <v>2069</v>
      </c>
      <c r="BM597" t="s">
        <v>1052</v>
      </c>
      <c r="BN597" t="s">
        <v>3514</v>
      </c>
      <c r="BO597" t="s">
        <v>1053</v>
      </c>
      <c r="BP597" t="s">
        <v>4566</v>
      </c>
      <c r="BQ597" t="s">
        <v>564</v>
      </c>
      <c r="BR597" t="s">
        <v>1053</v>
      </c>
      <c r="BS597" t="s">
        <v>1053</v>
      </c>
      <c r="BT597" t="s">
        <v>1053</v>
      </c>
      <c r="BU597" t="s">
        <v>2069</v>
      </c>
      <c r="BV597" t="s">
        <v>1052</v>
      </c>
      <c r="BW597" t="s">
        <v>357</v>
      </c>
      <c r="BX597" t="str">
        <f>""</f>
        <v/>
      </c>
      <c r="BY597" t="str">
        <f>""</f>
        <v/>
      </c>
      <c r="BZ597" t="str">
        <f>""</f>
        <v/>
      </c>
      <c r="CA597" t="str">
        <f>""</f>
        <v/>
      </c>
      <c r="CB597" t="str">
        <f>""</f>
        <v/>
      </c>
      <c r="CC597" t="str">
        <f>""</f>
        <v/>
      </c>
      <c r="CD597" t="str">
        <f>""</f>
        <v/>
      </c>
      <c r="CE597" t="str">
        <f>""</f>
        <v/>
      </c>
      <c r="CF597" t="str">
        <f>""</f>
        <v/>
      </c>
      <c r="CG597" t="str">
        <f>""</f>
        <v/>
      </c>
      <c r="CH597" t="str">
        <f>""</f>
        <v/>
      </c>
    </row>
    <row r="598" spans="1:86" x14ac:dyDescent="0.25">
      <c r="A598" t="s">
        <v>4567</v>
      </c>
      <c r="B598" t="s">
        <v>4568</v>
      </c>
      <c r="C598" t="s">
        <v>1991</v>
      </c>
      <c r="D598" t="s">
        <v>2010</v>
      </c>
      <c r="E598" t="s">
        <v>4569</v>
      </c>
      <c r="H598" t="s">
        <v>1814</v>
      </c>
      <c r="I598" t="s">
        <v>2061</v>
      </c>
      <c r="J598" t="str">
        <f>"94607"</f>
        <v>94607</v>
      </c>
      <c r="K598" t="s">
        <v>1998</v>
      </c>
      <c r="L598" t="s">
        <v>2062</v>
      </c>
      <c r="M598" t="s">
        <v>4570</v>
      </c>
      <c r="N598" t="s">
        <v>1991</v>
      </c>
      <c r="O598" t="s">
        <v>1991</v>
      </c>
      <c r="P598" t="s">
        <v>1992</v>
      </c>
      <c r="Q598" t="s">
        <v>1991</v>
      </c>
      <c r="R598" t="s">
        <v>1991</v>
      </c>
      <c r="S598" t="s">
        <v>1992</v>
      </c>
      <c r="T598" t="s">
        <v>1992</v>
      </c>
      <c r="U598" t="s">
        <v>1991</v>
      </c>
      <c r="V598" t="s">
        <v>1991</v>
      </c>
      <c r="W598" t="s">
        <v>1991</v>
      </c>
      <c r="X598" t="s">
        <v>1992</v>
      </c>
      <c r="Y598" t="s">
        <v>1992</v>
      </c>
      <c r="Z598" t="s">
        <v>1992</v>
      </c>
      <c r="AA598" t="s">
        <v>1991</v>
      </c>
      <c r="AE598" t="s">
        <v>2047</v>
      </c>
      <c r="AF598" t="s">
        <v>2064</v>
      </c>
      <c r="AG598" t="s">
        <v>1991</v>
      </c>
      <c r="AH598">
        <v>60</v>
      </c>
      <c r="AI598">
        <v>30</v>
      </c>
      <c r="AJ598" t="s">
        <v>4571</v>
      </c>
      <c r="AK598">
        <v>13</v>
      </c>
      <c r="AL598">
        <v>400000</v>
      </c>
      <c r="AM598" t="s">
        <v>2298</v>
      </c>
      <c r="AN598" t="s">
        <v>1053</v>
      </c>
      <c r="AO598" t="s">
        <v>1053</v>
      </c>
      <c r="AP598" t="s">
        <v>1053</v>
      </c>
      <c r="AQ598" t="s">
        <v>1053</v>
      </c>
      <c r="AR598" t="s">
        <v>1053</v>
      </c>
      <c r="AS598" t="s">
        <v>4567</v>
      </c>
      <c r="AT598" t="s">
        <v>2075</v>
      </c>
      <c r="AU598" t="s">
        <v>1414</v>
      </c>
      <c r="BB598" t="s">
        <v>1053</v>
      </c>
      <c r="BC598" t="s">
        <v>1053</v>
      </c>
      <c r="BD598" t="s">
        <v>1053</v>
      </c>
      <c r="BE598" t="s">
        <v>1053</v>
      </c>
      <c r="BF598" t="s">
        <v>1053</v>
      </c>
      <c r="BG598" t="s">
        <v>2067</v>
      </c>
      <c r="BH598" t="s">
        <v>3489</v>
      </c>
      <c r="BI598" t="s">
        <v>1053</v>
      </c>
      <c r="BK598" t="s">
        <v>1053</v>
      </c>
      <c r="BO598" t="s">
        <v>1053</v>
      </c>
      <c r="BP598" t="s">
        <v>4572</v>
      </c>
      <c r="BQ598" t="s">
        <v>2073</v>
      </c>
      <c r="BR598" t="s">
        <v>1053</v>
      </c>
      <c r="BS598" t="s">
        <v>1053</v>
      </c>
      <c r="BX598" t="str">
        <f>"S-----S 0530-2330; -MTWTF- 0415-2330"</f>
        <v>S-----S 0530-2330; -MTWTF- 0415-2330</v>
      </c>
      <c r="BY598" t="str">
        <f>"SMTWTFS 0615-2300"</f>
        <v>SMTWTFS 0615-2300</v>
      </c>
      <c r="BZ598" t="str">
        <f>"SMTWTFS 0415-2315"</f>
        <v>SMTWTFS 0415-2315</v>
      </c>
      <c r="CA598" t="str">
        <f>"S-----S 0530-2300; -MTWTF- 0415-2300"</f>
        <v>S-----S 0530-2300; -MTWTF- 0415-2300</v>
      </c>
      <c r="CB598" t="str">
        <f>""</f>
        <v/>
      </c>
      <c r="CC598" t="str">
        <f>"S-----S 0530-2330; -MTWTF- 0415-2330"</f>
        <v>S-----S 0530-2330; -MTWTF- 0415-2330</v>
      </c>
      <c r="CD598" t="str">
        <f>""</f>
        <v/>
      </c>
      <c r="CE598" t="str">
        <f>""</f>
        <v/>
      </c>
      <c r="CF598" t="str">
        <f>"SMTWTFS 1100-1900"</f>
        <v>SMTWTFS 1100-1900</v>
      </c>
      <c r="CG598" t="str">
        <f>""</f>
        <v/>
      </c>
      <c r="CH598" t="str">
        <f>"SMTWTFS 0001-2359"</f>
        <v>SMTWTFS 0001-2359</v>
      </c>
    </row>
    <row r="599" spans="1:86" x14ac:dyDescent="0.25">
      <c r="A599" t="s">
        <v>4573</v>
      </c>
      <c r="B599" t="s">
        <v>4574</v>
      </c>
      <c r="C599" t="s">
        <v>1991</v>
      </c>
      <c r="D599" t="s">
        <v>2010</v>
      </c>
      <c r="E599" t="s">
        <v>4575</v>
      </c>
      <c r="H599" t="s">
        <v>4576</v>
      </c>
      <c r="I599" t="s">
        <v>372</v>
      </c>
      <c r="J599" t="str">
        <f>"L6J 2W6"</f>
        <v>L6J 2W6</v>
      </c>
      <c r="K599" t="s">
        <v>373</v>
      </c>
      <c r="L599" t="s">
        <v>374</v>
      </c>
      <c r="M599" t="s">
        <v>375</v>
      </c>
      <c r="N599" t="s">
        <v>1991</v>
      </c>
      <c r="O599" t="s">
        <v>1992</v>
      </c>
      <c r="P599" t="s">
        <v>1992</v>
      </c>
      <c r="Q599" t="s">
        <v>1992</v>
      </c>
      <c r="R599" t="s">
        <v>1992</v>
      </c>
      <c r="S599" t="s">
        <v>1992</v>
      </c>
      <c r="T599" t="s">
        <v>1992</v>
      </c>
      <c r="U599" t="s">
        <v>1992</v>
      </c>
      <c r="V599" t="s">
        <v>1991</v>
      </c>
      <c r="W599" t="s">
        <v>1991</v>
      </c>
      <c r="X599" t="s">
        <v>1991</v>
      </c>
      <c r="Y599" t="s">
        <v>1992</v>
      </c>
      <c r="Z599" t="s">
        <v>1992</v>
      </c>
      <c r="AC599" t="s">
        <v>4577</v>
      </c>
      <c r="AD599" t="s">
        <v>4578</v>
      </c>
      <c r="AE599" t="s">
        <v>296</v>
      </c>
      <c r="AF599" t="s">
        <v>2016</v>
      </c>
      <c r="AG599" t="s">
        <v>1991</v>
      </c>
      <c r="AH599">
        <v>30</v>
      </c>
      <c r="AI599">
        <v>30</v>
      </c>
      <c r="AJ599" t="s">
        <v>4579</v>
      </c>
      <c r="AK599">
        <v>328</v>
      </c>
      <c r="AL599">
        <v>90000</v>
      </c>
      <c r="AM599" t="s">
        <v>379</v>
      </c>
      <c r="AN599" t="s">
        <v>380</v>
      </c>
      <c r="AO599" t="s">
        <v>1053</v>
      </c>
      <c r="AP599" t="s">
        <v>2069</v>
      </c>
      <c r="AQ599" t="s">
        <v>2063</v>
      </c>
      <c r="AR599" t="s">
        <v>2069</v>
      </c>
      <c r="AS599">
        <v>0</v>
      </c>
      <c r="AT599" t="s">
        <v>357</v>
      </c>
      <c r="AU599" t="s">
        <v>380</v>
      </c>
      <c r="AV599" t="s">
        <v>1053</v>
      </c>
      <c r="AW599" t="s">
        <v>2069</v>
      </c>
      <c r="AX599" t="s">
        <v>2063</v>
      </c>
      <c r="AY599" t="s">
        <v>2069</v>
      </c>
      <c r="AZ599">
        <v>0</v>
      </c>
      <c r="BA599" t="s">
        <v>357</v>
      </c>
      <c r="BB599" t="s">
        <v>1053</v>
      </c>
      <c r="BC599" t="s">
        <v>2069</v>
      </c>
      <c r="BD599" t="s">
        <v>1053</v>
      </c>
      <c r="BE599" t="s">
        <v>2069</v>
      </c>
      <c r="BF599" t="s">
        <v>1053</v>
      </c>
      <c r="BG599" t="s">
        <v>4580</v>
      </c>
      <c r="BH599" t="s">
        <v>4581</v>
      </c>
      <c r="BI599" t="s">
        <v>1053</v>
      </c>
      <c r="BJ599" t="s">
        <v>2069</v>
      </c>
      <c r="BK599" t="s">
        <v>1053</v>
      </c>
      <c r="BL599" t="s">
        <v>2069</v>
      </c>
      <c r="BM599" t="s">
        <v>383</v>
      </c>
      <c r="BN599" t="s">
        <v>226</v>
      </c>
      <c r="BO599" t="s">
        <v>1053</v>
      </c>
      <c r="BP599" t="s">
        <v>384</v>
      </c>
      <c r="BQ599" t="s">
        <v>382</v>
      </c>
      <c r="BR599" t="s">
        <v>1053</v>
      </c>
      <c r="BS599" t="s">
        <v>2069</v>
      </c>
      <c r="BT599" t="s">
        <v>1053</v>
      </c>
      <c r="BU599" t="s">
        <v>2069</v>
      </c>
      <c r="BV599" t="s">
        <v>383</v>
      </c>
      <c r="BW599" t="s">
        <v>226</v>
      </c>
      <c r="BX599" t="str">
        <f>"S------ 0730-1030 1100-1815 1845-2130; -MTWTF- 0545-1030 1100-1915 1945-2130; ------S 0630-1030 1100-1815 1845-2100"</f>
        <v>S------ 0730-1030 1100-1815 1845-2130; -MTWTF- 0545-1030 1100-1915 1945-2130; ------S 0630-1030 1100-1815 1845-2100</v>
      </c>
      <c r="BY599" t="str">
        <f>"S------ 0730-1030 1100-1815 1845-2130; -MTWTF- 0545-1030 1100-1915 1945-2130; ------S 0630-1030 1100-1815 1845-2100"</f>
        <v>S------ 0730-1030 1100-1815 1845-2130; -MTWTF- 0545-1030 1100-1915 1945-2130; ------S 0630-1030 1100-1815 1845-2100</v>
      </c>
      <c r="BZ599" t="str">
        <f>"S------ 0730-2130; -MTWTF- 0545-2130; ------S 0600-2130"</f>
        <v>S------ 0730-2130; -MTWTF- 0545-2130; ------S 0600-2130</v>
      </c>
      <c r="CA599" t="str">
        <f>""</f>
        <v/>
      </c>
      <c r="CB599" t="str">
        <f>"S------ 0730-1030 1100-1815 1845-2130; -MTWTF- 0545-1030 1100-1915 1945-2130; ------S 0630-1030 1100-1815 1845-2100"</f>
        <v>S------ 0730-1030 1100-1815 1845-2130; -MTWTF- 0545-1030 1100-1915 1945-2130; ------S 0630-1030 1100-1815 1845-2100</v>
      </c>
      <c r="CC599" t="str">
        <f>""</f>
        <v/>
      </c>
      <c r="CD599" t="str">
        <f>""</f>
        <v/>
      </c>
      <c r="CE599" t="str">
        <f>""</f>
        <v/>
      </c>
      <c r="CF599" t="str">
        <f>""</f>
        <v/>
      </c>
      <c r="CG599" t="str">
        <f>""</f>
        <v/>
      </c>
      <c r="CH599" t="str">
        <f>""</f>
        <v/>
      </c>
    </row>
    <row r="600" spans="1:86" x14ac:dyDescent="0.25">
      <c r="A600" t="s">
        <v>4582</v>
      </c>
      <c r="B600" t="s">
        <v>4583</v>
      </c>
      <c r="C600" t="s">
        <v>1992</v>
      </c>
      <c r="D600" t="s">
        <v>2331</v>
      </c>
      <c r="E600" t="s">
        <v>4584</v>
      </c>
      <c r="H600" t="s">
        <v>4585</v>
      </c>
      <c r="I600" t="s">
        <v>2061</v>
      </c>
      <c r="J600" t="str">
        <f>"92110"</f>
        <v>92110</v>
      </c>
      <c r="K600" t="s">
        <v>1998</v>
      </c>
      <c r="L600" t="s">
        <v>2045</v>
      </c>
      <c r="M600" t="s">
        <v>2063</v>
      </c>
      <c r="N600" t="s">
        <v>1992</v>
      </c>
      <c r="O600" t="s">
        <v>1992</v>
      </c>
      <c r="P600" t="s">
        <v>1992</v>
      </c>
      <c r="Q600" t="s">
        <v>1992</v>
      </c>
      <c r="R600" t="s">
        <v>1992</v>
      </c>
      <c r="S600" t="s">
        <v>1992</v>
      </c>
      <c r="T600" t="s">
        <v>1992</v>
      </c>
      <c r="U600" t="s">
        <v>1992</v>
      </c>
      <c r="V600" t="s">
        <v>1991</v>
      </c>
      <c r="W600" t="s">
        <v>1991</v>
      </c>
      <c r="X600" t="s">
        <v>1991</v>
      </c>
      <c r="Y600" t="s">
        <v>1992</v>
      </c>
      <c r="Z600" t="s">
        <v>1992</v>
      </c>
      <c r="AA600" t="s">
        <v>1991</v>
      </c>
      <c r="AF600" t="s">
        <v>2064</v>
      </c>
      <c r="AG600" t="s">
        <v>1991</v>
      </c>
      <c r="AH600">
        <v>30</v>
      </c>
      <c r="AI600">
        <v>30</v>
      </c>
      <c r="AJ600" t="s">
        <v>4586</v>
      </c>
      <c r="AK600">
        <v>15</v>
      </c>
      <c r="AL600">
        <v>875500</v>
      </c>
      <c r="AN600" t="s">
        <v>2066</v>
      </c>
      <c r="AO600" t="s">
        <v>2063</v>
      </c>
      <c r="AU600" t="s">
        <v>2066</v>
      </c>
      <c r="BF600" t="s">
        <v>1053</v>
      </c>
      <c r="BG600" t="s">
        <v>2067</v>
      </c>
      <c r="BH600" t="s">
        <v>275</v>
      </c>
      <c r="BI600" t="s">
        <v>1053</v>
      </c>
      <c r="BJ600" t="s">
        <v>2083</v>
      </c>
      <c r="BK600" t="s">
        <v>1053</v>
      </c>
      <c r="BL600" t="s">
        <v>2083</v>
      </c>
      <c r="BM600" t="s">
        <v>276</v>
      </c>
      <c r="BN600" t="s">
        <v>277</v>
      </c>
      <c r="BO600" t="s">
        <v>1053</v>
      </c>
      <c r="BP600" t="s">
        <v>2067</v>
      </c>
      <c r="BQ600" t="s">
        <v>275</v>
      </c>
      <c r="BR600" t="s">
        <v>1053</v>
      </c>
      <c r="BX600" t="str">
        <f>""</f>
        <v/>
      </c>
      <c r="BY600" t="str">
        <f>""</f>
        <v/>
      </c>
      <c r="BZ600" t="str">
        <f>""</f>
        <v/>
      </c>
      <c r="CA600" t="str">
        <f>""</f>
        <v/>
      </c>
      <c r="CB600" t="str">
        <f>""</f>
        <v/>
      </c>
      <c r="CC600" t="str">
        <f>""</f>
        <v/>
      </c>
      <c r="CD600" t="str">
        <f>""</f>
        <v/>
      </c>
      <c r="CE600" t="str">
        <f>""</f>
        <v/>
      </c>
      <c r="CF600" t="str">
        <f>""</f>
        <v/>
      </c>
      <c r="CG600" t="str">
        <f>""</f>
        <v/>
      </c>
      <c r="CH600" t="str">
        <f>""</f>
        <v/>
      </c>
    </row>
    <row r="601" spans="1:86" x14ac:dyDescent="0.25">
      <c r="A601" t="s">
        <v>4587</v>
      </c>
      <c r="B601" t="s">
        <v>4588</v>
      </c>
      <c r="C601" t="s">
        <v>1992</v>
      </c>
      <c r="D601" t="s">
        <v>2010</v>
      </c>
      <c r="E601" t="s">
        <v>4589</v>
      </c>
      <c r="H601" t="s">
        <v>4590</v>
      </c>
      <c r="I601" t="s">
        <v>576</v>
      </c>
      <c r="J601" t="str">
        <f>"98513-6481"</f>
        <v>98513-6481</v>
      </c>
      <c r="K601" t="s">
        <v>1998</v>
      </c>
      <c r="L601" t="s">
        <v>231</v>
      </c>
      <c r="M601" t="s">
        <v>4591</v>
      </c>
      <c r="N601" t="s">
        <v>1992</v>
      </c>
      <c r="O601" t="s">
        <v>1991</v>
      </c>
      <c r="P601" t="s">
        <v>1992</v>
      </c>
      <c r="Q601" t="s">
        <v>1992</v>
      </c>
      <c r="R601" t="s">
        <v>1992</v>
      </c>
      <c r="S601" t="s">
        <v>1992</v>
      </c>
      <c r="T601" t="s">
        <v>1992</v>
      </c>
      <c r="U601" t="s">
        <v>1992</v>
      </c>
      <c r="V601" t="s">
        <v>1991</v>
      </c>
      <c r="W601" t="s">
        <v>1991</v>
      </c>
      <c r="X601" t="s">
        <v>1992</v>
      </c>
      <c r="Y601" t="s">
        <v>1992</v>
      </c>
      <c r="Z601" t="s">
        <v>1992</v>
      </c>
      <c r="AA601" t="s">
        <v>1992</v>
      </c>
      <c r="AF601" t="s">
        <v>2064</v>
      </c>
      <c r="AG601" t="s">
        <v>1991</v>
      </c>
      <c r="AH601">
        <v>30</v>
      </c>
      <c r="AI601">
        <v>30</v>
      </c>
      <c r="AJ601" t="s">
        <v>4592</v>
      </c>
      <c r="AK601">
        <v>193</v>
      </c>
      <c r="AL601">
        <v>41000</v>
      </c>
      <c r="AM601" t="s">
        <v>4593</v>
      </c>
      <c r="AN601" t="s">
        <v>4594</v>
      </c>
      <c r="AO601" t="s">
        <v>1053</v>
      </c>
      <c r="AU601" t="s">
        <v>1053</v>
      </c>
      <c r="AV601" t="s">
        <v>1053</v>
      </c>
      <c r="BF601" t="s">
        <v>1053</v>
      </c>
      <c r="BG601" t="s">
        <v>2067</v>
      </c>
      <c r="BH601" t="s">
        <v>236</v>
      </c>
      <c r="BI601" t="s">
        <v>1053</v>
      </c>
      <c r="BJ601" t="s">
        <v>1053</v>
      </c>
      <c r="BK601" t="s">
        <v>1053</v>
      </c>
      <c r="BM601" t="s">
        <v>237</v>
      </c>
      <c r="BN601" t="s">
        <v>238</v>
      </c>
      <c r="BO601" t="s">
        <v>1053</v>
      </c>
      <c r="BP601" t="s">
        <v>239</v>
      </c>
      <c r="BQ601" t="s">
        <v>240</v>
      </c>
      <c r="BR601" t="s">
        <v>1053</v>
      </c>
      <c r="BS601" t="s">
        <v>1053</v>
      </c>
      <c r="BT601" t="s">
        <v>1053</v>
      </c>
      <c r="BU601" t="s">
        <v>1053</v>
      </c>
      <c r="BV601" t="s">
        <v>241</v>
      </c>
      <c r="BW601" t="s">
        <v>242</v>
      </c>
      <c r="BX601" t="str">
        <f>"SMTWTFS 0815-2030"</f>
        <v>SMTWTFS 0815-2030</v>
      </c>
      <c r="BY601" t="str">
        <f>""</f>
        <v/>
      </c>
      <c r="BZ601" t="str">
        <f>""</f>
        <v/>
      </c>
      <c r="CA601" t="str">
        <f>""</f>
        <v/>
      </c>
      <c r="CB601" t="str">
        <f>""</f>
        <v/>
      </c>
      <c r="CC601" t="str">
        <f>"SMTWTFS 0815-2030"</f>
        <v>SMTWTFS 0815-2030</v>
      </c>
      <c r="CD601" t="str">
        <f>""</f>
        <v/>
      </c>
      <c r="CE601" t="str">
        <f>""</f>
        <v/>
      </c>
      <c r="CF601" t="str">
        <f>""</f>
        <v/>
      </c>
      <c r="CG601" t="str">
        <f>""</f>
        <v/>
      </c>
      <c r="CH601" t="str">
        <f>"SMTWTFS 0001-2359"</f>
        <v>SMTWTFS 0001-2359</v>
      </c>
    </row>
    <row r="602" spans="1:86" x14ac:dyDescent="0.25">
      <c r="A602" t="s">
        <v>4595</v>
      </c>
      <c r="B602" t="s">
        <v>4596</v>
      </c>
      <c r="C602" t="s">
        <v>1991</v>
      </c>
      <c r="D602" t="s">
        <v>2010</v>
      </c>
      <c r="E602" t="s">
        <v>4597</v>
      </c>
      <c r="H602" t="s">
        <v>4598</v>
      </c>
      <c r="I602" t="s">
        <v>5258</v>
      </c>
      <c r="J602" t="str">
        <f>"68108"</f>
        <v>68108</v>
      </c>
      <c r="K602" t="s">
        <v>1998</v>
      </c>
      <c r="L602" t="s">
        <v>1999</v>
      </c>
      <c r="M602" t="s">
        <v>4599</v>
      </c>
      <c r="N602" t="s">
        <v>1991</v>
      </c>
      <c r="O602" t="s">
        <v>1992</v>
      </c>
      <c r="P602" t="s">
        <v>1992</v>
      </c>
      <c r="Q602" t="s">
        <v>1991</v>
      </c>
      <c r="R602" t="s">
        <v>1991</v>
      </c>
      <c r="S602" t="s">
        <v>1992</v>
      </c>
      <c r="T602" t="s">
        <v>1992</v>
      </c>
      <c r="U602" t="s">
        <v>1992</v>
      </c>
      <c r="V602" t="s">
        <v>1991</v>
      </c>
      <c r="W602" t="s">
        <v>1991</v>
      </c>
      <c r="X602" t="s">
        <v>1992</v>
      </c>
      <c r="Y602" t="s">
        <v>1992</v>
      </c>
      <c r="Z602" t="s">
        <v>1992</v>
      </c>
      <c r="AE602" t="s">
        <v>2047</v>
      </c>
      <c r="AF602" t="s">
        <v>2001</v>
      </c>
      <c r="AG602" t="s">
        <v>1991</v>
      </c>
      <c r="AH602">
        <v>60</v>
      </c>
      <c r="AI602">
        <v>30</v>
      </c>
      <c r="AJ602" t="s">
        <v>4600</v>
      </c>
      <c r="AK602">
        <v>1044</v>
      </c>
      <c r="AL602">
        <v>345000</v>
      </c>
      <c r="AN602" t="s">
        <v>1053</v>
      </c>
      <c r="AO602" t="s">
        <v>1053</v>
      </c>
      <c r="AP602" t="s">
        <v>2069</v>
      </c>
      <c r="AQ602" t="s">
        <v>1053</v>
      </c>
      <c r="AR602" t="s">
        <v>2069</v>
      </c>
      <c r="AS602" t="s">
        <v>4595</v>
      </c>
      <c r="AT602" t="s">
        <v>4601</v>
      </c>
      <c r="AU602" t="s">
        <v>1053</v>
      </c>
      <c r="AV602" t="s">
        <v>1053</v>
      </c>
      <c r="AW602" t="s">
        <v>2069</v>
      </c>
      <c r="AX602" t="s">
        <v>1053</v>
      </c>
      <c r="AY602" t="s">
        <v>2069</v>
      </c>
      <c r="AZ602" t="s">
        <v>4595</v>
      </c>
      <c r="BA602" t="s">
        <v>4601</v>
      </c>
      <c r="BB602" t="s">
        <v>1053</v>
      </c>
      <c r="BC602" t="s">
        <v>2069</v>
      </c>
      <c r="BD602" t="s">
        <v>1053</v>
      </c>
      <c r="BE602" t="s">
        <v>2069</v>
      </c>
      <c r="BF602" t="s">
        <v>1053</v>
      </c>
      <c r="BG602" t="s">
        <v>2097</v>
      </c>
      <c r="BH602" t="s">
        <v>798</v>
      </c>
      <c r="BI602" t="s">
        <v>1053</v>
      </c>
      <c r="BK602" t="s">
        <v>1053</v>
      </c>
      <c r="BL602" t="s">
        <v>1053</v>
      </c>
      <c r="BO602" t="s">
        <v>1053</v>
      </c>
      <c r="BP602" t="s">
        <v>2456</v>
      </c>
      <c r="BQ602" t="s">
        <v>2376</v>
      </c>
      <c r="BR602" t="s">
        <v>1053</v>
      </c>
      <c r="BX602" t="str">
        <f>"SMTWTFS 0000-0630 2130-2359"</f>
        <v>SMTWTFS 0000-0630 2130-2359</v>
      </c>
      <c r="BY602" t="str">
        <f>"SMTWTFS 0000-0615 2130-2359"</f>
        <v>SMTWTFS 0000-0615 2130-2359</v>
      </c>
      <c r="BZ602" t="str">
        <f>"SMTWTFS 0000-0630 2130-2359"</f>
        <v>SMTWTFS 0000-0630 2130-2359</v>
      </c>
      <c r="CA602" t="str">
        <f>"SMTWTFS 0000-0630 2130-2359"</f>
        <v>SMTWTFS 0000-0630 2130-2359</v>
      </c>
      <c r="CB602" t="str">
        <f>""</f>
        <v/>
      </c>
      <c r="CC602" t="str">
        <f>""</f>
        <v/>
      </c>
      <c r="CD602" t="str">
        <f>""</f>
        <v/>
      </c>
      <c r="CE602" t="str">
        <f>""</f>
        <v/>
      </c>
      <c r="CF602" t="str">
        <f>"SMTWTFS 0000-0615 2130-2359"</f>
        <v>SMTWTFS 0000-0615 2130-2359</v>
      </c>
      <c r="CG602" t="str">
        <f>""</f>
        <v/>
      </c>
      <c r="CH602" t="str">
        <f>""</f>
        <v/>
      </c>
    </row>
    <row r="603" spans="1:86" x14ac:dyDescent="0.25">
      <c r="A603" t="s">
        <v>4602</v>
      </c>
      <c r="B603" t="s">
        <v>4603</v>
      </c>
      <c r="C603" t="s">
        <v>1992</v>
      </c>
      <c r="D603" t="s">
        <v>1993</v>
      </c>
      <c r="E603" t="s">
        <v>4604</v>
      </c>
      <c r="F603" t="s">
        <v>4605</v>
      </c>
      <c r="H603" t="s">
        <v>4606</v>
      </c>
      <c r="I603" t="s">
        <v>576</v>
      </c>
      <c r="J603" t="str">
        <f>"98841-9580"</f>
        <v>98841-9580</v>
      </c>
      <c r="K603" t="s">
        <v>1998</v>
      </c>
      <c r="L603" t="s">
        <v>2062</v>
      </c>
      <c r="M603" t="s">
        <v>2063</v>
      </c>
      <c r="N603" t="s">
        <v>1992</v>
      </c>
      <c r="O603" t="s">
        <v>1992</v>
      </c>
      <c r="P603" t="s">
        <v>1992</v>
      </c>
      <c r="Q603" t="s">
        <v>1992</v>
      </c>
      <c r="R603" t="s">
        <v>1992</v>
      </c>
      <c r="S603" t="s">
        <v>1992</v>
      </c>
      <c r="T603" t="s">
        <v>1992</v>
      </c>
      <c r="U603" t="s">
        <v>1992</v>
      </c>
      <c r="V603" t="s">
        <v>1991</v>
      </c>
      <c r="W603" t="s">
        <v>1992</v>
      </c>
      <c r="X603" t="s">
        <v>1992</v>
      </c>
      <c r="Y603" t="s">
        <v>1992</v>
      </c>
      <c r="Z603" t="s">
        <v>1991</v>
      </c>
      <c r="AF603" t="s">
        <v>2064</v>
      </c>
      <c r="AG603" t="s">
        <v>1991</v>
      </c>
      <c r="AH603">
        <v>30</v>
      </c>
      <c r="AI603">
        <v>30</v>
      </c>
      <c r="AJ603" t="s">
        <v>4607</v>
      </c>
      <c r="AK603">
        <v>955</v>
      </c>
      <c r="AM603" t="s">
        <v>2298</v>
      </c>
      <c r="AN603" t="s">
        <v>4608</v>
      </c>
      <c r="AO603" t="s">
        <v>1053</v>
      </c>
      <c r="BF603" t="s">
        <v>1053</v>
      </c>
      <c r="BG603" t="s">
        <v>394</v>
      </c>
      <c r="BH603" t="s">
        <v>311</v>
      </c>
      <c r="BI603" t="s">
        <v>1053</v>
      </c>
      <c r="BJ603" t="s">
        <v>1053</v>
      </c>
      <c r="BK603" t="s">
        <v>1053</v>
      </c>
      <c r="BL603" t="s">
        <v>1053</v>
      </c>
      <c r="BX603" t="str">
        <f>""</f>
        <v/>
      </c>
      <c r="BY603" t="str">
        <f>""</f>
        <v/>
      </c>
      <c r="BZ603" t="str">
        <f>""</f>
        <v/>
      </c>
      <c r="CA603" t="str">
        <f>""</f>
        <v/>
      </c>
      <c r="CB603" t="str">
        <f>""</f>
        <v/>
      </c>
      <c r="CC603" t="str">
        <f>""</f>
        <v/>
      </c>
      <c r="CD603" t="str">
        <f>""</f>
        <v/>
      </c>
      <c r="CE603" t="str">
        <f>""</f>
        <v/>
      </c>
      <c r="CF603" t="str">
        <f>""</f>
        <v/>
      </c>
      <c r="CG603" t="str">
        <f>""</f>
        <v/>
      </c>
      <c r="CH603" t="str">
        <f>""</f>
        <v/>
      </c>
    </row>
    <row r="604" spans="1:86" x14ac:dyDescent="0.25">
      <c r="A604" t="s">
        <v>4609</v>
      </c>
      <c r="B604" t="s">
        <v>4610</v>
      </c>
      <c r="C604" t="s">
        <v>1992</v>
      </c>
      <c r="D604" t="s">
        <v>2331</v>
      </c>
      <c r="E604" t="s">
        <v>4611</v>
      </c>
      <c r="F604" t="s">
        <v>4612</v>
      </c>
      <c r="H604" t="s">
        <v>4613</v>
      </c>
      <c r="I604" t="s">
        <v>2061</v>
      </c>
      <c r="J604" t="str">
        <f>"91764"</f>
        <v>91764</v>
      </c>
      <c r="K604" t="s">
        <v>1998</v>
      </c>
      <c r="L604" t="s">
        <v>2045</v>
      </c>
      <c r="M604" t="s">
        <v>2063</v>
      </c>
      <c r="N604" t="s">
        <v>1992</v>
      </c>
      <c r="O604" t="s">
        <v>1992</v>
      </c>
      <c r="P604" t="s">
        <v>1992</v>
      </c>
      <c r="Q604" t="s">
        <v>1992</v>
      </c>
      <c r="R604" t="s">
        <v>1992</v>
      </c>
      <c r="S604" t="s">
        <v>1992</v>
      </c>
      <c r="T604" t="s">
        <v>1992</v>
      </c>
      <c r="U604" t="s">
        <v>1992</v>
      </c>
      <c r="V604" t="s">
        <v>1991</v>
      </c>
      <c r="W604" t="s">
        <v>1991</v>
      </c>
      <c r="X604" t="s">
        <v>1992</v>
      </c>
      <c r="Y604" t="s">
        <v>1991</v>
      </c>
      <c r="Z604" t="s">
        <v>1992</v>
      </c>
      <c r="AA604" t="s">
        <v>1992</v>
      </c>
      <c r="AF604" t="s">
        <v>2064</v>
      </c>
      <c r="AG604" t="s">
        <v>1991</v>
      </c>
      <c r="AH604">
        <v>30</v>
      </c>
      <c r="AI604">
        <v>30</v>
      </c>
      <c r="AJ604" t="s">
        <v>4614</v>
      </c>
      <c r="AK604">
        <v>991</v>
      </c>
      <c r="AL604">
        <v>145000</v>
      </c>
      <c r="AM604" t="s">
        <v>2298</v>
      </c>
      <c r="AN604" t="s">
        <v>2066</v>
      </c>
      <c r="BF604" t="s">
        <v>1053</v>
      </c>
      <c r="BG604" t="s">
        <v>2019</v>
      </c>
      <c r="BH604" t="s">
        <v>275</v>
      </c>
      <c r="BI604" t="s">
        <v>1053</v>
      </c>
      <c r="BK604" t="s">
        <v>1053</v>
      </c>
      <c r="BM604" t="s">
        <v>852</v>
      </c>
      <c r="BN604" t="s">
        <v>277</v>
      </c>
      <c r="BO604" t="s">
        <v>1053</v>
      </c>
      <c r="BP604" t="s">
        <v>2067</v>
      </c>
      <c r="BQ604" t="s">
        <v>275</v>
      </c>
      <c r="BR604" t="s">
        <v>1053</v>
      </c>
      <c r="BX604" t="str">
        <f>""</f>
        <v/>
      </c>
      <c r="BY604" t="str">
        <f>""</f>
        <v/>
      </c>
      <c r="BZ604" t="str">
        <f>""</f>
        <v/>
      </c>
      <c r="CA604" t="str">
        <f>""</f>
        <v/>
      </c>
      <c r="CB604" t="str">
        <f>""</f>
        <v/>
      </c>
      <c r="CC604" t="str">
        <f>""</f>
        <v/>
      </c>
      <c r="CD604" t="str">
        <f>""</f>
        <v/>
      </c>
      <c r="CE604" t="str">
        <f>""</f>
        <v/>
      </c>
      <c r="CF604" t="str">
        <f>""</f>
        <v/>
      </c>
      <c r="CG604" t="str">
        <f>""</f>
        <v/>
      </c>
      <c r="CH604" t="str">
        <f>""</f>
        <v/>
      </c>
    </row>
    <row r="605" spans="1:86" x14ac:dyDescent="0.25">
      <c r="A605" t="s">
        <v>4615</v>
      </c>
      <c r="B605" t="s">
        <v>4616</v>
      </c>
      <c r="C605" t="s">
        <v>1992</v>
      </c>
      <c r="D605" t="s">
        <v>2010</v>
      </c>
      <c r="E605" t="s">
        <v>4617</v>
      </c>
      <c r="F605" t="s">
        <v>743</v>
      </c>
      <c r="H605" t="s">
        <v>4613</v>
      </c>
      <c r="I605" t="s">
        <v>2295</v>
      </c>
      <c r="J605" t="str">
        <f>"97914-2830"</f>
        <v>97914-2830</v>
      </c>
      <c r="K605" t="s">
        <v>1998</v>
      </c>
      <c r="L605" t="s">
        <v>231</v>
      </c>
      <c r="M605" t="s">
        <v>4618</v>
      </c>
      <c r="N605" t="s">
        <v>1992</v>
      </c>
      <c r="O605" t="s">
        <v>1992</v>
      </c>
      <c r="P605" t="s">
        <v>1992</v>
      </c>
      <c r="Q605" t="s">
        <v>1992</v>
      </c>
      <c r="R605" t="s">
        <v>1992</v>
      </c>
      <c r="S605" t="s">
        <v>1992</v>
      </c>
      <c r="T605" t="s">
        <v>1992</v>
      </c>
      <c r="U605" t="s">
        <v>1992</v>
      </c>
      <c r="V605" t="s">
        <v>1991</v>
      </c>
      <c r="W605" t="s">
        <v>1992</v>
      </c>
      <c r="X605" t="s">
        <v>1992</v>
      </c>
      <c r="Y605" t="s">
        <v>1992</v>
      </c>
      <c r="Z605" t="s">
        <v>1991</v>
      </c>
      <c r="AE605" t="s">
        <v>3631</v>
      </c>
      <c r="AF605" t="s">
        <v>2048</v>
      </c>
      <c r="AG605" t="s">
        <v>1991</v>
      </c>
      <c r="AH605">
        <v>30</v>
      </c>
      <c r="AI605">
        <v>30</v>
      </c>
      <c r="AJ605" t="s">
        <v>4619</v>
      </c>
      <c r="AK605">
        <v>2151</v>
      </c>
      <c r="AL605">
        <v>9000</v>
      </c>
      <c r="AM605" t="s">
        <v>2298</v>
      </c>
      <c r="AN605" t="s">
        <v>450</v>
      </c>
      <c r="AO605" t="s">
        <v>2063</v>
      </c>
      <c r="BF605" t="s">
        <v>1053</v>
      </c>
      <c r="BG605" t="s">
        <v>394</v>
      </c>
      <c r="BH605" t="s">
        <v>311</v>
      </c>
      <c r="BI605" t="s">
        <v>1053</v>
      </c>
      <c r="BJ605" t="s">
        <v>1053</v>
      </c>
      <c r="BK605" t="s">
        <v>1053</v>
      </c>
      <c r="BL605" t="s">
        <v>1053</v>
      </c>
      <c r="BX605" t="str">
        <f>"-MTWTF- 0800-1159"</f>
        <v>-MTWTF- 0800-1159</v>
      </c>
      <c r="BY605" t="str">
        <f>""</f>
        <v/>
      </c>
      <c r="BZ605" t="str">
        <f>""</f>
        <v/>
      </c>
      <c r="CA605" t="str">
        <f>""</f>
        <v/>
      </c>
      <c r="CB605" t="str">
        <f>"-MTWTF- 0800-1159"</f>
        <v>-MTWTF- 0800-1159</v>
      </c>
      <c r="CC605" t="str">
        <f>""</f>
        <v/>
      </c>
      <c r="CD605" t="str">
        <f>""</f>
        <v/>
      </c>
      <c r="CE605" t="str">
        <f>""</f>
        <v/>
      </c>
      <c r="CF605" t="str">
        <f>""</f>
        <v/>
      </c>
      <c r="CG605" t="str">
        <f>""</f>
        <v/>
      </c>
      <c r="CH605" t="str">
        <f>""</f>
        <v/>
      </c>
    </row>
    <row r="606" spans="1:86" x14ac:dyDescent="0.25">
      <c r="A606" t="s">
        <v>4620</v>
      </c>
      <c r="B606" t="s">
        <v>4621</v>
      </c>
      <c r="C606" t="s">
        <v>1992</v>
      </c>
      <c r="D606" t="s">
        <v>2331</v>
      </c>
      <c r="E606" t="s">
        <v>4622</v>
      </c>
      <c r="F606" t="s">
        <v>1073</v>
      </c>
      <c r="H606" t="s">
        <v>4623</v>
      </c>
      <c r="I606" t="s">
        <v>2287</v>
      </c>
      <c r="J606" t="str">
        <f>"04064"</f>
        <v>04064</v>
      </c>
      <c r="K606" t="s">
        <v>1998</v>
      </c>
      <c r="L606" t="s">
        <v>2033</v>
      </c>
      <c r="M606" t="s">
        <v>2000</v>
      </c>
      <c r="N606" t="s">
        <v>1992</v>
      </c>
      <c r="O606" t="s">
        <v>1991</v>
      </c>
      <c r="P606" t="s">
        <v>1992</v>
      </c>
      <c r="Q606" t="s">
        <v>1992</v>
      </c>
      <c r="R606" t="s">
        <v>1992</v>
      </c>
      <c r="S606" t="s">
        <v>1992</v>
      </c>
      <c r="T606" t="s">
        <v>1992</v>
      </c>
      <c r="U606" t="s">
        <v>1992</v>
      </c>
      <c r="V606" t="s">
        <v>1991</v>
      </c>
      <c r="W606" t="s">
        <v>1991</v>
      </c>
      <c r="AF606" t="s">
        <v>2016</v>
      </c>
      <c r="AG606" t="s">
        <v>1991</v>
      </c>
      <c r="AH606">
        <v>30</v>
      </c>
      <c r="AI606">
        <v>30</v>
      </c>
      <c r="AJ606" t="s">
        <v>4624</v>
      </c>
      <c r="AK606">
        <v>14</v>
      </c>
      <c r="AL606">
        <v>8856</v>
      </c>
      <c r="AM606" t="s">
        <v>4625</v>
      </c>
      <c r="BF606" t="s">
        <v>1053</v>
      </c>
      <c r="BG606" t="s">
        <v>4626</v>
      </c>
      <c r="BH606" t="s">
        <v>2201</v>
      </c>
      <c r="BI606" t="s">
        <v>1053</v>
      </c>
      <c r="BJ606" t="s">
        <v>2069</v>
      </c>
      <c r="BK606" t="s">
        <v>1053</v>
      </c>
      <c r="BL606" t="s">
        <v>2069</v>
      </c>
      <c r="BM606" t="s">
        <v>2202</v>
      </c>
      <c r="BN606" t="s">
        <v>2139</v>
      </c>
      <c r="BO606" t="s">
        <v>1053</v>
      </c>
      <c r="BP606" t="s">
        <v>986</v>
      </c>
      <c r="BQ606" t="s">
        <v>2140</v>
      </c>
      <c r="BR606" t="s">
        <v>1053</v>
      </c>
      <c r="BS606" t="s">
        <v>1053</v>
      </c>
      <c r="BT606" t="s">
        <v>1053</v>
      </c>
      <c r="BU606" t="s">
        <v>1053</v>
      </c>
      <c r="BV606" t="s">
        <v>520</v>
      </c>
      <c r="BW606" t="s">
        <v>523</v>
      </c>
      <c r="BX606" t="str">
        <f>"S------ 1000-1700; -MTWTF- 0830-1630; ------S 0900-1700"</f>
        <v>S------ 1000-1700; -MTWTF- 0830-1630; ------S 0900-1700</v>
      </c>
      <c r="BY606" t="str">
        <f>""</f>
        <v/>
      </c>
      <c r="BZ606" t="str">
        <f>""</f>
        <v/>
      </c>
      <c r="CA606" t="str">
        <f>""</f>
        <v/>
      </c>
      <c r="CB606" t="str">
        <f>""</f>
        <v/>
      </c>
      <c r="CC606" t="str">
        <f>"S------ 1000-1700; -MTWTF- 0830-1630; ------S 0900-1700"</f>
        <v>S------ 1000-1700; -MTWTF- 0830-1630; ------S 0900-1700</v>
      </c>
      <c r="CD606" t="str">
        <f>""</f>
        <v/>
      </c>
      <c r="CE606" t="str">
        <f>""</f>
        <v/>
      </c>
      <c r="CF606" t="str">
        <f>""</f>
        <v/>
      </c>
      <c r="CG606" t="str">
        <f>""</f>
        <v/>
      </c>
      <c r="CH606" t="str">
        <f>""</f>
        <v/>
      </c>
    </row>
    <row r="607" spans="1:86" x14ac:dyDescent="0.25">
      <c r="A607" t="s">
        <v>4627</v>
      </c>
      <c r="B607" t="s">
        <v>4628</v>
      </c>
      <c r="C607" t="s">
        <v>1992</v>
      </c>
      <c r="D607" t="s">
        <v>2331</v>
      </c>
      <c r="E607" t="s">
        <v>4629</v>
      </c>
      <c r="H607" t="s">
        <v>4630</v>
      </c>
      <c r="I607" t="s">
        <v>2295</v>
      </c>
      <c r="J607" t="str">
        <f>"97045"</f>
        <v>97045</v>
      </c>
      <c r="K607" t="s">
        <v>1998</v>
      </c>
      <c r="L607" t="s">
        <v>231</v>
      </c>
      <c r="M607" t="s">
        <v>2063</v>
      </c>
      <c r="N607" t="s">
        <v>1992</v>
      </c>
      <c r="O607" t="s">
        <v>1992</v>
      </c>
      <c r="P607" t="s">
        <v>1992</v>
      </c>
      <c r="Q607" t="s">
        <v>1992</v>
      </c>
      <c r="R607" t="s">
        <v>1992</v>
      </c>
      <c r="S607" t="s">
        <v>1992</v>
      </c>
      <c r="T607" t="s">
        <v>1992</v>
      </c>
      <c r="U607" t="s">
        <v>1992</v>
      </c>
      <c r="V607" t="s">
        <v>1991</v>
      </c>
      <c r="W607" t="s">
        <v>1991</v>
      </c>
      <c r="X607" t="s">
        <v>1992</v>
      </c>
      <c r="Y607" t="s">
        <v>1991</v>
      </c>
      <c r="Z607" t="s">
        <v>1992</v>
      </c>
      <c r="AF607" t="s">
        <v>2064</v>
      </c>
      <c r="AG607" t="s">
        <v>1991</v>
      </c>
      <c r="AH607">
        <v>30</v>
      </c>
      <c r="AI607">
        <v>30</v>
      </c>
      <c r="AJ607" t="s">
        <v>4631</v>
      </c>
      <c r="AK607">
        <v>34</v>
      </c>
      <c r="AL607">
        <v>30667</v>
      </c>
      <c r="BF607" t="s">
        <v>1053</v>
      </c>
      <c r="BG607" t="s">
        <v>235</v>
      </c>
      <c r="BH607" t="s">
        <v>236</v>
      </c>
      <c r="BI607" t="s">
        <v>1053</v>
      </c>
      <c r="BJ607" t="s">
        <v>1053</v>
      </c>
      <c r="BK607" t="s">
        <v>1053</v>
      </c>
      <c r="BL607" t="s">
        <v>1053</v>
      </c>
      <c r="BM607" t="s">
        <v>237</v>
      </c>
      <c r="BN607" t="s">
        <v>238</v>
      </c>
      <c r="BO607" t="s">
        <v>1053</v>
      </c>
      <c r="BP607" t="s">
        <v>107</v>
      </c>
      <c r="BQ607" t="s">
        <v>240</v>
      </c>
      <c r="BR607" t="s">
        <v>1053</v>
      </c>
      <c r="BS607" t="s">
        <v>1053</v>
      </c>
      <c r="BT607" t="s">
        <v>1053</v>
      </c>
      <c r="BU607" t="s">
        <v>1053</v>
      </c>
      <c r="BX607" t="str">
        <f>""</f>
        <v/>
      </c>
      <c r="BY607" t="str">
        <f>""</f>
        <v/>
      </c>
      <c r="BZ607" t="str">
        <f>""</f>
        <v/>
      </c>
      <c r="CA607" t="str">
        <f>""</f>
        <v/>
      </c>
      <c r="CB607" t="str">
        <f>""</f>
        <v/>
      </c>
      <c r="CC607" t="str">
        <f>""</f>
        <v/>
      </c>
      <c r="CD607" t="str">
        <f>""</f>
        <v/>
      </c>
      <c r="CE607" t="str">
        <f>""</f>
        <v/>
      </c>
      <c r="CF607" t="str">
        <f>""</f>
        <v/>
      </c>
      <c r="CG607" t="str">
        <f>""</f>
        <v/>
      </c>
      <c r="CH607" t="str">
        <f>""</f>
        <v/>
      </c>
    </row>
    <row r="608" spans="1:86" x14ac:dyDescent="0.25">
      <c r="A608" t="s">
        <v>561</v>
      </c>
      <c r="B608" t="s">
        <v>1746</v>
      </c>
      <c r="C608" t="s">
        <v>1991</v>
      </c>
      <c r="D608" t="s">
        <v>2010</v>
      </c>
      <c r="E608" t="s">
        <v>4632</v>
      </c>
      <c r="H608" t="s">
        <v>4633</v>
      </c>
      <c r="I608" t="s">
        <v>558</v>
      </c>
      <c r="J608" t="str">
        <f>"32806-3905"</f>
        <v>32806-3905</v>
      </c>
      <c r="K608" t="s">
        <v>1998</v>
      </c>
      <c r="L608" t="s">
        <v>408</v>
      </c>
      <c r="M608" t="s">
        <v>4634</v>
      </c>
      <c r="N608" t="s">
        <v>1991</v>
      </c>
      <c r="O608" t="s">
        <v>1991</v>
      </c>
      <c r="P608" t="s">
        <v>1992</v>
      </c>
      <c r="Q608" t="s">
        <v>1991</v>
      </c>
      <c r="R608" t="s">
        <v>1991</v>
      </c>
      <c r="S608" t="s">
        <v>1992</v>
      </c>
      <c r="T608" t="s">
        <v>1992</v>
      </c>
      <c r="U608" t="s">
        <v>1991</v>
      </c>
      <c r="V608" t="s">
        <v>1991</v>
      </c>
      <c r="W608" t="s">
        <v>1991</v>
      </c>
      <c r="X608" t="s">
        <v>1992</v>
      </c>
      <c r="Y608" t="s">
        <v>1991</v>
      </c>
      <c r="Z608" t="s">
        <v>1992</v>
      </c>
      <c r="AA608" t="s">
        <v>1991</v>
      </c>
      <c r="AE608" t="s">
        <v>2047</v>
      </c>
      <c r="AF608" t="s">
        <v>2016</v>
      </c>
      <c r="AG608" t="s">
        <v>1991</v>
      </c>
      <c r="AH608">
        <v>60</v>
      </c>
      <c r="AI608">
        <v>30</v>
      </c>
      <c r="AJ608" t="s">
        <v>4635</v>
      </c>
      <c r="AK608">
        <v>107</v>
      </c>
      <c r="AL608">
        <v>220500</v>
      </c>
      <c r="AM608" t="s">
        <v>4636</v>
      </c>
      <c r="AN608" t="s">
        <v>1053</v>
      </c>
      <c r="AO608" t="s">
        <v>1053</v>
      </c>
      <c r="AP608" t="s">
        <v>2069</v>
      </c>
      <c r="AQ608" t="s">
        <v>1053</v>
      </c>
      <c r="AR608" t="s">
        <v>2069</v>
      </c>
      <c r="AS608" t="s">
        <v>561</v>
      </c>
      <c r="AT608" t="s">
        <v>562</v>
      </c>
      <c r="AU608" t="s">
        <v>1053</v>
      </c>
      <c r="AV608" t="s">
        <v>1053</v>
      </c>
      <c r="AW608" t="s">
        <v>2069</v>
      </c>
      <c r="AX608" t="s">
        <v>1053</v>
      </c>
      <c r="AY608" t="s">
        <v>2069</v>
      </c>
      <c r="AZ608" t="s">
        <v>561</v>
      </c>
      <c r="BA608" t="s">
        <v>562</v>
      </c>
      <c r="BB608" t="s">
        <v>1053</v>
      </c>
      <c r="BC608" t="s">
        <v>2069</v>
      </c>
      <c r="BD608" t="s">
        <v>1053</v>
      </c>
      <c r="BE608" t="s">
        <v>2069</v>
      </c>
      <c r="BF608" t="s">
        <v>1053</v>
      </c>
      <c r="BG608" t="s">
        <v>2019</v>
      </c>
      <c r="BH608" t="s">
        <v>2996</v>
      </c>
      <c r="BI608" t="s">
        <v>1053</v>
      </c>
      <c r="BJ608" t="s">
        <v>2069</v>
      </c>
      <c r="BK608" t="s">
        <v>1053</v>
      </c>
      <c r="BL608" t="s">
        <v>2069</v>
      </c>
      <c r="BM608" t="s">
        <v>1138</v>
      </c>
      <c r="BN608" t="s">
        <v>562</v>
      </c>
      <c r="BO608" t="s">
        <v>1053</v>
      </c>
      <c r="BP608" t="s">
        <v>653</v>
      </c>
      <c r="BQ608" t="s">
        <v>564</v>
      </c>
      <c r="BR608" t="s">
        <v>1053</v>
      </c>
      <c r="BS608" t="s">
        <v>1053</v>
      </c>
      <c r="BT608" t="s">
        <v>1053</v>
      </c>
      <c r="BU608" t="s">
        <v>1053</v>
      </c>
      <c r="BV608" t="s">
        <v>1052</v>
      </c>
      <c r="BW608" t="s">
        <v>170</v>
      </c>
      <c r="BX608" t="str">
        <f>"SMTWTFS 0730-2015"</f>
        <v>SMTWTFS 0730-2015</v>
      </c>
      <c r="BY608" t="str">
        <f>"SMTWTFS 0730-2015"</f>
        <v>SMTWTFS 0730-2015</v>
      </c>
      <c r="BZ608" t="str">
        <f>"SMTWTFS 0730-2015"</f>
        <v>SMTWTFS 0730-2015</v>
      </c>
      <c r="CA608" t="str">
        <f>"SMTWTFS 0730-2015"</f>
        <v>SMTWTFS 0730-2015</v>
      </c>
      <c r="CB608" t="str">
        <f>""</f>
        <v/>
      </c>
      <c r="CC608" t="str">
        <f>"SMTWTFS 0730-2015"</f>
        <v>SMTWTFS 0730-2015</v>
      </c>
      <c r="CD608" t="str">
        <f>""</f>
        <v/>
      </c>
      <c r="CE608" t="str">
        <f>""</f>
        <v/>
      </c>
      <c r="CF608" t="str">
        <f>"SMTWTFS 0730-1930"</f>
        <v>SMTWTFS 0730-1930</v>
      </c>
      <c r="CG608" t="str">
        <f>""</f>
        <v/>
      </c>
      <c r="CH608" t="str">
        <f>""</f>
        <v/>
      </c>
    </row>
    <row r="609" spans="1:86" x14ac:dyDescent="0.25">
      <c r="A609" t="s">
        <v>4637</v>
      </c>
      <c r="B609" t="s">
        <v>4638</v>
      </c>
      <c r="C609" t="s">
        <v>1992</v>
      </c>
      <c r="D609" t="s">
        <v>1993</v>
      </c>
      <c r="E609" t="s">
        <v>4639</v>
      </c>
      <c r="F609" t="s">
        <v>4640</v>
      </c>
      <c r="H609" t="s">
        <v>4641</v>
      </c>
      <c r="I609" t="s">
        <v>2287</v>
      </c>
      <c r="J609" t="str">
        <f>"04473"</f>
        <v>04473</v>
      </c>
      <c r="K609" t="s">
        <v>1998</v>
      </c>
      <c r="L609" t="s">
        <v>2033</v>
      </c>
      <c r="M609" t="s">
        <v>2063</v>
      </c>
      <c r="N609" t="s">
        <v>1992</v>
      </c>
      <c r="O609" t="s">
        <v>1992</v>
      </c>
      <c r="P609" t="s">
        <v>1992</v>
      </c>
      <c r="Q609" t="s">
        <v>1992</v>
      </c>
      <c r="R609" t="s">
        <v>1992</v>
      </c>
      <c r="S609" t="s">
        <v>1992</v>
      </c>
      <c r="T609" t="s">
        <v>1992</v>
      </c>
      <c r="U609" t="s">
        <v>1992</v>
      </c>
      <c r="V609" t="s">
        <v>1991</v>
      </c>
      <c r="W609" t="s">
        <v>1992</v>
      </c>
      <c r="X609" t="s">
        <v>1992</v>
      </c>
      <c r="Y609" t="s">
        <v>1992</v>
      </c>
      <c r="Z609" t="s">
        <v>1991</v>
      </c>
      <c r="AF609" t="s">
        <v>2016</v>
      </c>
      <c r="AG609" t="s">
        <v>1991</v>
      </c>
      <c r="AH609">
        <v>30</v>
      </c>
      <c r="AI609">
        <v>30</v>
      </c>
      <c r="AJ609" t="s">
        <v>4642</v>
      </c>
      <c r="AK609">
        <v>113</v>
      </c>
      <c r="AM609" t="s">
        <v>2298</v>
      </c>
      <c r="AN609" t="s">
        <v>357</v>
      </c>
      <c r="AO609" t="s">
        <v>2063</v>
      </c>
      <c r="BF609" t="s">
        <v>1053</v>
      </c>
      <c r="BG609" t="s">
        <v>476</v>
      </c>
      <c r="BH609" t="s">
        <v>477</v>
      </c>
      <c r="BI609" t="s">
        <v>1053</v>
      </c>
      <c r="BK609" t="s">
        <v>1053</v>
      </c>
      <c r="BX609" t="str">
        <f>"-MTWTF- 0800-1700"</f>
        <v>-MTWTF- 0800-1700</v>
      </c>
      <c r="BY609" t="str">
        <f>""</f>
        <v/>
      </c>
      <c r="BZ609" t="str">
        <f>""</f>
        <v/>
      </c>
      <c r="CA609" t="str">
        <f>""</f>
        <v/>
      </c>
      <c r="CB609" t="str">
        <f>""</f>
        <v/>
      </c>
      <c r="CC609" t="str">
        <f>""</f>
        <v/>
      </c>
      <c r="CD609" t="str">
        <f>""</f>
        <v/>
      </c>
      <c r="CE609" t="str">
        <f>""</f>
        <v/>
      </c>
      <c r="CF609" t="str">
        <f>""</f>
        <v/>
      </c>
      <c r="CG609" t="str">
        <f>""</f>
        <v/>
      </c>
      <c r="CH609" t="str">
        <f>""</f>
        <v/>
      </c>
    </row>
    <row r="610" spans="1:86" x14ac:dyDescent="0.25">
      <c r="A610" t="s">
        <v>4643</v>
      </c>
      <c r="B610" t="s">
        <v>4644</v>
      </c>
      <c r="C610" t="s">
        <v>1992</v>
      </c>
      <c r="D610" t="s">
        <v>1993</v>
      </c>
      <c r="E610" t="s">
        <v>4645</v>
      </c>
      <c r="F610" t="s">
        <v>5510</v>
      </c>
      <c r="H610" t="s">
        <v>4646</v>
      </c>
      <c r="I610" t="s">
        <v>2061</v>
      </c>
      <c r="J610" t="str">
        <f>"95965"</f>
        <v>95965</v>
      </c>
      <c r="K610" t="s">
        <v>1998</v>
      </c>
      <c r="L610" t="s">
        <v>2062</v>
      </c>
      <c r="M610" t="s">
        <v>2063</v>
      </c>
      <c r="N610" t="s">
        <v>1992</v>
      </c>
      <c r="O610" t="s">
        <v>1992</v>
      </c>
      <c r="P610" t="s">
        <v>1992</v>
      </c>
      <c r="Q610" t="s">
        <v>1992</v>
      </c>
      <c r="R610" t="s">
        <v>1992</v>
      </c>
      <c r="S610" t="s">
        <v>1992</v>
      </c>
      <c r="T610" t="s">
        <v>1992</v>
      </c>
      <c r="U610" t="s">
        <v>1992</v>
      </c>
      <c r="V610" t="s">
        <v>1991</v>
      </c>
      <c r="W610" t="s">
        <v>1992</v>
      </c>
      <c r="X610" t="s">
        <v>1992</v>
      </c>
      <c r="Y610" t="s">
        <v>1991</v>
      </c>
      <c r="Z610" t="s">
        <v>1992</v>
      </c>
      <c r="AF610" t="s">
        <v>2064</v>
      </c>
      <c r="AG610" t="s">
        <v>1991</v>
      </c>
      <c r="AH610">
        <v>30</v>
      </c>
      <c r="AI610">
        <v>30</v>
      </c>
      <c r="AJ610" t="s">
        <v>4647</v>
      </c>
      <c r="AK610">
        <v>244</v>
      </c>
      <c r="AL610">
        <v>10200</v>
      </c>
      <c r="AM610" t="s">
        <v>4648</v>
      </c>
      <c r="BF610" t="s">
        <v>1053</v>
      </c>
      <c r="BG610" t="s">
        <v>309</v>
      </c>
      <c r="BH610" t="s">
        <v>2301</v>
      </c>
      <c r="BI610" t="s">
        <v>1053</v>
      </c>
      <c r="BK610" t="s">
        <v>1053</v>
      </c>
      <c r="BO610" t="s">
        <v>1053</v>
      </c>
      <c r="BP610" t="s">
        <v>394</v>
      </c>
      <c r="BQ610" t="s">
        <v>311</v>
      </c>
      <c r="BR610" t="s">
        <v>1053</v>
      </c>
      <c r="BS610" t="s">
        <v>1053</v>
      </c>
      <c r="BT610" t="s">
        <v>1053</v>
      </c>
      <c r="BU610" t="s">
        <v>1053</v>
      </c>
      <c r="BX610" t="str">
        <f>""</f>
        <v/>
      </c>
      <c r="BY610" t="str">
        <f>""</f>
        <v/>
      </c>
      <c r="BZ610" t="str">
        <f>""</f>
        <v/>
      </c>
      <c r="CA610" t="str">
        <f>""</f>
        <v/>
      </c>
      <c r="CB610" t="str">
        <f>""</f>
        <v/>
      </c>
      <c r="CC610" t="str">
        <f>""</f>
        <v/>
      </c>
      <c r="CD610" t="str">
        <f>""</f>
        <v/>
      </c>
      <c r="CE610" t="str">
        <f>""</f>
        <v/>
      </c>
      <c r="CF610" t="str">
        <f>""</f>
        <v/>
      </c>
      <c r="CG610" t="str">
        <f>""</f>
        <v/>
      </c>
      <c r="CH610" t="str">
        <f>""</f>
        <v/>
      </c>
    </row>
    <row r="611" spans="1:86" x14ac:dyDescent="0.25">
      <c r="A611" t="s">
        <v>4649</v>
      </c>
      <c r="B611" t="s">
        <v>4650</v>
      </c>
      <c r="C611" t="s">
        <v>1991</v>
      </c>
      <c r="D611" t="s">
        <v>2010</v>
      </c>
      <c r="E611" t="s">
        <v>4651</v>
      </c>
      <c r="F611" t="s">
        <v>4652</v>
      </c>
      <c r="H611" t="s">
        <v>4653</v>
      </c>
      <c r="I611" t="s">
        <v>592</v>
      </c>
      <c r="J611" t="str">
        <f>"06475-1516"</f>
        <v>06475-1516</v>
      </c>
      <c r="K611" t="s">
        <v>1998</v>
      </c>
      <c r="L611" t="s">
        <v>2033</v>
      </c>
      <c r="M611" t="s">
        <v>4654</v>
      </c>
      <c r="N611" t="s">
        <v>1991</v>
      </c>
      <c r="O611" t="s">
        <v>1991</v>
      </c>
      <c r="P611" t="s">
        <v>1992</v>
      </c>
      <c r="Q611" t="s">
        <v>1992</v>
      </c>
      <c r="R611" t="s">
        <v>1992</v>
      </c>
      <c r="S611" t="s">
        <v>1992</v>
      </c>
      <c r="T611" t="s">
        <v>1992</v>
      </c>
      <c r="U611" t="s">
        <v>1991</v>
      </c>
      <c r="V611" t="s">
        <v>1991</v>
      </c>
      <c r="W611" t="s">
        <v>1991</v>
      </c>
      <c r="X611" t="s">
        <v>1991</v>
      </c>
      <c r="Y611" t="s">
        <v>1992</v>
      </c>
      <c r="Z611" t="s">
        <v>1992</v>
      </c>
      <c r="AE611" t="s">
        <v>4655</v>
      </c>
      <c r="AF611" t="s">
        <v>2016</v>
      </c>
      <c r="AG611" t="s">
        <v>1991</v>
      </c>
      <c r="AH611">
        <v>45</v>
      </c>
      <c r="AI611">
        <v>30</v>
      </c>
      <c r="AJ611" t="s">
        <v>4656</v>
      </c>
      <c r="AK611">
        <v>30</v>
      </c>
      <c r="AL611">
        <v>36475</v>
      </c>
      <c r="AN611" t="s">
        <v>1053</v>
      </c>
      <c r="AO611" t="s">
        <v>1053</v>
      </c>
      <c r="AP611" t="s">
        <v>1053</v>
      </c>
      <c r="AQ611" t="s">
        <v>1053</v>
      </c>
      <c r="AR611" t="s">
        <v>1053</v>
      </c>
      <c r="AS611" t="s">
        <v>4649</v>
      </c>
      <c r="AT611" t="s">
        <v>4657</v>
      </c>
      <c r="AU611" t="s">
        <v>1053</v>
      </c>
      <c r="AV611" t="s">
        <v>1053</v>
      </c>
      <c r="AW611" t="s">
        <v>1053</v>
      </c>
      <c r="AX611" t="s">
        <v>1053</v>
      </c>
      <c r="AY611" t="s">
        <v>1053</v>
      </c>
      <c r="AZ611" t="s">
        <v>4649</v>
      </c>
      <c r="BA611" t="s">
        <v>4657</v>
      </c>
      <c r="BB611" t="s">
        <v>1053</v>
      </c>
      <c r="BC611" t="s">
        <v>1053</v>
      </c>
      <c r="BD611" t="s">
        <v>1053</v>
      </c>
      <c r="BE611" t="s">
        <v>1053</v>
      </c>
      <c r="BF611" t="s">
        <v>1053</v>
      </c>
      <c r="BG611" t="s">
        <v>5548</v>
      </c>
      <c r="BH611" t="s">
        <v>254</v>
      </c>
      <c r="BI611" t="s">
        <v>1053</v>
      </c>
      <c r="BJ611" t="s">
        <v>1053</v>
      </c>
      <c r="BK611" t="s">
        <v>1053</v>
      </c>
      <c r="BL611" t="s">
        <v>1053</v>
      </c>
      <c r="BM611" t="s">
        <v>255</v>
      </c>
      <c r="BN611" t="s">
        <v>256</v>
      </c>
      <c r="BO611" t="s">
        <v>1053</v>
      </c>
      <c r="BP611" t="s">
        <v>6676</v>
      </c>
      <c r="BQ611" t="s">
        <v>254</v>
      </c>
      <c r="BR611" t="s">
        <v>1053</v>
      </c>
      <c r="BS611" t="s">
        <v>1053</v>
      </c>
      <c r="BT611" t="s">
        <v>1053</v>
      </c>
      <c r="BU611" t="s">
        <v>1053</v>
      </c>
      <c r="BV611" t="s">
        <v>255</v>
      </c>
      <c r="BW611" t="s">
        <v>256</v>
      </c>
      <c r="BX611" t="str">
        <f>"SMTWTFS 0500-2200"</f>
        <v>SMTWTFS 0500-2200</v>
      </c>
      <c r="BY611" t="str">
        <f>""</f>
        <v/>
      </c>
      <c r="BZ611" t="str">
        <f>"SMTWTFS 0500-2200"</f>
        <v>SMTWTFS 0500-2200</v>
      </c>
      <c r="CA611" t="str">
        <f>"SMTWTFS 0500-2130"</f>
        <v>SMTWTFS 0500-2130</v>
      </c>
      <c r="CB611" t="str">
        <f>""</f>
        <v/>
      </c>
      <c r="CC611" t="str">
        <f>"SMTWTFS 0500-2200"</f>
        <v>SMTWTFS 0500-2200</v>
      </c>
      <c r="CD611" t="str">
        <f>""</f>
        <v/>
      </c>
      <c r="CE611" t="str">
        <f>""</f>
        <v/>
      </c>
      <c r="CF611" t="str">
        <f>""</f>
        <v/>
      </c>
      <c r="CG611" t="str">
        <f>""</f>
        <v/>
      </c>
      <c r="CH611" t="str">
        <f>""</f>
        <v/>
      </c>
    </row>
    <row r="612" spans="1:86" x14ac:dyDescent="0.25">
      <c r="A612" t="s">
        <v>4658</v>
      </c>
      <c r="B612" t="s">
        <v>4659</v>
      </c>
      <c r="C612" t="s">
        <v>1992</v>
      </c>
      <c r="D612" t="s">
        <v>2010</v>
      </c>
      <c r="E612" t="s">
        <v>4660</v>
      </c>
      <c r="H612" t="s">
        <v>4661</v>
      </c>
      <c r="I612" t="s">
        <v>795</v>
      </c>
      <c r="J612" t="str">
        <f>"50213"</f>
        <v>50213</v>
      </c>
      <c r="K612" t="s">
        <v>1998</v>
      </c>
      <c r="L612" t="s">
        <v>1999</v>
      </c>
      <c r="M612" t="s">
        <v>2000</v>
      </c>
      <c r="N612" t="s">
        <v>1992</v>
      </c>
      <c r="O612" t="s">
        <v>1991</v>
      </c>
      <c r="P612" t="s">
        <v>1992</v>
      </c>
      <c r="Q612" t="s">
        <v>1992</v>
      </c>
      <c r="R612" t="s">
        <v>1992</v>
      </c>
      <c r="S612" t="s">
        <v>1992</v>
      </c>
      <c r="T612" t="s">
        <v>1992</v>
      </c>
      <c r="U612" t="s">
        <v>1992</v>
      </c>
      <c r="V612" t="s">
        <v>1991</v>
      </c>
      <c r="W612" t="s">
        <v>1991</v>
      </c>
      <c r="X612" t="s">
        <v>1992</v>
      </c>
      <c r="Y612" t="s">
        <v>1992</v>
      </c>
      <c r="Z612" t="s">
        <v>1992</v>
      </c>
      <c r="AF612" t="s">
        <v>2001</v>
      </c>
      <c r="AG612" t="s">
        <v>1991</v>
      </c>
      <c r="AH612">
        <v>30</v>
      </c>
      <c r="AI612">
        <v>30</v>
      </c>
      <c r="AJ612" t="s">
        <v>4662</v>
      </c>
      <c r="AK612">
        <v>1136</v>
      </c>
      <c r="AL612">
        <v>4500</v>
      </c>
      <c r="AN612" t="s">
        <v>2066</v>
      </c>
      <c r="AO612" t="s">
        <v>2063</v>
      </c>
      <c r="BF612" t="s">
        <v>1053</v>
      </c>
      <c r="BG612" t="s">
        <v>2097</v>
      </c>
      <c r="BH612" t="s">
        <v>798</v>
      </c>
      <c r="BI612" t="s">
        <v>1053</v>
      </c>
      <c r="BK612" t="s">
        <v>1053</v>
      </c>
      <c r="BL612" t="s">
        <v>1053</v>
      </c>
      <c r="BO612" t="s">
        <v>1053</v>
      </c>
      <c r="BP612" t="s">
        <v>653</v>
      </c>
      <c r="BQ612" t="s">
        <v>2376</v>
      </c>
      <c r="BR612" t="s">
        <v>1053</v>
      </c>
      <c r="BX612" t="str">
        <f>"SMTWTFS 0700-1000 1900-2100"</f>
        <v>SMTWTFS 0700-1000 1900-2100</v>
      </c>
      <c r="BY612" t="str">
        <f>""</f>
        <v/>
      </c>
      <c r="BZ612" t="str">
        <f>""</f>
        <v/>
      </c>
      <c r="CA612" t="str">
        <f>""</f>
        <v/>
      </c>
      <c r="CB612" t="str">
        <f>""</f>
        <v/>
      </c>
      <c r="CC612" t="str">
        <f>"SMTWTFS 0700-1000 1900-2100"</f>
        <v>SMTWTFS 0700-1000 1900-2100</v>
      </c>
      <c r="CD612" t="str">
        <f>""</f>
        <v/>
      </c>
      <c r="CE612" t="str">
        <f>""</f>
        <v/>
      </c>
      <c r="CF612" t="str">
        <f>""</f>
        <v/>
      </c>
      <c r="CG612" t="str">
        <f>""</f>
        <v/>
      </c>
      <c r="CH612" t="str">
        <f>""</f>
        <v/>
      </c>
    </row>
    <row r="613" spans="1:86" x14ac:dyDescent="0.25">
      <c r="A613" t="s">
        <v>4663</v>
      </c>
      <c r="B613" t="s">
        <v>4664</v>
      </c>
      <c r="C613" t="s">
        <v>1991</v>
      </c>
      <c r="D613" t="s">
        <v>2010</v>
      </c>
      <c r="E613" t="s">
        <v>4665</v>
      </c>
      <c r="F613" t="s">
        <v>4666</v>
      </c>
      <c r="H613" t="s">
        <v>4667</v>
      </c>
      <c r="I613" t="s">
        <v>2061</v>
      </c>
      <c r="J613" t="str">
        <f>"92054"</f>
        <v>92054</v>
      </c>
      <c r="K613" t="s">
        <v>1998</v>
      </c>
      <c r="L613" t="s">
        <v>2045</v>
      </c>
      <c r="M613" t="s">
        <v>4668</v>
      </c>
      <c r="N613" t="s">
        <v>1991</v>
      </c>
      <c r="O613" t="s">
        <v>1991</v>
      </c>
      <c r="P613" t="s">
        <v>1991</v>
      </c>
      <c r="Q613" t="s">
        <v>1991</v>
      </c>
      <c r="R613" t="s">
        <v>1991</v>
      </c>
      <c r="S613" t="s">
        <v>1992</v>
      </c>
      <c r="T613" t="s">
        <v>1992</v>
      </c>
      <c r="U613" t="s">
        <v>1991</v>
      </c>
      <c r="V613" t="s">
        <v>1991</v>
      </c>
      <c r="W613" t="s">
        <v>1991</v>
      </c>
      <c r="X613" t="s">
        <v>1991</v>
      </c>
      <c r="Y613" t="s">
        <v>1991</v>
      </c>
      <c r="Z613" t="s">
        <v>1992</v>
      </c>
      <c r="AA613" t="s">
        <v>1991</v>
      </c>
      <c r="AE613" t="s">
        <v>296</v>
      </c>
      <c r="AF613" t="s">
        <v>2064</v>
      </c>
      <c r="AG613" t="s">
        <v>1991</v>
      </c>
      <c r="AH613">
        <v>60</v>
      </c>
      <c r="AI613">
        <v>30</v>
      </c>
      <c r="AJ613" t="s">
        <v>4669</v>
      </c>
      <c r="AK613">
        <v>50</v>
      </c>
      <c r="AL613">
        <v>90000</v>
      </c>
      <c r="AM613" t="s">
        <v>2298</v>
      </c>
      <c r="AN613" t="s">
        <v>1053</v>
      </c>
      <c r="AO613" t="s">
        <v>1053</v>
      </c>
      <c r="AP613" t="s">
        <v>2083</v>
      </c>
      <c r="AQ613" t="s">
        <v>1053</v>
      </c>
      <c r="AR613" t="s">
        <v>2083</v>
      </c>
      <c r="AS613" t="s">
        <v>4663</v>
      </c>
      <c r="AT613" t="s">
        <v>4670</v>
      </c>
      <c r="AU613" t="s">
        <v>1053</v>
      </c>
      <c r="AV613" t="s">
        <v>1053</v>
      </c>
      <c r="AW613" t="s">
        <v>2083</v>
      </c>
      <c r="AX613" t="s">
        <v>1053</v>
      </c>
      <c r="AY613" t="s">
        <v>2083</v>
      </c>
      <c r="AZ613" t="s">
        <v>4663</v>
      </c>
      <c r="BA613" t="s">
        <v>4670</v>
      </c>
      <c r="BB613" t="s">
        <v>1053</v>
      </c>
      <c r="BC613" t="s">
        <v>2083</v>
      </c>
      <c r="BD613" t="s">
        <v>1053</v>
      </c>
      <c r="BE613" t="s">
        <v>2083</v>
      </c>
      <c r="BF613" t="s">
        <v>1053</v>
      </c>
      <c r="BG613" t="s">
        <v>2067</v>
      </c>
      <c r="BH613" t="s">
        <v>275</v>
      </c>
      <c r="BI613" t="s">
        <v>1053</v>
      </c>
      <c r="BJ613" t="s">
        <v>2083</v>
      </c>
      <c r="BK613" t="s">
        <v>1053</v>
      </c>
      <c r="BL613" t="s">
        <v>2083</v>
      </c>
      <c r="BM613" t="s">
        <v>276</v>
      </c>
      <c r="BN613" t="s">
        <v>277</v>
      </c>
      <c r="BO613" t="s">
        <v>1053</v>
      </c>
      <c r="BP613" t="s">
        <v>2067</v>
      </c>
      <c r="BQ613" t="s">
        <v>275</v>
      </c>
      <c r="BR613" t="s">
        <v>1053</v>
      </c>
      <c r="BX613" t="str">
        <f>"SM---FS 0615-2315; --TWT-- 0615-1915 2015-2315"</f>
        <v>SM---FS 0615-2315; --TWT-- 0615-1915 2015-2315</v>
      </c>
      <c r="BY613" t="str">
        <f>"SM---FS 0615-2300; --TWT-- 0615-1915 2015-2300"</f>
        <v>SM---FS 0615-2300; --TWT-- 0615-1915 2015-2300</v>
      </c>
      <c r="BZ613" t="str">
        <f>"SM---FS 0615-2300; --TWT-- 0615-1915 2015-2300"</f>
        <v>SM---FS 0615-2300; --TWT-- 0615-1915 2015-2300</v>
      </c>
      <c r="CA613" t="str">
        <f>"SM---FS 0615-2300; --TWT-- 0615-1915 2015-2300"</f>
        <v>SM---FS 0615-2300; --TWT-- 0615-1915 2015-2300</v>
      </c>
      <c r="CB613" t="str">
        <f>""</f>
        <v/>
      </c>
      <c r="CC613" t="str">
        <f>"SM---FS 0615-2300; --TWT-- 0615-1915 2015-2300"</f>
        <v>SM---FS 0615-2300; --TWT-- 0615-1915 2015-2300</v>
      </c>
      <c r="CD613" t="str">
        <f>"SMTWTFS 0000-2359"</f>
        <v>SMTWTFS 0000-2359</v>
      </c>
      <c r="CE613" t="str">
        <f>""</f>
        <v/>
      </c>
      <c r="CF613" t="str">
        <f>"SM---FS 0615-1800; --TWT-- 0615-1400"</f>
        <v>SM---FS 0615-1800; --TWT-- 0615-1400</v>
      </c>
      <c r="CG613" t="str">
        <f>""</f>
        <v/>
      </c>
      <c r="CH613" t="str">
        <f>""</f>
        <v/>
      </c>
    </row>
    <row r="614" spans="1:86" x14ac:dyDescent="0.25">
      <c r="A614" t="s">
        <v>4671</v>
      </c>
      <c r="B614" t="s">
        <v>4672</v>
      </c>
      <c r="C614" t="s">
        <v>1992</v>
      </c>
      <c r="D614" t="s">
        <v>1993</v>
      </c>
      <c r="E614" t="s">
        <v>4673</v>
      </c>
      <c r="F614" t="s">
        <v>4674</v>
      </c>
      <c r="H614" t="s">
        <v>4675</v>
      </c>
      <c r="I614" t="s">
        <v>1997</v>
      </c>
      <c r="J614" t="str">
        <f>"54902-6871"</f>
        <v>54902-6871</v>
      </c>
      <c r="K614" t="s">
        <v>1998</v>
      </c>
      <c r="L614" t="s">
        <v>1999</v>
      </c>
      <c r="M614" t="s">
        <v>2063</v>
      </c>
      <c r="N614" t="s">
        <v>1992</v>
      </c>
      <c r="O614" t="s">
        <v>1992</v>
      </c>
      <c r="P614" t="s">
        <v>1992</v>
      </c>
      <c r="Q614" t="s">
        <v>1992</v>
      </c>
      <c r="R614" t="s">
        <v>1992</v>
      </c>
      <c r="S614" t="s">
        <v>1992</v>
      </c>
      <c r="T614" t="s">
        <v>1992</v>
      </c>
      <c r="U614" t="s">
        <v>1992</v>
      </c>
      <c r="V614" t="s">
        <v>1991</v>
      </c>
      <c r="W614" t="s">
        <v>1992</v>
      </c>
      <c r="X614" t="s">
        <v>1992</v>
      </c>
      <c r="Y614" t="s">
        <v>1992</v>
      </c>
      <c r="Z614" t="s">
        <v>1991</v>
      </c>
      <c r="AF614" t="s">
        <v>2001</v>
      </c>
      <c r="AG614" t="s">
        <v>1991</v>
      </c>
      <c r="AH614">
        <v>30</v>
      </c>
      <c r="AI614">
        <v>30</v>
      </c>
      <c r="AJ614" t="s">
        <v>4676</v>
      </c>
      <c r="AK614">
        <v>773</v>
      </c>
      <c r="BF614" t="s">
        <v>1053</v>
      </c>
      <c r="BG614" t="s">
        <v>2067</v>
      </c>
      <c r="BH614" t="s">
        <v>286</v>
      </c>
      <c r="BI614" t="s">
        <v>1053</v>
      </c>
      <c r="BJ614" t="s">
        <v>2069</v>
      </c>
      <c r="BK614" t="s">
        <v>1053</v>
      </c>
      <c r="BL614" t="s">
        <v>2069</v>
      </c>
      <c r="BM614" t="s">
        <v>287</v>
      </c>
      <c r="BN614" t="s">
        <v>1562</v>
      </c>
      <c r="BO614" t="s">
        <v>1053</v>
      </c>
      <c r="BP614" t="s">
        <v>1563</v>
      </c>
      <c r="BQ614" t="s">
        <v>290</v>
      </c>
      <c r="BR614" t="s">
        <v>1053</v>
      </c>
      <c r="BS614" t="s">
        <v>1053</v>
      </c>
      <c r="BT614" t="s">
        <v>1053</v>
      </c>
      <c r="BU614" t="s">
        <v>1053</v>
      </c>
      <c r="BX614" t="str">
        <f>""</f>
        <v/>
      </c>
      <c r="BY614" t="str">
        <f>""</f>
        <v/>
      </c>
      <c r="BZ614" t="str">
        <f>""</f>
        <v/>
      </c>
      <c r="CA614" t="str">
        <f>""</f>
        <v/>
      </c>
      <c r="CB614" t="str">
        <f>""</f>
        <v/>
      </c>
      <c r="CC614" t="str">
        <f>""</f>
        <v/>
      </c>
      <c r="CD614" t="str">
        <f>""</f>
        <v/>
      </c>
      <c r="CE614" t="str">
        <f>""</f>
        <v/>
      </c>
      <c r="CF614" t="str">
        <f>""</f>
        <v/>
      </c>
      <c r="CG614" t="str">
        <f>""</f>
        <v/>
      </c>
      <c r="CH614" t="str">
        <f>""</f>
        <v/>
      </c>
    </row>
    <row r="615" spans="1:86" x14ac:dyDescent="0.25">
      <c r="A615" t="s">
        <v>4677</v>
      </c>
      <c r="B615" t="s">
        <v>4678</v>
      </c>
      <c r="C615" t="s">
        <v>1992</v>
      </c>
      <c r="D615" t="s">
        <v>1993</v>
      </c>
      <c r="E615" t="s">
        <v>4679</v>
      </c>
      <c r="F615" t="s">
        <v>4680</v>
      </c>
      <c r="H615" t="s">
        <v>4675</v>
      </c>
      <c r="I615" t="s">
        <v>1997</v>
      </c>
      <c r="J615" t="str">
        <f>"54901"</f>
        <v>54901</v>
      </c>
      <c r="K615" t="s">
        <v>1998</v>
      </c>
      <c r="L615" t="s">
        <v>1999</v>
      </c>
      <c r="M615" t="s">
        <v>2000</v>
      </c>
      <c r="N615" t="s">
        <v>1992</v>
      </c>
      <c r="O615" t="s">
        <v>1992</v>
      </c>
      <c r="P615" t="s">
        <v>1992</v>
      </c>
      <c r="Q615" t="s">
        <v>1992</v>
      </c>
      <c r="R615" t="s">
        <v>1992</v>
      </c>
      <c r="S615" t="s">
        <v>1992</v>
      </c>
      <c r="T615" t="s">
        <v>1992</v>
      </c>
      <c r="U615" t="s">
        <v>1992</v>
      </c>
      <c r="V615" t="s">
        <v>1991</v>
      </c>
      <c r="Z615" t="s">
        <v>1991</v>
      </c>
      <c r="AF615" t="s">
        <v>2001</v>
      </c>
      <c r="AG615" t="s">
        <v>1991</v>
      </c>
      <c r="AH615">
        <v>15</v>
      </c>
      <c r="AI615">
        <v>15</v>
      </c>
      <c r="AJ615" t="s">
        <v>4681</v>
      </c>
      <c r="AK615">
        <v>754</v>
      </c>
      <c r="BF615" t="s">
        <v>1053</v>
      </c>
      <c r="BG615" t="s">
        <v>2067</v>
      </c>
      <c r="BH615" t="s">
        <v>286</v>
      </c>
      <c r="BI615" t="s">
        <v>1053</v>
      </c>
      <c r="BJ615" t="s">
        <v>2069</v>
      </c>
      <c r="BK615" t="s">
        <v>1053</v>
      </c>
      <c r="BL615" t="s">
        <v>2069</v>
      </c>
      <c r="BM615" t="s">
        <v>287</v>
      </c>
      <c r="BN615" t="s">
        <v>1562</v>
      </c>
      <c r="BO615" t="s">
        <v>1053</v>
      </c>
      <c r="BP615" t="s">
        <v>289</v>
      </c>
      <c r="BQ615" t="s">
        <v>290</v>
      </c>
      <c r="BR615" t="s">
        <v>1053</v>
      </c>
      <c r="BS615" t="s">
        <v>1053</v>
      </c>
      <c r="BT615" t="s">
        <v>1053</v>
      </c>
      <c r="BU615" t="s">
        <v>1053</v>
      </c>
      <c r="BX615" t="str">
        <f>""</f>
        <v/>
      </c>
      <c r="BY615" t="str">
        <f>""</f>
        <v/>
      </c>
      <c r="BZ615" t="str">
        <f>""</f>
        <v/>
      </c>
      <c r="CA615" t="str">
        <f>""</f>
        <v/>
      </c>
      <c r="CB615" t="str">
        <f>""</f>
        <v/>
      </c>
      <c r="CC615" t="str">
        <f>""</f>
        <v/>
      </c>
      <c r="CD615" t="str">
        <f>""</f>
        <v/>
      </c>
      <c r="CE615" t="str">
        <f>""</f>
        <v/>
      </c>
      <c r="CF615" t="str">
        <f>""</f>
        <v/>
      </c>
      <c r="CG615" t="str">
        <f>""</f>
        <v/>
      </c>
      <c r="CH615" t="str">
        <f>""</f>
        <v/>
      </c>
    </row>
    <row r="616" spans="1:86" x14ac:dyDescent="0.25">
      <c r="A616" t="s">
        <v>4682</v>
      </c>
      <c r="B616" t="s">
        <v>4683</v>
      </c>
      <c r="C616" t="s">
        <v>1991</v>
      </c>
      <c r="D616" t="s">
        <v>2010</v>
      </c>
      <c r="E616" t="s">
        <v>4684</v>
      </c>
      <c r="H616" t="s">
        <v>4685</v>
      </c>
      <c r="I616" t="s">
        <v>795</v>
      </c>
      <c r="J616" t="str">
        <f>"52501"</f>
        <v>52501</v>
      </c>
      <c r="K616" t="s">
        <v>1998</v>
      </c>
      <c r="L616" t="s">
        <v>1999</v>
      </c>
      <c r="M616" t="s">
        <v>4686</v>
      </c>
      <c r="N616" t="s">
        <v>1991</v>
      </c>
      <c r="O616" t="s">
        <v>1992</v>
      </c>
      <c r="P616" t="s">
        <v>1992</v>
      </c>
      <c r="Q616" t="s">
        <v>1992</v>
      </c>
      <c r="R616" t="s">
        <v>1992</v>
      </c>
      <c r="S616" t="s">
        <v>1992</v>
      </c>
      <c r="T616" t="s">
        <v>1992</v>
      </c>
      <c r="U616" t="s">
        <v>1991</v>
      </c>
      <c r="V616" t="s">
        <v>1991</v>
      </c>
      <c r="W616" t="s">
        <v>1991</v>
      </c>
      <c r="X616" t="s">
        <v>1992</v>
      </c>
      <c r="Y616" t="s">
        <v>1992</v>
      </c>
      <c r="Z616" t="s">
        <v>1992</v>
      </c>
      <c r="AE616" t="s">
        <v>2047</v>
      </c>
      <c r="AF616" t="s">
        <v>2001</v>
      </c>
      <c r="AG616" t="s">
        <v>1991</v>
      </c>
      <c r="AH616">
        <v>60</v>
      </c>
      <c r="AI616">
        <v>30</v>
      </c>
      <c r="AJ616" t="s">
        <v>4687</v>
      </c>
      <c r="AK616">
        <v>648</v>
      </c>
      <c r="AL616">
        <v>35000</v>
      </c>
      <c r="AM616" t="s">
        <v>4688</v>
      </c>
      <c r="AN616" t="s">
        <v>1053</v>
      </c>
      <c r="AO616" t="s">
        <v>1053</v>
      </c>
      <c r="AP616" t="s">
        <v>2069</v>
      </c>
      <c r="AQ616" t="s">
        <v>1053</v>
      </c>
      <c r="AR616" t="s">
        <v>2069</v>
      </c>
      <c r="AS616" t="s">
        <v>4682</v>
      </c>
      <c r="AT616" t="s">
        <v>4689</v>
      </c>
      <c r="AU616" t="s">
        <v>1053</v>
      </c>
      <c r="AV616" t="s">
        <v>1053</v>
      </c>
      <c r="AW616" t="s">
        <v>2069</v>
      </c>
      <c r="AX616" t="s">
        <v>1053</v>
      </c>
      <c r="AY616" t="s">
        <v>2069</v>
      </c>
      <c r="AZ616" t="s">
        <v>4682</v>
      </c>
      <c r="BA616" t="s">
        <v>4689</v>
      </c>
      <c r="BB616" t="s">
        <v>1053</v>
      </c>
      <c r="BC616" t="s">
        <v>2069</v>
      </c>
      <c r="BD616" t="s">
        <v>1053</v>
      </c>
      <c r="BE616" t="s">
        <v>2069</v>
      </c>
      <c r="BF616" t="s">
        <v>1053</v>
      </c>
      <c r="BG616" t="s">
        <v>2097</v>
      </c>
      <c r="BH616" t="s">
        <v>798</v>
      </c>
      <c r="BI616" t="s">
        <v>1053</v>
      </c>
      <c r="BK616" t="s">
        <v>1053</v>
      </c>
      <c r="BL616" t="s">
        <v>1053</v>
      </c>
      <c r="BO616" t="s">
        <v>1053</v>
      </c>
      <c r="BP616" t="s">
        <v>653</v>
      </c>
      <c r="BQ616" t="s">
        <v>2376</v>
      </c>
      <c r="BR616" t="s">
        <v>1053</v>
      </c>
      <c r="BX616" t="str">
        <f>"S-----S 0830-1130 1800-2000; -MTWTF- 0830-1130 1730-2000"</f>
        <v>S-----S 0830-1130 1800-2000; -MTWTF- 0830-1130 1730-2000</v>
      </c>
      <c r="BY616" t="str">
        <f>""</f>
        <v/>
      </c>
      <c r="BZ616" t="str">
        <f>"-MTWTF- 0900-1200 1730-2000"</f>
        <v>-MTWTF- 0900-1200 1730-2000</v>
      </c>
      <c r="CA616" t="str">
        <f>"-MTWTF- 0830-1130 1730-2000"</f>
        <v>-MTWTF- 0830-1130 1730-2000</v>
      </c>
      <c r="CB616" t="str">
        <f>""</f>
        <v/>
      </c>
      <c r="CC616" t="str">
        <f>""</f>
        <v/>
      </c>
      <c r="CD616" t="str">
        <f>""</f>
        <v/>
      </c>
      <c r="CE616" t="str">
        <f>""</f>
        <v/>
      </c>
      <c r="CF616" t="str">
        <f>""</f>
        <v/>
      </c>
      <c r="CG616" t="str">
        <f>""</f>
        <v/>
      </c>
      <c r="CH616" t="str">
        <f>""</f>
        <v/>
      </c>
    </row>
    <row r="617" spans="1:86" x14ac:dyDescent="0.25">
      <c r="A617" t="s">
        <v>4690</v>
      </c>
      <c r="B617" t="s">
        <v>4691</v>
      </c>
      <c r="D617" t="s">
        <v>2089</v>
      </c>
      <c r="E617" t="s">
        <v>4692</v>
      </c>
      <c r="F617" t="s">
        <v>497</v>
      </c>
      <c r="H617" t="s">
        <v>4693</v>
      </c>
      <c r="I617" t="s">
        <v>2014</v>
      </c>
      <c r="J617" t="str">
        <f>"21113"</f>
        <v>21113</v>
      </c>
      <c r="K617" t="s">
        <v>1998</v>
      </c>
      <c r="L617" t="s">
        <v>499</v>
      </c>
      <c r="M617" t="s">
        <v>500</v>
      </c>
      <c r="O617" t="s">
        <v>1992</v>
      </c>
      <c r="AF617" t="s">
        <v>2016</v>
      </c>
      <c r="AG617" t="s">
        <v>1991</v>
      </c>
      <c r="AJ617" t="s">
        <v>2090</v>
      </c>
      <c r="AM617" t="s">
        <v>501</v>
      </c>
      <c r="BX617" t="str">
        <f>""</f>
        <v/>
      </c>
      <c r="BY617" t="str">
        <f>""</f>
        <v/>
      </c>
      <c r="BZ617" t="str">
        <f>""</f>
        <v/>
      </c>
      <c r="CA617" t="str">
        <f>""</f>
        <v/>
      </c>
      <c r="CB617" t="str">
        <f>""</f>
        <v/>
      </c>
      <c r="CC617" t="str">
        <f>""</f>
        <v/>
      </c>
      <c r="CD617" t="str">
        <f>""</f>
        <v/>
      </c>
      <c r="CE617" t="str">
        <f>""</f>
        <v/>
      </c>
      <c r="CF617" t="str">
        <f>""</f>
        <v/>
      </c>
      <c r="CG617" t="str">
        <f>""</f>
        <v/>
      </c>
      <c r="CH617" t="str">
        <f>""</f>
        <v/>
      </c>
    </row>
    <row r="618" spans="1:86" x14ac:dyDescent="0.25">
      <c r="A618" t="s">
        <v>4694</v>
      </c>
      <c r="B618" t="s">
        <v>4695</v>
      </c>
      <c r="C618" t="s">
        <v>1992</v>
      </c>
      <c r="D618" t="s">
        <v>2010</v>
      </c>
      <c r="E618" t="s">
        <v>4696</v>
      </c>
      <c r="F618" t="s">
        <v>4697</v>
      </c>
      <c r="H618" t="s">
        <v>4698</v>
      </c>
      <c r="I618" t="s">
        <v>2352</v>
      </c>
      <c r="J618" t="str">
        <f>"48867"</f>
        <v>48867</v>
      </c>
      <c r="K618" t="s">
        <v>1998</v>
      </c>
      <c r="L618" t="s">
        <v>1999</v>
      </c>
      <c r="M618" t="s">
        <v>4699</v>
      </c>
      <c r="N618" t="s">
        <v>1992</v>
      </c>
      <c r="O618" t="s">
        <v>1992</v>
      </c>
      <c r="P618" t="s">
        <v>1992</v>
      </c>
      <c r="Q618" t="s">
        <v>1992</v>
      </c>
      <c r="R618" t="s">
        <v>1992</v>
      </c>
      <c r="S618" t="s">
        <v>1992</v>
      </c>
      <c r="T618" t="s">
        <v>1992</v>
      </c>
      <c r="U618" t="s">
        <v>1992</v>
      </c>
      <c r="V618" t="s">
        <v>1991</v>
      </c>
      <c r="Z618" t="s">
        <v>1991</v>
      </c>
      <c r="AE618" t="s">
        <v>539</v>
      </c>
      <c r="AF618" t="s">
        <v>2016</v>
      </c>
      <c r="AG618" t="s">
        <v>1991</v>
      </c>
      <c r="AH618">
        <v>30</v>
      </c>
      <c r="AI618">
        <v>30</v>
      </c>
      <c r="AJ618" t="s">
        <v>4700</v>
      </c>
      <c r="AK618">
        <v>732</v>
      </c>
      <c r="BF618" t="s">
        <v>1053</v>
      </c>
      <c r="BG618" t="s">
        <v>541</v>
      </c>
      <c r="BH618" t="s">
        <v>2312</v>
      </c>
      <c r="BI618" t="s">
        <v>1053</v>
      </c>
      <c r="BK618" t="s">
        <v>1053</v>
      </c>
      <c r="BO618" t="s">
        <v>1053</v>
      </c>
      <c r="BP618" t="s">
        <v>542</v>
      </c>
      <c r="BQ618" t="s">
        <v>2316</v>
      </c>
      <c r="BR618" t="s">
        <v>1053</v>
      </c>
      <c r="BT618" t="s">
        <v>1053</v>
      </c>
      <c r="BX618" t="str">
        <f>""</f>
        <v/>
      </c>
      <c r="BY618" t="str">
        <f>""</f>
        <v/>
      </c>
      <c r="BZ618" t="str">
        <f>""</f>
        <v/>
      </c>
      <c r="CA618" t="str">
        <f>""</f>
        <v/>
      </c>
      <c r="CB618" t="str">
        <f>""</f>
        <v/>
      </c>
      <c r="CC618" t="str">
        <f>""</f>
        <v/>
      </c>
      <c r="CD618" t="str">
        <f>""</f>
        <v/>
      </c>
      <c r="CE618" t="str">
        <f>""</f>
        <v/>
      </c>
      <c r="CF618" t="str">
        <f>""</f>
        <v/>
      </c>
      <c r="CG618" t="str">
        <f>""</f>
        <v/>
      </c>
      <c r="CH618" t="str">
        <f>""</f>
        <v/>
      </c>
    </row>
    <row r="619" spans="1:86" x14ac:dyDescent="0.25">
      <c r="A619" t="s">
        <v>4701</v>
      </c>
      <c r="B619" t="s">
        <v>4702</v>
      </c>
      <c r="C619" t="s">
        <v>1991</v>
      </c>
      <c r="D619" t="s">
        <v>2010</v>
      </c>
      <c r="E619" t="s">
        <v>4703</v>
      </c>
      <c r="F619" t="s">
        <v>4704</v>
      </c>
      <c r="H619" t="s">
        <v>4705</v>
      </c>
      <c r="I619" t="s">
        <v>2061</v>
      </c>
      <c r="J619" t="str">
        <f>"93030"</f>
        <v>93030</v>
      </c>
      <c r="K619" t="s">
        <v>1998</v>
      </c>
      <c r="L619" t="s">
        <v>2045</v>
      </c>
      <c r="M619" t="s">
        <v>4706</v>
      </c>
      <c r="N619" t="s">
        <v>1991</v>
      </c>
      <c r="O619" t="s">
        <v>1991</v>
      </c>
      <c r="P619" t="s">
        <v>1991</v>
      </c>
      <c r="Q619" t="s">
        <v>1991</v>
      </c>
      <c r="R619" t="s">
        <v>1991</v>
      </c>
      <c r="S619" t="s">
        <v>1992</v>
      </c>
      <c r="T619" t="s">
        <v>1992</v>
      </c>
      <c r="U619" t="s">
        <v>1991</v>
      </c>
      <c r="V619" t="s">
        <v>1991</v>
      </c>
      <c r="W619" t="s">
        <v>1991</v>
      </c>
      <c r="X619" t="s">
        <v>1991</v>
      </c>
      <c r="Y619" t="s">
        <v>1991</v>
      </c>
      <c r="Z619" t="s">
        <v>1991</v>
      </c>
      <c r="AA619" t="s">
        <v>1991</v>
      </c>
      <c r="AE619" t="s">
        <v>2047</v>
      </c>
      <c r="AF619" t="s">
        <v>2064</v>
      </c>
      <c r="AG619" t="s">
        <v>1991</v>
      </c>
      <c r="AH619">
        <v>60</v>
      </c>
      <c r="AI619">
        <v>30</v>
      </c>
      <c r="AJ619" t="s">
        <v>4707</v>
      </c>
      <c r="AK619">
        <v>55</v>
      </c>
      <c r="AL619">
        <v>126000</v>
      </c>
      <c r="AM619" t="s">
        <v>2298</v>
      </c>
      <c r="AN619" t="s">
        <v>1053</v>
      </c>
      <c r="AO619" t="s">
        <v>1053</v>
      </c>
      <c r="AP619" t="s">
        <v>2069</v>
      </c>
      <c r="AQ619" t="s">
        <v>1053</v>
      </c>
      <c r="AR619" t="s">
        <v>2069</v>
      </c>
      <c r="AS619" t="s">
        <v>4701</v>
      </c>
      <c r="AT619" t="s">
        <v>4708</v>
      </c>
      <c r="AU619" t="s">
        <v>1053</v>
      </c>
      <c r="AV619" t="s">
        <v>1053</v>
      </c>
      <c r="AW619" t="s">
        <v>2069</v>
      </c>
      <c r="AX619" t="s">
        <v>1053</v>
      </c>
      <c r="AY619" t="s">
        <v>2069</v>
      </c>
      <c r="AZ619" t="s">
        <v>4701</v>
      </c>
      <c r="BA619" t="s">
        <v>4708</v>
      </c>
      <c r="BB619" t="s">
        <v>1053</v>
      </c>
      <c r="BC619" t="s">
        <v>2069</v>
      </c>
      <c r="BD619" t="s">
        <v>1053</v>
      </c>
      <c r="BE619" t="s">
        <v>2069</v>
      </c>
      <c r="BF619" t="s">
        <v>1053</v>
      </c>
      <c r="BG619" t="s">
        <v>2067</v>
      </c>
      <c r="BH619" t="s">
        <v>275</v>
      </c>
      <c r="BI619" t="s">
        <v>1053</v>
      </c>
      <c r="BJ619" t="s">
        <v>2069</v>
      </c>
      <c r="BK619" t="s">
        <v>1053</v>
      </c>
      <c r="BL619" t="s">
        <v>2069</v>
      </c>
      <c r="BM619" t="s">
        <v>276</v>
      </c>
      <c r="BN619" t="s">
        <v>277</v>
      </c>
      <c r="BO619" t="s">
        <v>1053</v>
      </c>
      <c r="BP619" t="s">
        <v>2067</v>
      </c>
      <c r="BQ619" t="s">
        <v>275</v>
      </c>
      <c r="BR619" t="s">
        <v>1053</v>
      </c>
      <c r="BX619" t="str">
        <f>"SMTWTFS 0600-2100"</f>
        <v>SMTWTFS 0600-2100</v>
      </c>
      <c r="BY619" t="str">
        <f>"SMTWTFS 0630-1915"</f>
        <v>SMTWTFS 0630-1915</v>
      </c>
      <c r="BZ619" t="str">
        <f>"SMTWTFS 0900-1700"</f>
        <v>SMTWTFS 0900-1700</v>
      </c>
      <c r="CA619" t="str">
        <f>"SMTWTFS 0630-2045"</f>
        <v>SMTWTFS 0630-2045</v>
      </c>
      <c r="CB619" t="str">
        <f>""</f>
        <v/>
      </c>
      <c r="CC619" t="str">
        <f>"SMTWTFS 0600-2100"</f>
        <v>SMTWTFS 0600-2100</v>
      </c>
      <c r="CD619" t="str">
        <f>"SMTWTFS 0000-2359"</f>
        <v>SMTWTFS 0000-2359</v>
      </c>
      <c r="CE619" t="str">
        <f>""</f>
        <v/>
      </c>
      <c r="CF619" t="str">
        <f>"SMTWTFS 0630-2000"</f>
        <v>SMTWTFS 0630-2000</v>
      </c>
      <c r="CG619" t="str">
        <f>""</f>
        <v/>
      </c>
      <c r="CH619" t="str">
        <f>""</f>
        <v/>
      </c>
    </row>
    <row r="620" spans="1:86" x14ac:dyDescent="0.25">
      <c r="A620" t="s">
        <v>4709</v>
      </c>
      <c r="B620" t="s">
        <v>4710</v>
      </c>
      <c r="C620" t="s">
        <v>1992</v>
      </c>
      <c r="D620" t="s">
        <v>2331</v>
      </c>
      <c r="E620" t="s">
        <v>4711</v>
      </c>
      <c r="H620" t="s">
        <v>4712</v>
      </c>
      <c r="I620" t="s">
        <v>558</v>
      </c>
      <c r="J620" t="str">
        <f>"32177-3615"</f>
        <v>32177-3615</v>
      </c>
      <c r="K620" t="s">
        <v>1998</v>
      </c>
      <c r="L620" t="s">
        <v>408</v>
      </c>
      <c r="M620" t="s">
        <v>2063</v>
      </c>
      <c r="N620" t="s">
        <v>1992</v>
      </c>
      <c r="O620" t="s">
        <v>1992</v>
      </c>
      <c r="P620" t="s">
        <v>1992</v>
      </c>
      <c r="Q620" t="s">
        <v>1992</v>
      </c>
      <c r="R620" t="s">
        <v>1992</v>
      </c>
      <c r="S620" t="s">
        <v>1992</v>
      </c>
      <c r="T620" t="s">
        <v>1992</v>
      </c>
      <c r="U620" t="s">
        <v>1992</v>
      </c>
      <c r="V620" t="s">
        <v>1991</v>
      </c>
      <c r="W620" t="s">
        <v>1991</v>
      </c>
      <c r="X620" t="s">
        <v>1992</v>
      </c>
      <c r="Y620" t="s">
        <v>1992</v>
      </c>
      <c r="Z620" t="s">
        <v>1992</v>
      </c>
      <c r="AA620" t="s">
        <v>1992</v>
      </c>
      <c r="AF620" t="s">
        <v>2016</v>
      </c>
      <c r="AG620" t="s">
        <v>1991</v>
      </c>
      <c r="AH620">
        <v>30</v>
      </c>
      <c r="AI620">
        <v>30</v>
      </c>
      <c r="AJ620" t="s">
        <v>4713</v>
      </c>
      <c r="AK620">
        <v>20</v>
      </c>
      <c r="AN620" t="s">
        <v>2066</v>
      </c>
      <c r="AO620" t="s">
        <v>2063</v>
      </c>
      <c r="AU620" t="s">
        <v>4714</v>
      </c>
      <c r="BF620" t="s">
        <v>1053</v>
      </c>
      <c r="BG620" t="s">
        <v>2019</v>
      </c>
      <c r="BH620" t="s">
        <v>2164</v>
      </c>
      <c r="BI620" t="s">
        <v>1053</v>
      </c>
      <c r="BJ620" t="s">
        <v>1053</v>
      </c>
      <c r="BK620" t="s">
        <v>1053</v>
      </c>
      <c r="BL620" t="s">
        <v>1053</v>
      </c>
      <c r="BM620" t="s">
        <v>1049</v>
      </c>
      <c r="BN620" t="s">
        <v>1050</v>
      </c>
      <c r="BO620" t="s">
        <v>1053</v>
      </c>
      <c r="BP620" t="s">
        <v>4715</v>
      </c>
      <c r="BQ620" t="s">
        <v>564</v>
      </c>
      <c r="BR620" t="s">
        <v>1053</v>
      </c>
      <c r="BS620" t="s">
        <v>1053</v>
      </c>
      <c r="BT620" t="s">
        <v>1053</v>
      </c>
      <c r="BU620" t="s">
        <v>1053</v>
      </c>
      <c r="BV620" t="s">
        <v>1052</v>
      </c>
      <c r="BW620" t="s">
        <v>170</v>
      </c>
      <c r="BX620" t="str">
        <f>""</f>
        <v/>
      </c>
      <c r="BY620" t="str">
        <f>""</f>
        <v/>
      </c>
      <c r="BZ620" t="str">
        <f>""</f>
        <v/>
      </c>
      <c r="CA620" t="str">
        <f>""</f>
        <v/>
      </c>
      <c r="CB620" t="str">
        <f>""</f>
        <v/>
      </c>
      <c r="CC620" t="str">
        <f>""</f>
        <v/>
      </c>
      <c r="CD620" t="str">
        <f>""</f>
        <v/>
      </c>
      <c r="CE620" t="str">
        <f>""</f>
        <v/>
      </c>
      <c r="CF620" t="str">
        <f>""</f>
        <v/>
      </c>
      <c r="CG620" t="str">
        <f>""</f>
        <v/>
      </c>
      <c r="CH620" t="str">
        <f>""</f>
        <v/>
      </c>
    </row>
    <row r="621" spans="1:86" x14ac:dyDescent="0.25">
      <c r="A621" t="s">
        <v>4716</v>
      </c>
      <c r="B621" t="s">
        <v>4717</v>
      </c>
      <c r="C621" t="s">
        <v>1991</v>
      </c>
      <c r="D621" t="s">
        <v>2010</v>
      </c>
      <c r="E621" t="s">
        <v>4718</v>
      </c>
      <c r="F621" t="s">
        <v>4719</v>
      </c>
      <c r="H621" t="s">
        <v>4720</v>
      </c>
      <c r="I621" t="s">
        <v>2388</v>
      </c>
      <c r="J621" t="str">
        <f>"19301"</f>
        <v>19301</v>
      </c>
      <c r="K621" t="s">
        <v>1998</v>
      </c>
      <c r="L621" t="s">
        <v>2015</v>
      </c>
      <c r="M621" t="s">
        <v>4721</v>
      </c>
      <c r="N621" t="s">
        <v>1991</v>
      </c>
      <c r="O621" t="s">
        <v>1991</v>
      </c>
      <c r="P621" t="s">
        <v>1992</v>
      </c>
      <c r="Q621" t="s">
        <v>1992</v>
      </c>
      <c r="R621" t="s">
        <v>1992</v>
      </c>
      <c r="S621" t="s">
        <v>1992</v>
      </c>
      <c r="T621" t="s">
        <v>1992</v>
      </c>
      <c r="U621" t="s">
        <v>1991</v>
      </c>
      <c r="V621" t="s">
        <v>1991</v>
      </c>
      <c r="W621" t="s">
        <v>1991</v>
      </c>
      <c r="X621" t="s">
        <v>1991</v>
      </c>
      <c r="Y621" t="s">
        <v>1992</v>
      </c>
      <c r="Z621" t="s">
        <v>1992</v>
      </c>
      <c r="AA621" t="s">
        <v>1992</v>
      </c>
      <c r="AE621" t="s">
        <v>4722</v>
      </c>
      <c r="AF621" t="s">
        <v>2016</v>
      </c>
      <c r="AG621" t="s">
        <v>1991</v>
      </c>
      <c r="AH621">
        <v>45</v>
      </c>
      <c r="AI621">
        <v>30</v>
      </c>
      <c r="AJ621" t="s">
        <v>4723</v>
      </c>
      <c r="AK621">
        <v>549</v>
      </c>
      <c r="AL621">
        <v>7000</v>
      </c>
      <c r="AN621" t="s">
        <v>1053</v>
      </c>
      <c r="AO621" t="s">
        <v>1053</v>
      </c>
      <c r="AP621" t="s">
        <v>2069</v>
      </c>
      <c r="AQ621" t="s">
        <v>2063</v>
      </c>
      <c r="AR621" t="s">
        <v>2069</v>
      </c>
      <c r="AS621" t="s">
        <v>4716</v>
      </c>
      <c r="AT621" t="s">
        <v>4724</v>
      </c>
      <c r="AU621" t="s">
        <v>1053</v>
      </c>
      <c r="AV621" t="s">
        <v>1053</v>
      </c>
      <c r="AW621" t="s">
        <v>2069</v>
      </c>
      <c r="AX621" t="s">
        <v>2063</v>
      </c>
      <c r="AY621" t="s">
        <v>2069</v>
      </c>
      <c r="AZ621" t="s">
        <v>4716</v>
      </c>
      <c r="BA621" t="s">
        <v>4724</v>
      </c>
      <c r="BB621" t="s">
        <v>1053</v>
      </c>
      <c r="BC621" t="s">
        <v>2069</v>
      </c>
      <c r="BD621" t="s">
        <v>1053</v>
      </c>
      <c r="BE621" t="s">
        <v>2069</v>
      </c>
      <c r="BF621" t="s">
        <v>1053</v>
      </c>
      <c r="BG621" t="s">
        <v>4725</v>
      </c>
      <c r="BH621" t="s">
        <v>318</v>
      </c>
      <c r="BI621" t="s">
        <v>1053</v>
      </c>
      <c r="BJ621" t="s">
        <v>1053</v>
      </c>
      <c r="BK621" t="s">
        <v>1053</v>
      </c>
      <c r="BL621" t="s">
        <v>1053</v>
      </c>
      <c r="BM621" t="s">
        <v>319</v>
      </c>
      <c r="BN621" t="s">
        <v>4726</v>
      </c>
      <c r="BO621" t="s">
        <v>1053</v>
      </c>
      <c r="BP621" t="s">
        <v>4727</v>
      </c>
      <c r="BQ621" t="s">
        <v>318</v>
      </c>
      <c r="BR621" t="s">
        <v>1053</v>
      </c>
      <c r="BS621" t="s">
        <v>1053</v>
      </c>
      <c r="BT621" t="s">
        <v>1053</v>
      </c>
      <c r="BU621" t="s">
        <v>1053</v>
      </c>
      <c r="BV621" t="s">
        <v>319</v>
      </c>
      <c r="BW621" t="s">
        <v>4726</v>
      </c>
      <c r="BX621" t="str">
        <f>"S------ 0815-1415; -MTWTF- 0500-1845; ------S 0700-1500"</f>
        <v>S------ 0815-1415; -MTWTF- 0500-1845; ------S 0700-1500</v>
      </c>
      <c r="BY621" t="str">
        <f>""</f>
        <v/>
      </c>
      <c r="BZ621" t="str">
        <f>""</f>
        <v/>
      </c>
      <c r="CA621" t="str">
        <f>"-MTWTF- 0600-1230 1330-1430"</f>
        <v>-MTWTF- 0600-1230 1330-1430</v>
      </c>
      <c r="CB621" t="str">
        <f>""</f>
        <v/>
      </c>
      <c r="CC621" t="str">
        <f>"S------ 0815-1415; -MTWTF- 0500-1845; ------S 0700-1500"</f>
        <v>S------ 0815-1415; -MTWTF- 0500-1845; ------S 0700-1500</v>
      </c>
      <c r="CD621" t="str">
        <f>""</f>
        <v/>
      </c>
      <c r="CE621" t="str">
        <f>""</f>
        <v/>
      </c>
      <c r="CF621" t="str">
        <f>""</f>
        <v/>
      </c>
      <c r="CG621" t="str">
        <f>""</f>
        <v/>
      </c>
      <c r="CH621" t="str">
        <f>""</f>
        <v/>
      </c>
    </row>
    <row r="622" spans="1:86" x14ac:dyDescent="0.25">
      <c r="A622" t="s">
        <v>4728</v>
      </c>
      <c r="B622" t="s">
        <v>4729</v>
      </c>
      <c r="C622" t="s">
        <v>1992</v>
      </c>
      <c r="D622" t="s">
        <v>2028</v>
      </c>
      <c r="E622" t="s">
        <v>4730</v>
      </c>
      <c r="H622" t="s">
        <v>4731</v>
      </c>
      <c r="I622" t="s">
        <v>2388</v>
      </c>
      <c r="J622" t="str">
        <f>"19365"</f>
        <v>19365</v>
      </c>
      <c r="K622" t="s">
        <v>1998</v>
      </c>
      <c r="L622" t="s">
        <v>2015</v>
      </c>
      <c r="M622" t="s">
        <v>2063</v>
      </c>
      <c r="N622" t="s">
        <v>1992</v>
      </c>
      <c r="O622" t="s">
        <v>1992</v>
      </c>
      <c r="P622" t="s">
        <v>1992</v>
      </c>
      <c r="Q622" t="s">
        <v>1992</v>
      </c>
      <c r="R622" t="s">
        <v>1992</v>
      </c>
      <c r="S622" t="s">
        <v>1992</v>
      </c>
      <c r="T622" t="s">
        <v>1992</v>
      </c>
      <c r="U622" t="s">
        <v>1992</v>
      </c>
      <c r="V622" t="s">
        <v>1991</v>
      </c>
      <c r="W622" t="s">
        <v>1991</v>
      </c>
      <c r="X622" t="s">
        <v>1991</v>
      </c>
      <c r="Y622" t="s">
        <v>1992</v>
      </c>
      <c r="Z622" t="s">
        <v>1992</v>
      </c>
      <c r="AF622" t="s">
        <v>2016</v>
      </c>
      <c r="AG622" t="s">
        <v>1991</v>
      </c>
      <c r="AH622">
        <v>30</v>
      </c>
      <c r="AI622">
        <v>30</v>
      </c>
      <c r="AJ622" t="s">
        <v>4732</v>
      </c>
      <c r="AK622">
        <v>541</v>
      </c>
      <c r="AL622">
        <v>3445</v>
      </c>
      <c r="AN622" t="s">
        <v>2066</v>
      </c>
      <c r="AO622" t="s">
        <v>2063</v>
      </c>
      <c r="BF622" t="s">
        <v>1053</v>
      </c>
      <c r="BG622" t="s">
        <v>235</v>
      </c>
      <c r="BH622" t="s">
        <v>3641</v>
      </c>
      <c r="BI622" t="s">
        <v>1053</v>
      </c>
      <c r="BJ622" t="s">
        <v>1053</v>
      </c>
      <c r="BK622" t="s">
        <v>1053</v>
      </c>
      <c r="BL622" t="s">
        <v>1053</v>
      </c>
      <c r="BM622" t="s">
        <v>3642</v>
      </c>
      <c r="BN622" t="s">
        <v>3643</v>
      </c>
      <c r="BO622" t="s">
        <v>1053</v>
      </c>
      <c r="BP622" t="s">
        <v>2375</v>
      </c>
      <c r="BQ622" t="s">
        <v>318</v>
      </c>
      <c r="BR622" t="s">
        <v>1053</v>
      </c>
      <c r="BS622" t="s">
        <v>1053</v>
      </c>
      <c r="BT622" t="s">
        <v>1053</v>
      </c>
      <c r="BU622" t="s">
        <v>1053</v>
      </c>
      <c r="BV622" t="s">
        <v>319</v>
      </c>
      <c r="BW622" t="s">
        <v>226</v>
      </c>
      <c r="BX622" t="str">
        <f>""</f>
        <v/>
      </c>
      <c r="BY622" t="str">
        <f>""</f>
        <v/>
      </c>
      <c r="BZ622" t="str">
        <f>""</f>
        <v/>
      </c>
      <c r="CA622" t="str">
        <f>""</f>
        <v/>
      </c>
      <c r="CB622" t="str">
        <f>""</f>
        <v/>
      </c>
      <c r="CC622" t="str">
        <f>""</f>
        <v/>
      </c>
      <c r="CD622" t="str">
        <f>""</f>
        <v/>
      </c>
      <c r="CE622" t="str">
        <f>""</f>
        <v/>
      </c>
      <c r="CF622" t="str">
        <f>""</f>
        <v/>
      </c>
      <c r="CG622" t="str">
        <f>""</f>
        <v/>
      </c>
      <c r="CH622" t="str">
        <f>""</f>
        <v/>
      </c>
    </row>
    <row r="623" spans="1:86" x14ac:dyDescent="0.25">
      <c r="A623" t="s">
        <v>4733</v>
      </c>
      <c r="B623" t="s">
        <v>4734</v>
      </c>
      <c r="C623" t="s">
        <v>1992</v>
      </c>
      <c r="D623" t="s">
        <v>1993</v>
      </c>
      <c r="E623" t="s">
        <v>4735</v>
      </c>
      <c r="F623" t="s">
        <v>4736</v>
      </c>
      <c r="H623" t="s">
        <v>4737</v>
      </c>
      <c r="I623" t="s">
        <v>2061</v>
      </c>
      <c r="J623" t="str">
        <f>"91101-2441"</f>
        <v>91101-2441</v>
      </c>
      <c r="K623" t="s">
        <v>1998</v>
      </c>
      <c r="L623" t="s">
        <v>2045</v>
      </c>
      <c r="M623" t="s">
        <v>2063</v>
      </c>
      <c r="N623" t="s">
        <v>1992</v>
      </c>
      <c r="O623" t="s">
        <v>1992</v>
      </c>
      <c r="P623" t="s">
        <v>1992</v>
      </c>
      <c r="Q623" t="s">
        <v>1992</v>
      </c>
      <c r="R623" t="s">
        <v>1992</v>
      </c>
      <c r="S623" t="s">
        <v>1992</v>
      </c>
      <c r="T623" t="s">
        <v>1992</v>
      </c>
      <c r="U623" t="s">
        <v>1992</v>
      </c>
      <c r="V623" t="s">
        <v>1991</v>
      </c>
      <c r="W623" t="s">
        <v>1992</v>
      </c>
      <c r="X623" t="s">
        <v>1992</v>
      </c>
      <c r="Y623" t="s">
        <v>1992</v>
      </c>
      <c r="Z623" t="s">
        <v>1991</v>
      </c>
      <c r="AF623" t="s">
        <v>2064</v>
      </c>
      <c r="AG623" t="s">
        <v>1991</v>
      </c>
      <c r="AH623">
        <v>30</v>
      </c>
      <c r="AI623">
        <v>30</v>
      </c>
      <c r="AJ623" t="s">
        <v>4738</v>
      </c>
      <c r="AK623">
        <v>835</v>
      </c>
      <c r="AL623">
        <v>165000</v>
      </c>
      <c r="AM623" t="s">
        <v>2298</v>
      </c>
      <c r="AN623" t="s">
        <v>308</v>
      </c>
      <c r="AO623" t="s">
        <v>2063</v>
      </c>
      <c r="BF623" t="s">
        <v>1053</v>
      </c>
      <c r="BG623" t="s">
        <v>309</v>
      </c>
      <c r="BH623" t="s">
        <v>2301</v>
      </c>
      <c r="BI623" t="s">
        <v>1053</v>
      </c>
      <c r="BK623" t="s">
        <v>1053</v>
      </c>
      <c r="BO623" t="s">
        <v>1053</v>
      </c>
      <c r="BP623" t="s">
        <v>310</v>
      </c>
      <c r="BQ623" t="s">
        <v>311</v>
      </c>
      <c r="BR623" t="s">
        <v>1053</v>
      </c>
      <c r="BS623" t="s">
        <v>1053</v>
      </c>
      <c r="BT623" t="s">
        <v>1053</v>
      </c>
      <c r="BU623" t="s">
        <v>1053</v>
      </c>
      <c r="BX623" t="str">
        <f>""</f>
        <v/>
      </c>
      <c r="BY623" t="str">
        <f>""</f>
        <v/>
      </c>
      <c r="BZ623" t="str">
        <f>""</f>
        <v/>
      </c>
      <c r="CA623" t="str">
        <f>""</f>
        <v/>
      </c>
      <c r="CB623" t="str">
        <f>""</f>
        <v/>
      </c>
      <c r="CC623" t="str">
        <f>""</f>
        <v/>
      </c>
      <c r="CD623" t="str">
        <f>""</f>
        <v/>
      </c>
      <c r="CE623" t="str">
        <f>""</f>
        <v/>
      </c>
      <c r="CF623" t="str">
        <f>""</f>
        <v/>
      </c>
      <c r="CG623" t="str">
        <f>""</f>
        <v/>
      </c>
      <c r="CH623" t="str">
        <f>""</f>
        <v/>
      </c>
    </row>
    <row r="624" spans="1:86" x14ac:dyDescent="0.25">
      <c r="A624" t="s">
        <v>4739</v>
      </c>
      <c r="B624" t="s">
        <v>4740</v>
      </c>
      <c r="C624" t="s">
        <v>1992</v>
      </c>
      <c r="D624" t="s">
        <v>2010</v>
      </c>
      <c r="E624" t="s">
        <v>4741</v>
      </c>
      <c r="H624" t="s">
        <v>4742</v>
      </c>
      <c r="I624" t="s">
        <v>5524</v>
      </c>
      <c r="J624" t="str">
        <f>"63901-5855"</f>
        <v>63901-5855</v>
      </c>
      <c r="K624" t="s">
        <v>1998</v>
      </c>
      <c r="L624" t="s">
        <v>1999</v>
      </c>
      <c r="M624" t="s">
        <v>2063</v>
      </c>
      <c r="N624" t="s">
        <v>1992</v>
      </c>
      <c r="O624" t="s">
        <v>1992</v>
      </c>
      <c r="P624" t="s">
        <v>1992</v>
      </c>
      <c r="Q624" t="s">
        <v>1992</v>
      </c>
      <c r="R624" t="s">
        <v>1992</v>
      </c>
      <c r="S624" t="s">
        <v>1992</v>
      </c>
      <c r="T624" t="s">
        <v>1992</v>
      </c>
      <c r="U624" t="s">
        <v>1992</v>
      </c>
      <c r="V624" t="s">
        <v>1991</v>
      </c>
      <c r="W624" t="s">
        <v>1991</v>
      </c>
      <c r="X624" t="s">
        <v>1992</v>
      </c>
      <c r="Y624" t="s">
        <v>1992</v>
      </c>
      <c r="Z624" t="s">
        <v>1992</v>
      </c>
      <c r="AF624" t="s">
        <v>2001</v>
      </c>
      <c r="AG624" t="s">
        <v>1991</v>
      </c>
      <c r="AH624">
        <v>30</v>
      </c>
      <c r="AI624">
        <v>30</v>
      </c>
      <c r="AJ624" t="s">
        <v>4743</v>
      </c>
      <c r="AK624">
        <v>357</v>
      </c>
      <c r="AL624">
        <v>17059</v>
      </c>
      <c r="AM624" t="s">
        <v>4744</v>
      </c>
      <c r="AN624" t="s">
        <v>4745</v>
      </c>
      <c r="AO624" t="s">
        <v>2063</v>
      </c>
      <c r="BF624" t="s">
        <v>1053</v>
      </c>
      <c r="BG624" t="s">
        <v>2371</v>
      </c>
      <c r="BH624" t="s">
        <v>985</v>
      </c>
      <c r="BI624" t="s">
        <v>1053</v>
      </c>
      <c r="BJ624" t="s">
        <v>1053</v>
      </c>
      <c r="BK624" t="s">
        <v>1053</v>
      </c>
      <c r="BL624" t="s">
        <v>1053</v>
      </c>
      <c r="BM624" t="s">
        <v>2373</v>
      </c>
      <c r="BN624" t="s">
        <v>2374</v>
      </c>
      <c r="BO624" t="s">
        <v>1053</v>
      </c>
      <c r="BP624" t="s">
        <v>340</v>
      </c>
      <c r="BQ624" t="s">
        <v>2376</v>
      </c>
      <c r="BR624" t="s">
        <v>1053</v>
      </c>
      <c r="BX624" t="str">
        <f>""</f>
        <v/>
      </c>
      <c r="BY624" t="str">
        <f>""</f>
        <v/>
      </c>
      <c r="BZ624" t="str">
        <f>""</f>
        <v/>
      </c>
      <c r="CA624" t="str">
        <f>""</f>
        <v/>
      </c>
      <c r="CB624" t="str">
        <f>""</f>
        <v/>
      </c>
      <c r="CC624" t="str">
        <f>""</f>
        <v/>
      </c>
      <c r="CD624" t="str">
        <f>""</f>
        <v/>
      </c>
      <c r="CE624" t="str">
        <f>""</f>
        <v/>
      </c>
      <c r="CF624" t="str">
        <f>""</f>
        <v/>
      </c>
      <c r="CG624" t="str">
        <f>""</f>
        <v/>
      </c>
      <c r="CH624" t="str">
        <f>""</f>
        <v/>
      </c>
    </row>
    <row r="625" spans="1:86" x14ac:dyDescent="0.25">
      <c r="A625" t="s">
        <v>4746</v>
      </c>
      <c r="B625" t="s">
        <v>4747</v>
      </c>
      <c r="C625" t="s">
        <v>1992</v>
      </c>
      <c r="D625" t="s">
        <v>2010</v>
      </c>
      <c r="E625" t="s">
        <v>4748</v>
      </c>
      <c r="F625" t="s">
        <v>1795</v>
      </c>
      <c r="H625" t="s">
        <v>4749</v>
      </c>
      <c r="I625" t="s">
        <v>1797</v>
      </c>
      <c r="J625" t="str">
        <f>"V0N 2L0"</f>
        <v>V0N 2L0</v>
      </c>
      <c r="K625" t="s">
        <v>373</v>
      </c>
      <c r="L625" t="s">
        <v>2062</v>
      </c>
      <c r="M625" t="s">
        <v>4750</v>
      </c>
      <c r="N625" t="s">
        <v>1992</v>
      </c>
      <c r="O625" t="s">
        <v>1992</v>
      </c>
      <c r="P625" t="s">
        <v>1992</v>
      </c>
      <c r="Q625" t="s">
        <v>1992</v>
      </c>
      <c r="R625" t="s">
        <v>1992</v>
      </c>
      <c r="S625" t="s">
        <v>1992</v>
      </c>
      <c r="T625" t="s">
        <v>1992</v>
      </c>
      <c r="U625" t="s">
        <v>1992</v>
      </c>
      <c r="V625" t="s">
        <v>1991</v>
      </c>
      <c r="W625" t="s">
        <v>1992</v>
      </c>
      <c r="X625" t="s">
        <v>1992</v>
      </c>
      <c r="Y625" t="s">
        <v>1992</v>
      </c>
      <c r="Z625" t="s">
        <v>1991</v>
      </c>
      <c r="AE625" t="s">
        <v>1799</v>
      </c>
      <c r="AF625" t="s">
        <v>2064</v>
      </c>
      <c r="AG625" t="s">
        <v>1991</v>
      </c>
      <c r="AH625">
        <v>30</v>
      </c>
      <c r="AI625">
        <v>30</v>
      </c>
      <c r="AJ625" t="s">
        <v>4751</v>
      </c>
      <c r="AK625">
        <v>712</v>
      </c>
      <c r="AM625" t="s">
        <v>4752</v>
      </c>
      <c r="AN625" t="s">
        <v>4753</v>
      </c>
      <c r="AO625" t="s">
        <v>1053</v>
      </c>
      <c r="BF625" t="s">
        <v>1053</v>
      </c>
      <c r="BG625" t="s">
        <v>394</v>
      </c>
      <c r="BH625" t="s">
        <v>311</v>
      </c>
      <c r="BI625" t="s">
        <v>1053</v>
      </c>
      <c r="BJ625" t="s">
        <v>1053</v>
      </c>
      <c r="BK625" t="s">
        <v>1053</v>
      </c>
      <c r="BL625" t="s">
        <v>1053</v>
      </c>
      <c r="BO625" t="s">
        <v>357</v>
      </c>
      <c r="BP625" t="s">
        <v>2038</v>
      </c>
      <c r="BQ625" t="s">
        <v>1268</v>
      </c>
      <c r="BR625" t="s">
        <v>2063</v>
      </c>
      <c r="BX625" t="str">
        <f>""</f>
        <v/>
      </c>
      <c r="BY625" t="str">
        <f>""</f>
        <v/>
      </c>
      <c r="BZ625" t="str">
        <f>""</f>
        <v/>
      </c>
      <c r="CA625" t="str">
        <f>""</f>
        <v/>
      </c>
      <c r="CB625" t="str">
        <f>""</f>
        <v/>
      </c>
      <c r="CC625" t="str">
        <f>""</f>
        <v/>
      </c>
      <c r="CD625" t="str">
        <f>""</f>
        <v/>
      </c>
      <c r="CE625" t="str">
        <f>""</f>
        <v/>
      </c>
      <c r="CF625" t="str">
        <f>""</f>
        <v/>
      </c>
      <c r="CG625" t="str">
        <f>""</f>
        <v/>
      </c>
      <c r="CH625" t="str">
        <f>""</f>
        <v/>
      </c>
    </row>
    <row r="626" spans="1:86" x14ac:dyDescent="0.25">
      <c r="A626" t="s">
        <v>4754</v>
      </c>
      <c r="B626" t="s">
        <v>4755</v>
      </c>
      <c r="C626" t="s">
        <v>1992</v>
      </c>
      <c r="D626" t="s">
        <v>1993</v>
      </c>
      <c r="E626" t="s">
        <v>4756</v>
      </c>
      <c r="F626" t="s">
        <v>4757</v>
      </c>
      <c r="H626" t="s">
        <v>4758</v>
      </c>
      <c r="I626" t="s">
        <v>558</v>
      </c>
      <c r="J626" t="str">
        <f>"33980-4248"</f>
        <v>33980-4248</v>
      </c>
      <c r="K626" t="s">
        <v>1998</v>
      </c>
      <c r="L626" t="s">
        <v>408</v>
      </c>
      <c r="M626" t="s">
        <v>2000</v>
      </c>
      <c r="N626" t="s">
        <v>1992</v>
      </c>
      <c r="O626" t="s">
        <v>1992</v>
      </c>
      <c r="P626" t="s">
        <v>1992</v>
      </c>
      <c r="Q626" t="s">
        <v>1991</v>
      </c>
      <c r="R626" t="s">
        <v>1992</v>
      </c>
      <c r="S626" t="s">
        <v>1992</v>
      </c>
      <c r="T626" t="s">
        <v>1992</v>
      </c>
      <c r="U626" t="s">
        <v>1992</v>
      </c>
      <c r="V626" t="s">
        <v>1991</v>
      </c>
      <c r="W626" t="s">
        <v>1992</v>
      </c>
      <c r="X626" t="s">
        <v>1992</v>
      </c>
      <c r="Y626" t="s">
        <v>1991</v>
      </c>
      <c r="Z626" t="s">
        <v>1992</v>
      </c>
      <c r="AA626" t="s">
        <v>1992</v>
      </c>
      <c r="AF626" t="s">
        <v>2016</v>
      </c>
      <c r="AG626" t="s">
        <v>1991</v>
      </c>
      <c r="AH626">
        <v>30</v>
      </c>
      <c r="AI626">
        <v>30</v>
      </c>
      <c r="AJ626" t="s">
        <v>4759</v>
      </c>
      <c r="AK626">
        <v>25</v>
      </c>
      <c r="AM626" t="s">
        <v>1745</v>
      </c>
      <c r="BF626" t="s">
        <v>1053</v>
      </c>
      <c r="BG626" t="s">
        <v>2019</v>
      </c>
      <c r="BH626" t="s">
        <v>560</v>
      </c>
      <c r="BI626" t="s">
        <v>1053</v>
      </c>
      <c r="BK626" t="s">
        <v>1053</v>
      </c>
      <c r="BM626" t="s">
        <v>561</v>
      </c>
      <c r="BN626" t="s">
        <v>562</v>
      </c>
      <c r="BO626" t="s">
        <v>1053</v>
      </c>
      <c r="BP626" t="s">
        <v>4760</v>
      </c>
      <c r="BQ626" t="s">
        <v>4761</v>
      </c>
      <c r="BR626" t="s">
        <v>1053</v>
      </c>
      <c r="BT626" t="s">
        <v>1053</v>
      </c>
      <c r="BX626" t="str">
        <f>""</f>
        <v/>
      </c>
      <c r="BY626" t="str">
        <f>""</f>
        <v/>
      </c>
      <c r="BZ626" t="str">
        <f>""</f>
        <v/>
      </c>
      <c r="CA626" t="str">
        <f>""</f>
        <v/>
      </c>
      <c r="CB626" t="str">
        <f>""</f>
        <v/>
      </c>
      <c r="CC626" t="str">
        <f>""</f>
        <v/>
      </c>
      <c r="CD626" t="str">
        <f>""</f>
        <v/>
      </c>
      <c r="CE626" t="str">
        <f>""</f>
        <v/>
      </c>
      <c r="CF626" t="str">
        <f>""</f>
        <v/>
      </c>
      <c r="CG626" t="str">
        <f>""</f>
        <v/>
      </c>
      <c r="CH626" t="str">
        <f>""</f>
        <v/>
      </c>
    </row>
    <row r="627" spans="1:86" x14ac:dyDescent="0.25">
      <c r="A627" t="s">
        <v>4762</v>
      </c>
      <c r="B627" t="s">
        <v>4763</v>
      </c>
      <c r="C627" t="s">
        <v>1992</v>
      </c>
      <c r="D627" t="s">
        <v>2010</v>
      </c>
      <c r="E627" t="s">
        <v>4764</v>
      </c>
      <c r="H627" t="s">
        <v>4765</v>
      </c>
      <c r="I627" t="s">
        <v>2367</v>
      </c>
      <c r="J627" t="str">
        <f>"61356"</f>
        <v>61356</v>
      </c>
      <c r="K627" t="s">
        <v>1998</v>
      </c>
      <c r="L627" t="s">
        <v>1999</v>
      </c>
      <c r="M627" t="s">
        <v>2063</v>
      </c>
      <c r="N627" t="s">
        <v>1992</v>
      </c>
      <c r="O627" t="s">
        <v>1992</v>
      </c>
      <c r="P627" t="s">
        <v>1992</v>
      </c>
      <c r="Q627" t="s">
        <v>1992</v>
      </c>
      <c r="R627" t="s">
        <v>1992</v>
      </c>
      <c r="S627" t="s">
        <v>1992</v>
      </c>
      <c r="T627" t="s">
        <v>1992</v>
      </c>
      <c r="U627" t="s">
        <v>1992</v>
      </c>
      <c r="V627" t="s">
        <v>1991</v>
      </c>
      <c r="W627" t="s">
        <v>1991</v>
      </c>
      <c r="X627" t="s">
        <v>1992</v>
      </c>
      <c r="Y627" t="s">
        <v>1992</v>
      </c>
      <c r="Z627" t="s">
        <v>1992</v>
      </c>
      <c r="AF627" t="s">
        <v>2001</v>
      </c>
      <c r="AG627" t="s">
        <v>1991</v>
      </c>
      <c r="AH627">
        <v>30</v>
      </c>
      <c r="AI627">
        <v>30</v>
      </c>
      <c r="AJ627" t="s">
        <v>4766</v>
      </c>
      <c r="AK627">
        <v>693</v>
      </c>
      <c r="AL627">
        <v>7555</v>
      </c>
      <c r="AM627" t="s">
        <v>4767</v>
      </c>
      <c r="AU627" t="s">
        <v>4768</v>
      </c>
      <c r="AV627" t="s">
        <v>1053</v>
      </c>
      <c r="BF627" t="s">
        <v>1053</v>
      </c>
      <c r="BG627" t="s">
        <v>2591</v>
      </c>
      <c r="BH627" t="s">
        <v>798</v>
      </c>
      <c r="BI627" t="s">
        <v>1053</v>
      </c>
      <c r="BK627" t="s">
        <v>1053</v>
      </c>
      <c r="BL627" t="s">
        <v>1053</v>
      </c>
      <c r="BO627" t="s">
        <v>1053</v>
      </c>
      <c r="BP627" t="s">
        <v>1173</v>
      </c>
      <c r="BQ627" t="s">
        <v>2376</v>
      </c>
      <c r="BR627" t="s">
        <v>1053</v>
      </c>
      <c r="BX627" t="str">
        <f>"SMTWTFS 0800-2000"</f>
        <v>SMTWTFS 0800-2000</v>
      </c>
      <c r="BY627" t="str">
        <f>""</f>
        <v/>
      </c>
      <c r="BZ627" t="str">
        <f>""</f>
        <v/>
      </c>
      <c r="CA627" t="str">
        <f>""</f>
        <v/>
      </c>
      <c r="CB627" t="str">
        <f>""</f>
        <v/>
      </c>
      <c r="CC627" t="str">
        <f>""</f>
        <v/>
      </c>
      <c r="CD627" t="str">
        <f>""</f>
        <v/>
      </c>
      <c r="CE627" t="str">
        <f>""</f>
        <v/>
      </c>
      <c r="CF627" t="str">
        <f>""</f>
        <v/>
      </c>
      <c r="CG627" t="str">
        <f>""</f>
        <v/>
      </c>
      <c r="CH627" t="str">
        <f>""</f>
        <v/>
      </c>
    </row>
    <row r="628" spans="1:86" x14ac:dyDescent="0.25">
      <c r="A628" t="s">
        <v>4769</v>
      </c>
      <c r="B628" t="s">
        <v>4770</v>
      </c>
      <c r="C628" t="s">
        <v>1992</v>
      </c>
      <c r="D628" t="s">
        <v>1993</v>
      </c>
      <c r="E628" t="s">
        <v>4771</v>
      </c>
      <c r="F628" t="s">
        <v>4772</v>
      </c>
      <c r="H628" t="s">
        <v>4773</v>
      </c>
      <c r="I628" t="s">
        <v>2061</v>
      </c>
      <c r="J628" t="str">
        <f>"95667"</f>
        <v>95667</v>
      </c>
      <c r="K628" t="s">
        <v>1998</v>
      </c>
      <c r="L628" t="s">
        <v>2062</v>
      </c>
      <c r="M628" t="s">
        <v>2063</v>
      </c>
      <c r="N628" t="s">
        <v>1992</v>
      </c>
      <c r="O628" t="s">
        <v>1992</v>
      </c>
      <c r="P628" t="s">
        <v>1992</v>
      </c>
      <c r="Q628" t="s">
        <v>1992</v>
      </c>
      <c r="R628" t="s">
        <v>1992</v>
      </c>
      <c r="S628" t="s">
        <v>1992</v>
      </c>
      <c r="T628" t="s">
        <v>1992</v>
      </c>
      <c r="U628" t="s">
        <v>1992</v>
      </c>
      <c r="V628" t="s">
        <v>1991</v>
      </c>
      <c r="W628" t="s">
        <v>1992</v>
      </c>
      <c r="X628" t="s">
        <v>1992</v>
      </c>
      <c r="Y628" t="s">
        <v>1991</v>
      </c>
      <c r="Z628" t="s">
        <v>1992</v>
      </c>
      <c r="AA628" t="s">
        <v>1991</v>
      </c>
      <c r="AF628" t="s">
        <v>2064</v>
      </c>
      <c r="AG628" t="s">
        <v>1991</v>
      </c>
      <c r="AH628">
        <v>30</v>
      </c>
      <c r="AI628">
        <v>30</v>
      </c>
      <c r="AJ628" t="s">
        <v>4774</v>
      </c>
      <c r="AK628">
        <v>1912</v>
      </c>
      <c r="AL628">
        <v>6739</v>
      </c>
      <c r="AM628" t="s">
        <v>2298</v>
      </c>
      <c r="BF628" t="s">
        <v>1053</v>
      </c>
      <c r="BG628" t="s">
        <v>309</v>
      </c>
      <c r="BH628" t="s">
        <v>2301</v>
      </c>
      <c r="BI628" t="s">
        <v>1053</v>
      </c>
      <c r="BK628" t="s">
        <v>1053</v>
      </c>
      <c r="BO628" t="s">
        <v>1053</v>
      </c>
      <c r="BP628" t="s">
        <v>310</v>
      </c>
      <c r="BQ628" t="s">
        <v>311</v>
      </c>
      <c r="BR628" t="s">
        <v>1053</v>
      </c>
      <c r="BS628" t="s">
        <v>1053</v>
      </c>
      <c r="BT628" t="s">
        <v>1053</v>
      </c>
      <c r="BU628" t="s">
        <v>1053</v>
      </c>
      <c r="BX628" t="str">
        <f>""</f>
        <v/>
      </c>
      <c r="BY628" t="str">
        <f>""</f>
        <v/>
      </c>
      <c r="BZ628" t="str">
        <f>""</f>
        <v/>
      </c>
      <c r="CA628" t="str">
        <f>""</f>
        <v/>
      </c>
      <c r="CB628" t="str">
        <f>""</f>
        <v/>
      </c>
      <c r="CC628" t="str">
        <f>""</f>
        <v/>
      </c>
      <c r="CD628" t="str">
        <f>""</f>
        <v/>
      </c>
      <c r="CE628" t="str">
        <f>""</f>
        <v/>
      </c>
      <c r="CF628" t="str">
        <f>""</f>
        <v/>
      </c>
      <c r="CG628" t="str">
        <f>""</f>
        <v/>
      </c>
      <c r="CH628" t="str">
        <f>""</f>
        <v/>
      </c>
    </row>
    <row r="629" spans="1:86" x14ac:dyDescent="0.25">
      <c r="A629" t="s">
        <v>4775</v>
      </c>
      <c r="B629" t="s">
        <v>4776</v>
      </c>
      <c r="C629" t="s">
        <v>1992</v>
      </c>
      <c r="D629" t="s">
        <v>1993</v>
      </c>
      <c r="E629" t="s">
        <v>4777</v>
      </c>
      <c r="F629" t="s">
        <v>4778</v>
      </c>
      <c r="H629" t="s">
        <v>4779</v>
      </c>
      <c r="I629" t="s">
        <v>2061</v>
      </c>
      <c r="J629" t="str">
        <f>"92260"</f>
        <v>92260</v>
      </c>
      <c r="K629" t="s">
        <v>1998</v>
      </c>
      <c r="L629" t="s">
        <v>2045</v>
      </c>
      <c r="M629" t="s">
        <v>2000</v>
      </c>
      <c r="N629" t="s">
        <v>1992</v>
      </c>
      <c r="O629" t="s">
        <v>1992</v>
      </c>
      <c r="P629" t="s">
        <v>1992</v>
      </c>
      <c r="Q629" t="s">
        <v>1992</v>
      </c>
      <c r="R629" t="s">
        <v>1992</v>
      </c>
      <c r="S629" t="s">
        <v>1992</v>
      </c>
      <c r="T629" t="s">
        <v>1992</v>
      </c>
      <c r="U629" t="s">
        <v>1992</v>
      </c>
      <c r="V629" t="s">
        <v>1991</v>
      </c>
      <c r="Y629" t="s">
        <v>1991</v>
      </c>
      <c r="AF629" t="s">
        <v>2064</v>
      </c>
      <c r="AG629" t="s">
        <v>1991</v>
      </c>
      <c r="AH629">
        <v>15</v>
      </c>
      <c r="AI629">
        <v>15</v>
      </c>
      <c r="AJ629" t="s">
        <v>4780</v>
      </c>
      <c r="AK629">
        <v>207</v>
      </c>
      <c r="AL629">
        <v>51878</v>
      </c>
      <c r="AM629" t="s">
        <v>967</v>
      </c>
      <c r="BF629" t="s">
        <v>1053</v>
      </c>
      <c r="BG629" t="s">
        <v>309</v>
      </c>
      <c r="BH629" t="s">
        <v>2301</v>
      </c>
      <c r="BI629" t="s">
        <v>1053</v>
      </c>
      <c r="BK629" t="s">
        <v>1053</v>
      </c>
      <c r="BO629" t="s">
        <v>1053</v>
      </c>
      <c r="BP629" t="s">
        <v>310</v>
      </c>
      <c r="BQ629" t="s">
        <v>311</v>
      </c>
      <c r="BR629" t="s">
        <v>1053</v>
      </c>
      <c r="BS629" t="s">
        <v>1053</v>
      </c>
      <c r="BT629" t="s">
        <v>1053</v>
      </c>
      <c r="BU629" t="s">
        <v>1053</v>
      </c>
      <c r="BX629" t="str">
        <f>""</f>
        <v/>
      </c>
      <c r="BY629" t="str">
        <f>""</f>
        <v/>
      </c>
      <c r="BZ629" t="str">
        <f>""</f>
        <v/>
      </c>
      <c r="CA629" t="str">
        <f>""</f>
        <v/>
      </c>
      <c r="CB629" t="str">
        <f>""</f>
        <v/>
      </c>
      <c r="CC629" t="str">
        <f>""</f>
        <v/>
      </c>
      <c r="CD629" t="str">
        <f>""</f>
        <v/>
      </c>
      <c r="CE629" t="str">
        <f>""</f>
        <v/>
      </c>
      <c r="CF629" t="str">
        <f>""</f>
        <v/>
      </c>
      <c r="CG629" t="str">
        <f>""</f>
        <v/>
      </c>
      <c r="CH629" t="str">
        <f>""</f>
        <v/>
      </c>
    </row>
    <row r="630" spans="1:86" x14ac:dyDescent="0.25">
      <c r="A630" t="s">
        <v>4781</v>
      </c>
      <c r="B630" t="s">
        <v>4782</v>
      </c>
      <c r="C630" t="s">
        <v>1992</v>
      </c>
      <c r="D630" t="s">
        <v>2010</v>
      </c>
      <c r="E630" t="s">
        <v>4783</v>
      </c>
      <c r="H630" t="s">
        <v>4784</v>
      </c>
      <c r="I630" t="s">
        <v>2295</v>
      </c>
      <c r="J630" t="str">
        <f>"97209"</f>
        <v>97209</v>
      </c>
      <c r="K630" t="s">
        <v>1998</v>
      </c>
      <c r="L630" t="s">
        <v>2062</v>
      </c>
      <c r="M630" t="s">
        <v>2000</v>
      </c>
      <c r="N630" t="s">
        <v>1992</v>
      </c>
      <c r="O630" t="s">
        <v>1992</v>
      </c>
      <c r="P630" t="s">
        <v>1992</v>
      </c>
      <c r="Q630" t="s">
        <v>1992</v>
      </c>
      <c r="R630" t="s">
        <v>1992</v>
      </c>
      <c r="S630" t="s">
        <v>1992</v>
      </c>
      <c r="T630" t="s">
        <v>1992</v>
      </c>
      <c r="U630" t="s">
        <v>1992</v>
      </c>
      <c r="V630" t="s">
        <v>1991</v>
      </c>
      <c r="Y630" t="s">
        <v>1991</v>
      </c>
      <c r="Z630" t="s">
        <v>1991</v>
      </c>
      <c r="AB630" t="s">
        <v>4785</v>
      </c>
      <c r="AE630" t="s">
        <v>3631</v>
      </c>
      <c r="AF630" t="s">
        <v>2064</v>
      </c>
      <c r="AG630" t="s">
        <v>1991</v>
      </c>
      <c r="AH630">
        <v>30</v>
      </c>
      <c r="AI630">
        <v>30</v>
      </c>
      <c r="AJ630" t="s">
        <v>4786</v>
      </c>
      <c r="AK630">
        <v>34</v>
      </c>
      <c r="AL630">
        <v>529121</v>
      </c>
      <c r="AM630" t="s">
        <v>4787</v>
      </c>
      <c r="AO630" t="s">
        <v>1053</v>
      </c>
      <c r="AQ630" t="s">
        <v>1053</v>
      </c>
      <c r="AV630" t="s">
        <v>1053</v>
      </c>
      <c r="AX630" t="s">
        <v>1053</v>
      </c>
      <c r="BB630" t="s">
        <v>1053</v>
      </c>
      <c r="BD630" t="s">
        <v>1053</v>
      </c>
      <c r="BF630" t="s">
        <v>1053</v>
      </c>
      <c r="BG630" t="s">
        <v>4788</v>
      </c>
      <c r="BH630" t="s">
        <v>4781</v>
      </c>
      <c r="BI630" t="s">
        <v>1053</v>
      </c>
      <c r="BK630" t="s">
        <v>1053</v>
      </c>
      <c r="BO630" t="s">
        <v>1268</v>
      </c>
      <c r="BP630" t="s">
        <v>4971</v>
      </c>
      <c r="BQ630" t="s">
        <v>4971</v>
      </c>
      <c r="BR630" t="s">
        <v>1053</v>
      </c>
      <c r="BX630" t="str">
        <f>""</f>
        <v/>
      </c>
      <c r="BY630" t="str">
        <f>""</f>
        <v/>
      </c>
      <c r="BZ630" t="str">
        <f>""</f>
        <v/>
      </c>
      <c r="CA630" t="str">
        <f>""</f>
        <v/>
      </c>
      <c r="CB630" t="str">
        <f>""</f>
        <v/>
      </c>
      <c r="CC630" t="str">
        <f>""</f>
        <v/>
      </c>
      <c r="CD630" t="str">
        <f>""</f>
        <v/>
      </c>
      <c r="CE630" t="str">
        <f>""</f>
        <v/>
      </c>
      <c r="CF630" t="str">
        <f>""</f>
        <v/>
      </c>
      <c r="CG630" t="str">
        <f>""</f>
        <v/>
      </c>
      <c r="CH630" t="str">
        <f>""</f>
        <v/>
      </c>
    </row>
    <row r="631" spans="1:86" x14ac:dyDescent="0.25">
      <c r="A631" t="s">
        <v>4789</v>
      </c>
      <c r="B631" t="s">
        <v>4790</v>
      </c>
      <c r="C631" t="s">
        <v>1992</v>
      </c>
      <c r="D631" t="s">
        <v>1993</v>
      </c>
      <c r="E631" t="s">
        <v>4791</v>
      </c>
      <c r="F631" t="s">
        <v>4792</v>
      </c>
      <c r="H631" t="s">
        <v>4793</v>
      </c>
      <c r="I631" t="s">
        <v>2061</v>
      </c>
      <c r="J631" t="str">
        <f>"93907"</f>
        <v>93907</v>
      </c>
      <c r="K631" t="s">
        <v>1998</v>
      </c>
      <c r="L631" t="s">
        <v>2062</v>
      </c>
      <c r="M631" t="s">
        <v>2063</v>
      </c>
      <c r="N631" t="s">
        <v>1992</v>
      </c>
      <c r="O631" t="s">
        <v>1992</v>
      </c>
      <c r="P631" t="s">
        <v>1992</v>
      </c>
      <c r="Q631" t="s">
        <v>1992</v>
      </c>
      <c r="R631" t="s">
        <v>1992</v>
      </c>
      <c r="S631" t="s">
        <v>1992</v>
      </c>
      <c r="T631" t="s">
        <v>1992</v>
      </c>
      <c r="U631" t="s">
        <v>1992</v>
      </c>
      <c r="V631" t="s">
        <v>1991</v>
      </c>
      <c r="Z631" t="s">
        <v>1991</v>
      </c>
      <c r="AF631" t="s">
        <v>2064</v>
      </c>
      <c r="AG631" t="s">
        <v>1991</v>
      </c>
      <c r="AH631">
        <v>15</v>
      </c>
      <c r="AI631">
        <v>15</v>
      </c>
      <c r="AJ631" t="s">
        <v>4794</v>
      </c>
      <c r="AK631">
        <v>96</v>
      </c>
      <c r="AN631" t="s">
        <v>308</v>
      </c>
      <c r="AO631" t="s">
        <v>2063</v>
      </c>
      <c r="BF631" t="s">
        <v>1053</v>
      </c>
      <c r="BG631" t="s">
        <v>309</v>
      </c>
      <c r="BH631" t="s">
        <v>2301</v>
      </c>
      <c r="BI631" t="s">
        <v>1053</v>
      </c>
      <c r="BK631" t="s">
        <v>1053</v>
      </c>
      <c r="BO631" t="s">
        <v>1053</v>
      </c>
      <c r="BP631" t="s">
        <v>310</v>
      </c>
      <c r="BQ631" t="s">
        <v>311</v>
      </c>
      <c r="BR631" t="s">
        <v>1053</v>
      </c>
      <c r="BS631" t="s">
        <v>1053</v>
      </c>
      <c r="BT631" t="s">
        <v>1053</v>
      </c>
      <c r="BU631" t="s">
        <v>1053</v>
      </c>
      <c r="BX631" t="str">
        <f>""</f>
        <v/>
      </c>
      <c r="BY631" t="str">
        <f>""</f>
        <v/>
      </c>
      <c r="BZ631" t="str">
        <f>""</f>
        <v/>
      </c>
      <c r="CA631" t="str">
        <f>""</f>
        <v/>
      </c>
      <c r="CB631" t="str">
        <f>""</f>
        <v/>
      </c>
      <c r="CC631" t="str">
        <f>""</f>
        <v/>
      </c>
      <c r="CD631" t="str">
        <f>""</f>
        <v/>
      </c>
      <c r="CE631" t="str">
        <f>""</f>
        <v/>
      </c>
      <c r="CF631" t="str">
        <f>""</f>
        <v/>
      </c>
      <c r="CG631" t="str">
        <f>""</f>
        <v/>
      </c>
      <c r="CH631" t="str">
        <f>""</f>
        <v/>
      </c>
    </row>
    <row r="632" spans="1:86" x14ac:dyDescent="0.25">
      <c r="A632" t="s">
        <v>4795</v>
      </c>
      <c r="B632" t="s">
        <v>4796</v>
      </c>
      <c r="C632" t="s">
        <v>1991</v>
      </c>
      <c r="D632" t="s">
        <v>2010</v>
      </c>
      <c r="E632" t="s">
        <v>4797</v>
      </c>
      <c r="F632" t="s">
        <v>1095</v>
      </c>
      <c r="H632" t="s">
        <v>4784</v>
      </c>
      <c r="I632" t="s">
        <v>2295</v>
      </c>
      <c r="J632" t="str">
        <f>"97209-3789"</f>
        <v>97209-3789</v>
      </c>
      <c r="K632" t="s">
        <v>1998</v>
      </c>
      <c r="L632" t="s">
        <v>231</v>
      </c>
      <c r="M632" t="s">
        <v>4798</v>
      </c>
      <c r="N632" t="s">
        <v>1991</v>
      </c>
      <c r="O632" t="s">
        <v>1991</v>
      </c>
      <c r="P632" t="s">
        <v>1992</v>
      </c>
      <c r="Q632" t="s">
        <v>1991</v>
      </c>
      <c r="R632" t="s">
        <v>1991</v>
      </c>
      <c r="S632" t="s">
        <v>1992</v>
      </c>
      <c r="T632" t="s">
        <v>1991</v>
      </c>
      <c r="U632" t="s">
        <v>1991</v>
      </c>
      <c r="V632" t="s">
        <v>1991</v>
      </c>
      <c r="W632" t="s">
        <v>1991</v>
      </c>
      <c r="X632" t="s">
        <v>1992</v>
      </c>
      <c r="Y632" t="s">
        <v>1991</v>
      </c>
      <c r="Z632" t="s">
        <v>1991</v>
      </c>
      <c r="AA632" t="s">
        <v>1991</v>
      </c>
      <c r="AB632" t="s">
        <v>4785</v>
      </c>
      <c r="AE632" t="s">
        <v>2047</v>
      </c>
      <c r="AF632" t="s">
        <v>2064</v>
      </c>
      <c r="AG632" t="s">
        <v>1991</v>
      </c>
      <c r="AH632">
        <v>60</v>
      </c>
      <c r="AI632">
        <v>30</v>
      </c>
      <c r="AJ632" t="s">
        <v>4799</v>
      </c>
      <c r="AK632">
        <v>34</v>
      </c>
      <c r="AL632">
        <v>529121</v>
      </c>
      <c r="AM632" t="s">
        <v>4800</v>
      </c>
      <c r="AN632" t="s">
        <v>1053</v>
      </c>
      <c r="AO632" t="s">
        <v>1053</v>
      </c>
      <c r="AP632" t="s">
        <v>1053</v>
      </c>
      <c r="AQ632" t="s">
        <v>1053</v>
      </c>
      <c r="AR632" t="s">
        <v>1053</v>
      </c>
      <c r="AS632" t="s">
        <v>4795</v>
      </c>
      <c r="AT632" t="s">
        <v>4801</v>
      </c>
      <c r="AU632" t="s">
        <v>1053</v>
      </c>
      <c r="AV632" t="s">
        <v>1053</v>
      </c>
      <c r="AW632" t="s">
        <v>1053</v>
      </c>
      <c r="AX632" t="s">
        <v>1053</v>
      </c>
      <c r="AY632" t="s">
        <v>1053</v>
      </c>
      <c r="AZ632" t="s">
        <v>4795</v>
      </c>
      <c r="BA632" t="s">
        <v>4801</v>
      </c>
      <c r="BB632" t="s">
        <v>1053</v>
      </c>
      <c r="BC632" t="s">
        <v>1053</v>
      </c>
      <c r="BD632" t="s">
        <v>1053</v>
      </c>
      <c r="BE632" t="s">
        <v>1053</v>
      </c>
      <c r="BF632" t="s">
        <v>1053</v>
      </c>
      <c r="BG632" t="s">
        <v>235</v>
      </c>
      <c r="BH632" t="s">
        <v>236</v>
      </c>
      <c r="BI632" t="s">
        <v>1053</v>
      </c>
      <c r="BJ632" t="s">
        <v>1053</v>
      </c>
      <c r="BK632" t="s">
        <v>1053</v>
      </c>
      <c r="BL632" t="s">
        <v>1053</v>
      </c>
      <c r="BM632" t="s">
        <v>237</v>
      </c>
      <c r="BN632" t="s">
        <v>238</v>
      </c>
      <c r="BO632" t="s">
        <v>1053</v>
      </c>
      <c r="BP632" t="s">
        <v>358</v>
      </c>
      <c r="BQ632" t="s">
        <v>4802</v>
      </c>
      <c r="BR632" t="s">
        <v>1053</v>
      </c>
      <c r="BS632" t="s">
        <v>1053</v>
      </c>
      <c r="BT632" t="s">
        <v>1053</v>
      </c>
      <c r="BU632" t="s">
        <v>1053</v>
      </c>
      <c r="BV632" t="s">
        <v>241</v>
      </c>
      <c r="BW632" t="s">
        <v>242</v>
      </c>
      <c r="BX632" t="str">
        <f>"SMTWTFS 0715-2115"</f>
        <v>SMTWTFS 0715-2115</v>
      </c>
      <c r="BY632" t="str">
        <f>"SMTWTFS 0745-2030"</f>
        <v>SMTWTFS 0745-2030</v>
      </c>
      <c r="BZ632" t="str">
        <f>"SMTWTFS 0715-2100"</f>
        <v>SMTWTFS 0715-2100</v>
      </c>
      <c r="CA632" t="str">
        <f>"SMTWTFS 0715-2115"</f>
        <v>SMTWTFS 0715-2115</v>
      </c>
      <c r="CB632" t="str">
        <f>""</f>
        <v/>
      </c>
      <c r="CC632" t="str">
        <f>"SMTWTFS 0715-2115"</f>
        <v>SMTWTFS 0715-2115</v>
      </c>
      <c r="CD632" t="str">
        <f>""</f>
        <v/>
      </c>
      <c r="CE632" t="str">
        <f>"SMTWTFS 0930-1700"</f>
        <v>SMTWTFS 0930-1700</v>
      </c>
      <c r="CF632" t="str">
        <f>"SMTWTFS 0800-2000"</f>
        <v>SMTWTFS 0800-2000</v>
      </c>
      <c r="CG632" t="str">
        <f>""</f>
        <v/>
      </c>
      <c r="CH632" t="str">
        <f>"SMTWTFS 0000-2359"</f>
        <v>SMTWTFS 0000-2359</v>
      </c>
    </row>
    <row r="633" spans="1:86" x14ac:dyDescent="0.25">
      <c r="A633" t="s">
        <v>4803</v>
      </c>
      <c r="B633" t="s">
        <v>4804</v>
      </c>
      <c r="C633" t="s">
        <v>1992</v>
      </c>
      <c r="D633" t="s">
        <v>2010</v>
      </c>
      <c r="E633" t="s">
        <v>4805</v>
      </c>
      <c r="F633" t="s">
        <v>4806</v>
      </c>
      <c r="H633" t="s">
        <v>4807</v>
      </c>
      <c r="I633" t="s">
        <v>2295</v>
      </c>
      <c r="J633" t="str">
        <f>"97801"</f>
        <v>97801</v>
      </c>
      <c r="K633" t="s">
        <v>1998</v>
      </c>
      <c r="L633" t="s">
        <v>231</v>
      </c>
      <c r="M633" t="s">
        <v>4808</v>
      </c>
      <c r="N633" t="s">
        <v>1992</v>
      </c>
      <c r="O633" t="s">
        <v>1992</v>
      </c>
      <c r="P633" t="s">
        <v>1992</v>
      </c>
      <c r="Q633" t="s">
        <v>1992</v>
      </c>
      <c r="R633" t="s">
        <v>1992</v>
      </c>
      <c r="S633" t="s">
        <v>1992</v>
      </c>
      <c r="T633" t="s">
        <v>1992</v>
      </c>
      <c r="U633" t="s">
        <v>1992</v>
      </c>
      <c r="V633" t="s">
        <v>1991</v>
      </c>
      <c r="W633" t="s">
        <v>1992</v>
      </c>
      <c r="X633" t="s">
        <v>1992</v>
      </c>
      <c r="Y633" t="s">
        <v>1992</v>
      </c>
      <c r="Z633" t="s">
        <v>1991</v>
      </c>
      <c r="AE633" t="s">
        <v>448</v>
      </c>
      <c r="AF633" t="s">
        <v>2064</v>
      </c>
      <c r="AG633" t="s">
        <v>1991</v>
      </c>
      <c r="AH633">
        <v>30</v>
      </c>
      <c r="AI633">
        <v>30</v>
      </c>
      <c r="AJ633" t="s">
        <v>4809</v>
      </c>
      <c r="AK633">
        <v>1080</v>
      </c>
      <c r="AM633" t="s">
        <v>2298</v>
      </c>
      <c r="AN633" t="s">
        <v>450</v>
      </c>
      <c r="AO633" t="s">
        <v>2063</v>
      </c>
      <c r="BF633" t="s">
        <v>1053</v>
      </c>
      <c r="BG633" t="s">
        <v>394</v>
      </c>
      <c r="BH633" t="s">
        <v>311</v>
      </c>
      <c r="BI633" t="s">
        <v>1053</v>
      </c>
      <c r="BJ633" t="s">
        <v>1053</v>
      </c>
      <c r="BK633" t="s">
        <v>1053</v>
      </c>
      <c r="BL633" t="s">
        <v>1053</v>
      </c>
      <c r="BX633" t="str">
        <f>"SMTWTFS 0030-0300 0900-2100"</f>
        <v>SMTWTFS 0030-0300 0900-2100</v>
      </c>
      <c r="BY633" t="str">
        <f>""</f>
        <v/>
      </c>
      <c r="BZ633" t="str">
        <f>""</f>
        <v/>
      </c>
      <c r="CA633" t="str">
        <f>""</f>
        <v/>
      </c>
      <c r="CB633" t="str">
        <f>""</f>
        <v/>
      </c>
      <c r="CC633" t="str">
        <f>""</f>
        <v/>
      </c>
      <c r="CD633" t="str">
        <f>""</f>
        <v/>
      </c>
      <c r="CE633" t="str">
        <f>""</f>
        <v/>
      </c>
      <c r="CF633" t="str">
        <f>""</f>
        <v/>
      </c>
      <c r="CG633" t="str">
        <f>""</f>
        <v/>
      </c>
      <c r="CH633" t="str">
        <f>""</f>
        <v/>
      </c>
    </row>
    <row r="634" spans="1:86" x14ac:dyDescent="0.25">
      <c r="A634" t="s">
        <v>4810</v>
      </c>
      <c r="B634" t="s">
        <v>4811</v>
      </c>
      <c r="C634" t="s">
        <v>1992</v>
      </c>
      <c r="D634" t="s">
        <v>1993</v>
      </c>
      <c r="E634" t="s">
        <v>4812</v>
      </c>
      <c r="F634" t="s">
        <v>1073</v>
      </c>
      <c r="H634" t="s">
        <v>4813</v>
      </c>
      <c r="I634" t="s">
        <v>401</v>
      </c>
      <c r="J634" t="str">
        <f>"88354"</f>
        <v>88354</v>
      </c>
      <c r="K634" t="s">
        <v>1998</v>
      </c>
      <c r="L634" t="s">
        <v>231</v>
      </c>
      <c r="M634" t="s">
        <v>2000</v>
      </c>
      <c r="N634" t="s">
        <v>1992</v>
      </c>
      <c r="O634" t="s">
        <v>1992</v>
      </c>
      <c r="P634" t="s">
        <v>1992</v>
      </c>
      <c r="Q634" t="s">
        <v>1992</v>
      </c>
      <c r="R634" t="s">
        <v>1992</v>
      </c>
      <c r="S634" t="s">
        <v>1992</v>
      </c>
      <c r="T634" t="s">
        <v>1992</v>
      </c>
      <c r="U634" t="s">
        <v>1992</v>
      </c>
      <c r="V634" t="s">
        <v>1991</v>
      </c>
      <c r="Z634" t="s">
        <v>1991</v>
      </c>
      <c r="AF634" t="s">
        <v>2064</v>
      </c>
      <c r="AG634" t="s">
        <v>1991</v>
      </c>
      <c r="AH634">
        <v>15</v>
      </c>
      <c r="AI634">
        <v>15</v>
      </c>
      <c r="AJ634" t="s">
        <v>4814</v>
      </c>
      <c r="AK634">
        <v>2165</v>
      </c>
      <c r="BX634" t="str">
        <f>""</f>
        <v/>
      </c>
      <c r="BY634" t="str">
        <f>""</f>
        <v/>
      </c>
      <c r="BZ634" t="str">
        <f>""</f>
        <v/>
      </c>
      <c r="CA634" t="str">
        <f>""</f>
        <v/>
      </c>
      <c r="CB634" t="str">
        <f>""</f>
        <v/>
      </c>
      <c r="CC634" t="str">
        <f>""</f>
        <v/>
      </c>
      <c r="CD634" t="str">
        <f>""</f>
        <v/>
      </c>
      <c r="CE634" t="str">
        <f>""</f>
        <v/>
      </c>
      <c r="CF634" t="str">
        <f>""</f>
        <v/>
      </c>
      <c r="CG634" t="str">
        <f>""</f>
        <v/>
      </c>
      <c r="CH634" t="str">
        <f>""</f>
        <v/>
      </c>
    </row>
    <row r="635" spans="1:86" x14ac:dyDescent="0.25">
      <c r="A635" t="s">
        <v>4815</v>
      </c>
      <c r="B635" t="s">
        <v>4816</v>
      </c>
      <c r="C635" t="s">
        <v>1991</v>
      </c>
      <c r="D635" t="s">
        <v>2010</v>
      </c>
      <c r="E635" t="s">
        <v>4817</v>
      </c>
      <c r="H635" t="s">
        <v>4818</v>
      </c>
      <c r="I635" t="s">
        <v>2388</v>
      </c>
      <c r="J635" t="str">
        <f>"15222"</f>
        <v>15222</v>
      </c>
      <c r="K635" t="s">
        <v>1998</v>
      </c>
      <c r="L635" t="s">
        <v>2015</v>
      </c>
      <c r="M635" t="s">
        <v>4819</v>
      </c>
      <c r="N635" t="s">
        <v>1991</v>
      </c>
      <c r="O635" t="s">
        <v>1991</v>
      </c>
      <c r="P635" t="s">
        <v>1992</v>
      </c>
      <c r="Q635" t="s">
        <v>1991</v>
      </c>
      <c r="R635" t="s">
        <v>1991</v>
      </c>
      <c r="S635" t="s">
        <v>1992</v>
      </c>
      <c r="T635" t="s">
        <v>1992</v>
      </c>
      <c r="U635" t="s">
        <v>1991</v>
      </c>
      <c r="V635" t="s">
        <v>1991</v>
      </c>
      <c r="W635" t="s">
        <v>1991</v>
      </c>
      <c r="X635" t="s">
        <v>1992</v>
      </c>
      <c r="Y635" t="s">
        <v>1992</v>
      </c>
      <c r="Z635" t="s">
        <v>1992</v>
      </c>
      <c r="AE635" t="s">
        <v>4820</v>
      </c>
      <c r="AF635" t="s">
        <v>2016</v>
      </c>
      <c r="AG635" t="s">
        <v>1991</v>
      </c>
      <c r="AH635">
        <v>60</v>
      </c>
      <c r="AI635">
        <v>30</v>
      </c>
      <c r="AJ635" t="s">
        <v>4821</v>
      </c>
      <c r="AK635">
        <v>744</v>
      </c>
      <c r="AL635">
        <v>1000000</v>
      </c>
      <c r="AN635" t="s">
        <v>1053</v>
      </c>
      <c r="AO635" t="s">
        <v>1053</v>
      </c>
      <c r="AP635" t="s">
        <v>1053</v>
      </c>
      <c r="AQ635" t="s">
        <v>1053</v>
      </c>
      <c r="AR635" t="s">
        <v>1053</v>
      </c>
      <c r="AS635" t="s">
        <v>2395</v>
      </c>
      <c r="AT635" t="s">
        <v>2396</v>
      </c>
      <c r="AU635" t="s">
        <v>1053</v>
      </c>
      <c r="AV635" t="s">
        <v>1053</v>
      </c>
      <c r="AW635" t="s">
        <v>1053</v>
      </c>
      <c r="AX635" t="s">
        <v>1053</v>
      </c>
      <c r="AY635" t="s">
        <v>1053</v>
      </c>
      <c r="AZ635" t="s">
        <v>4815</v>
      </c>
      <c r="BA635" t="s">
        <v>4822</v>
      </c>
      <c r="BB635" t="s">
        <v>1053</v>
      </c>
      <c r="BC635" t="s">
        <v>1053</v>
      </c>
      <c r="BD635" t="s">
        <v>1053</v>
      </c>
      <c r="BE635" t="s">
        <v>1053</v>
      </c>
      <c r="BF635" t="s">
        <v>1053</v>
      </c>
      <c r="BG635" t="s">
        <v>2393</v>
      </c>
      <c r="BH635" t="s">
        <v>2394</v>
      </c>
      <c r="BI635" t="s">
        <v>1053</v>
      </c>
      <c r="BJ635" t="s">
        <v>1053</v>
      </c>
      <c r="BK635" t="s">
        <v>1053</v>
      </c>
      <c r="BL635" t="s">
        <v>1053</v>
      </c>
      <c r="BM635" t="s">
        <v>2395</v>
      </c>
      <c r="BN635" t="s">
        <v>2396</v>
      </c>
      <c r="BO635" t="s">
        <v>1053</v>
      </c>
      <c r="BP635" t="s">
        <v>2397</v>
      </c>
      <c r="BQ635" t="s">
        <v>2398</v>
      </c>
      <c r="BR635" t="s">
        <v>1053</v>
      </c>
      <c r="BS635" t="s">
        <v>1053</v>
      </c>
      <c r="BT635" t="s">
        <v>1053</v>
      </c>
      <c r="BU635" t="s">
        <v>1053</v>
      </c>
      <c r="BV635" t="s">
        <v>2399</v>
      </c>
      <c r="BW635" t="s">
        <v>2400</v>
      </c>
      <c r="BX635" t="str">
        <f>"SMTWTFS 0000-2359"</f>
        <v>SMTWTFS 0000-2359</v>
      </c>
      <c r="BY635" t="str">
        <f>"SMTWTFS 0000-2359"</f>
        <v>SMTWTFS 0000-2359</v>
      </c>
      <c r="BZ635" t="str">
        <f>"SMTWTFS 0000-2359"</f>
        <v>SMTWTFS 0000-2359</v>
      </c>
      <c r="CA635" t="str">
        <f>"SMTWTFS 0000-2359"</f>
        <v>SMTWTFS 0000-2359</v>
      </c>
      <c r="CB635" t="str">
        <f>""</f>
        <v/>
      </c>
      <c r="CC635" t="str">
        <f>"SMTWTFS 0000-2359"</f>
        <v>SMTWTFS 0000-2359</v>
      </c>
      <c r="CD635" t="str">
        <f>""</f>
        <v/>
      </c>
      <c r="CE635" t="str">
        <f>""</f>
        <v/>
      </c>
      <c r="CF635" t="str">
        <f>"SMTWTFS 0000-2359"</f>
        <v>SMTWTFS 0000-2359</v>
      </c>
      <c r="CG635" t="str">
        <f>""</f>
        <v/>
      </c>
      <c r="CH635" t="str">
        <f>""</f>
        <v/>
      </c>
    </row>
    <row r="636" spans="1:86" x14ac:dyDescent="0.25">
      <c r="A636" t="s">
        <v>4823</v>
      </c>
      <c r="B636" t="s">
        <v>4824</v>
      </c>
      <c r="C636" t="s">
        <v>1992</v>
      </c>
      <c r="D636" t="s">
        <v>2010</v>
      </c>
      <c r="E636" t="s">
        <v>4825</v>
      </c>
      <c r="F636" t="s">
        <v>4826</v>
      </c>
      <c r="G636" t="s">
        <v>4827</v>
      </c>
      <c r="H636" t="s">
        <v>4828</v>
      </c>
      <c r="I636" t="s">
        <v>586</v>
      </c>
      <c r="J636" t="str">
        <f>"85034"</f>
        <v>85034</v>
      </c>
      <c r="K636" t="s">
        <v>1998</v>
      </c>
      <c r="L636" t="s">
        <v>2045</v>
      </c>
      <c r="M636" t="s">
        <v>2063</v>
      </c>
      <c r="N636" t="s">
        <v>1992</v>
      </c>
      <c r="O636" t="s">
        <v>1992</v>
      </c>
      <c r="P636" t="s">
        <v>1992</v>
      </c>
      <c r="Q636" t="s">
        <v>1992</v>
      </c>
      <c r="R636" t="s">
        <v>1992</v>
      </c>
      <c r="S636" t="s">
        <v>1992</v>
      </c>
      <c r="T636" t="s">
        <v>1992</v>
      </c>
      <c r="U636" t="s">
        <v>1992</v>
      </c>
      <c r="V636" t="s">
        <v>1991</v>
      </c>
      <c r="W636" t="s">
        <v>1992</v>
      </c>
      <c r="X636" t="s">
        <v>1992</v>
      </c>
      <c r="Y636" t="s">
        <v>1992</v>
      </c>
      <c r="Z636" t="s">
        <v>1991</v>
      </c>
      <c r="AB636" t="s">
        <v>5199</v>
      </c>
      <c r="AF636" t="s">
        <v>2048</v>
      </c>
      <c r="AG636" t="s">
        <v>1992</v>
      </c>
      <c r="AH636">
        <v>30</v>
      </c>
      <c r="AI636">
        <v>30</v>
      </c>
      <c r="AJ636" t="s">
        <v>4829</v>
      </c>
      <c r="AK636">
        <v>1120</v>
      </c>
      <c r="AL636">
        <v>1500000</v>
      </c>
      <c r="AM636" t="s">
        <v>4830</v>
      </c>
      <c r="AN636" t="s">
        <v>4831</v>
      </c>
      <c r="AO636" t="s">
        <v>2063</v>
      </c>
      <c r="BF636" t="s">
        <v>1053</v>
      </c>
      <c r="BG636" t="s">
        <v>2019</v>
      </c>
      <c r="BH636" t="s">
        <v>2053</v>
      </c>
      <c r="BI636" t="s">
        <v>1053</v>
      </c>
      <c r="BO636" t="s">
        <v>1053</v>
      </c>
      <c r="BP636" t="s">
        <v>2101</v>
      </c>
      <c r="BQ636" t="s">
        <v>2055</v>
      </c>
      <c r="BR636" t="s">
        <v>1053</v>
      </c>
      <c r="BS636" t="s">
        <v>1053</v>
      </c>
      <c r="BV636" t="s">
        <v>2056</v>
      </c>
      <c r="BX636" t="str">
        <f>""</f>
        <v/>
      </c>
      <c r="BY636" t="str">
        <f>""</f>
        <v/>
      </c>
      <c r="BZ636" t="str">
        <f>""</f>
        <v/>
      </c>
      <c r="CA636" t="str">
        <f>""</f>
        <v/>
      </c>
      <c r="CB636" t="str">
        <f>""</f>
        <v/>
      </c>
      <c r="CC636" t="str">
        <f>""</f>
        <v/>
      </c>
      <c r="CD636" t="str">
        <f>""</f>
        <v/>
      </c>
      <c r="CE636" t="str">
        <f>""</f>
        <v/>
      </c>
      <c r="CF636" t="str">
        <f>""</f>
        <v/>
      </c>
      <c r="CG636" t="str">
        <f>""</f>
        <v/>
      </c>
      <c r="CH636" t="str">
        <f>""</f>
        <v/>
      </c>
    </row>
    <row r="637" spans="1:86" x14ac:dyDescent="0.25">
      <c r="A637" t="s">
        <v>4832</v>
      </c>
      <c r="B637" t="s">
        <v>4833</v>
      </c>
      <c r="C637" t="s">
        <v>1992</v>
      </c>
      <c r="D637" t="s">
        <v>2010</v>
      </c>
      <c r="E637" t="s">
        <v>4834</v>
      </c>
      <c r="H637" t="s">
        <v>4828</v>
      </c>
      <c r="I637" t="s">
        <v>586</v>
      </c>
      <c r="J637" t="str">
        <f>"85034"</f>
        <v>85034</v>
      </c>
      <c r="K637" t="s">
        <v>1998</v>
      </c>
      <c r="L637" t="s">
        <v>2045</v>
      </c>
      <c r="M637" t="s">
        <v>4835</v>
      </c>
      <c r="N637" t="s">
        <v>1992</v>
      </c>
      <c r="O637" t="s">
        <v>1992</v>
      </c>
      <c r="P637" t="s">
        <v>1992</v>
      </c>
      <c r="Q637" t="s">
        <v>1992</v>
      </c>
      <c r="R637" t="s">
        <v>1992</v>
      </c>
      <c r="S637" t="s">
        <v>1992</v>
      </c>
      <c r="T637" t="s">
        <v>1992</v>
      </c>
      <c r="U637" t="s">
        <v>1992</v>
      </c>
      <c r="V637" t="s">
        <v>1991</v>
      </c>
      <c r="W637" t="s">
        <v>1992</v>
      </c>
      <c r="X637" t="s">
        <v>1992</v>
      </c>
      <c r="Y637" t="s">
        <v>1992</v>
      </c>
      <c r="Z637" t="s">
        <v>1991</v>
      </c>
      <c r="AB637" t="s">
        <v>5199</v>
      </c>
      <c r="AF637" t="s">
        <v>2048</v>
      </c>
      <c r="AG637" t="s">
        <v>1992</v>
      </c>
      <c r="AH637">
        <v>30</v>
      </c>
      <c r="AI637">
        <v>30</v>
      </c>
      <c r="AJ637" t="s">
        <v>4836</v>
      </c>
      <c r="AK637">
        <v>1100</v>
      </c>
      <c r="AL637">
        <v>1500000</v>
      </c>
      <c r="AN637" t="s">
        <v>4837</v>
      </c>
      <c r="AO637" t="s">
        <v>2063</v>
      </c>
      <c r="BF637" t="s">
        <v>1053</v>
      </c>
      <c r="BG637" t="s">
        <v>2019</v>
      </c>
      <c r="BH637" t="s">
        <v>2053</v>
      </c>
      <c r="BI637" t="s">
        <v>1053</v>
      </c>
      <c r="BO637" t="s">
        <v>1053</v>
      </c>
      <c r="BP637" t="s">
        <v>2101</v>
      </c>
      <c r="BQ637" t="s">
        <v>2055</v>
      </c>
      <c r="BR637" t="s">
        <v>1053</v>
      </c>
      <c r="BS637" t="s">
        <v>1053</v>
      </c>
      <c r="BV637" t="s">
        <v>2056</v>
      </c>
      <c r="BX637" t="str">
        <f>""</f>
        <v/>
      </c>
      <c r="BY637" t="str">
        <f>""</f>
        <v/>
      </c>
      <c r="BZ637" t="str">
        <f>""</f>
        <v/>
      </c>
      <c r="CA637" t="str">
        <f>""</f>
        <v/>
      </c>
      <c r="CB637" t="str">
        <f>""</f>
        <v/>
      </c>
      <c r="CC637" t="str">
        <f>""</f>
        <v/>
      </c>
      <c r="CD637" t="str">
        <f>""</f>
        <v/>
      </c>
      <c r="CE637" t="str">
        <f>""</f>
        <v/>
      </c>
      <c r="CF637" t="str">
        <f>""</f>
        <v/>
      </c>
      <c r="CG637" t="str">
        <f>""</f>
        <v/>
      </c>
      <c r="CH637" t="str">
        <f>""</f>
        <v/>
      </c>
    </row>
    <row r="638" spans="1:86" x14ac:dyDescent="0.25">
      <c r="A638" t="s">
        <v>2399</v>
      </c>
      <c r="B638" t="s">
        <v>4838</v>
      </c>
      <c r="C638" t="s">
        <v>1991</v>
      </c>
      <c r="D638" t="s">
        <v>2010</v>
      </c>
      <c r="E638" t="s">
        <v>4839</v>
      </c>
      <c r="F638" t="s">
        <v>4840</v>
      </c>
      <c r="H638" t="s">
        <v>4841</v>
      </c>
      <c r="I638" t="s">
        <v>2388</v>
      </c>
      <c r="J638" t="str">
        <f>"19104-2898"</f>
        <v>19104-2898</v>
      </c>
      <c r="K638" t="s">
        <v>1998</v>
      </c>
      <c r="L638" t="s">
        <v>2015</v>
      </c>
      <c r="M638" t="s">
        <v>4842</v>
      </c>
      <c r="N638" t="s">
        <v>1991</v>
      </c>
      <c r="O638" t="s">
        <v>1991</v>
      </c>
      <c r="P638" t="s">
        <v>1992</v>
      </c>
      <c r="Q638" t="s">
        <v>1991</v>
      </c>
      <c r="R638" t="s">
        <v>1991</v>
      </c>
      <c r="S638" t="s">
        <v>1992</v>
      </c>
      <c r="T638" t="s">
        <v>1991</v>
      </c>
      <c r="U638" t="s">
        <v>1991</v>
      </c>
      <c r="V638" t="s">
        <v>1991</v>
      </c>
      <c r="W638" t="s">
        <v>1991</v>
      </c>
      <c r="X638" t="s">
        <v>1991</v>
      </c>
      <c r="Y638" t="s">
        <v>1992</v>
      </c>
      <c r="Z638" t="s">
        <v>1992</v>
      </c>
      <c r="AA638" t="s">
        <v>1992</v>
      </c>
      <c r="AE638" t="s">
        <v>4843</v>
      </c>
      <c r="AF638" t="s">
        <v>2016</v>
      </c>
      <c r="AG638" t="s">
        <v>1991</v>
      </c>
      <c r="AH638">
        <v>60</v>
      </c>
      <c r="AI638">
        <v>30</v>
      </c>
      <c r="AJ638" t="s">
        <v>4844</v>
      </c>
      <c r="AK638">
        <v>16</v>
      </c>
      <c r="AL638">
        <v>1585577</v>
      </c>
      <c r="AN638" t="s">
        <v>1053</v>
      </c>
      <c r="AO638" t="s">
        <v>1053</v>
      </c>
      <c r="AP638" t="s">
        <v>1053</v>
      </c>
      <c r="AQ638" t="s">
        <v>1053</v>
      </c>
      <c r="AR638" t="s">
        <v>1053</v>
      </c>
      <c r="AS638" t="s">
        <v>2399</v>
      </c>
      <c r="AT638" t="s">
        <v>2400</v>
      </c>
      <c r="AU638" t="s">
        <v>1053</v>
      </c>
      <c r="AV638" t="s">
        <v>1053</v>
      </c>
      <c r="AW638" t="s">
        <v>1053</v>
      </c>
      <c r="AX638" t="s">
        <v>1053</v>
      </c>
      <c r="AY638" t="s">
        <v>1053</v>
      </c>
      <c r="AZ638" t="s">
        <v>2399</v>
      </c>
      <c r="BA638" t="s">
        <v>4845</v>
      </c>
      <c r="BB638" t="s">
        <v>1053</v>
      </c>
      <c r="BC638" t="s">
        <v>1053</v>
      </c>
      <c r="BD638" t="s">
        <v>1053</v>
      </c>
      <c r="BE638" t="s">
        <v>1053</v>
      </c>
      <c r="BF638" t="s">
        <v>1053</v>
      </c>
      <c r="BG638" t="s">
        <v>4846</v>
      </c>
      <c r="BH638" t="s">
        <v>318</v>
      </c>
      <c r="BI638" t="s">
        <v>1053</v>
      </c>
      <c r="BJ638" t="s">
        <v>1053</v>
      </c>
      <c r="BK638" t="s">
        <v>1053</v>
      </c>
      <c r="BL638" t="s">
        <v>1053</v>
      </c>
      <c r="BM638" t="s">
        <v>319</v>
      </c>
      <c r="BN638" t="s">
        <v>4845</v>
      </c>
      <c r="BO638" t="s">
        <v>1053</v>
      </c>
      <c r="BP638" t="s">
        <v>2397</v>
      </c>
      <c r="BQ638" t="s">
        <v>318</v>
      </c>
      <c r="BR638" t="s">
        <v>1053</v>
      </c>
      <c r="BS638" t="s">
        <v>1053</v>
      </c>
      <c r="BT638" t="s">
        <v>1053</v>
      </c>
      <c r="BU638" t="s">
        <v>1053</v>
      </c>
      <c r="BV638" t="s">
        <v>4847</v>
      </c>
      <c r="BW638" t="s">
        <v>2400</v>
      </c>
      <c r="BX638" t="str">
        <f>"SMTWTFS 0000-2359"</f>
        <v>SMTWTFS 0000-2359</v>
      </c>
      <c r="BY638" t="str">
        <f>"SMTWTFS 0630-2230"</f>
        <v>SMTWTFS 0630-2230</v>
      </c>
      <c r="BZ638" t="str">
        <f>"SMTWTFS 0000-2359"</f>
        <v>SMTWTFS 0000-2359</v>
      </c>
      <c r="CA638" t="str">
        <f>"S-----S 0610-2135; -MTWTF- 0515-2135"</f>
        <v>S-----S 0610-2135; -MTWTF- 0515-2135</v>
      </c>
      <c r="CB638" t="str">
        <f>"S-----S 0610-2135; -MTWTF- 0510-2135"</f>
        <v>S-----S 0610-2135; -MTWTF- 0510-2135</v>
      </c>
      <c r="CC638" t="str">
        <f>"SMTWTFS 0000-2359"</f>
        <v>SMTWTFS 0000-2359</v>
      </c>
      <c r="CD638" t="str">
        <f>""</f>
        <v/>
      </c>
      <c r="CE638" t="str">
        <f>"SMTWTFS 0600-2100"</f>
        <v>SMTWTFS 0600-2100</v>
      </c>
      <c r="CF638" t="str">
        <f>"SMTWTFS 0630-2230"</f>
        <v>SMTWTFS 0630-2230</v>
      </c>
      <c r="CG638" t="str">
        <f>"SMTWTFS 0630-2300"</f>
        <v>SMTWTFS 0630-2300</v>
      </c>
      <c r="CH638" t="str">
        <f>"SMTWTFS 0500-2300"</f>
        <v>SMTWTFS 0500-2300</v>
      </c>
    </row>
    <row r="639" spans="1:86" x14ac:dyDescent="0.25">
      <c r="A639" t="s">
        <v>4848</v>
      </c>
      <c r="B639" t="s">
        <v>4849</v>
      </c>
      <c r="C639" t="s">
        <v>1992</v>
      </c>
      <c r="D639" t="s">
        <v>2010</v>
      </c>
      <c r="E639" t="s">
        <v>4850</v>
      </c>
      <c r="F639" t="s">
        <v>4851</v>
      </c>
      <c r="H639" t="s">
        <v>4841</v>
      </c>
      <c r="I639" t="s">
        <v>2388</v>
      </c>
      <c r="J639" t="str">
        <f>"19132-2400"</f>
        <v>19132-2400</v>
      </c>
      <c r="K639" t="s">
        <v>1998</v>
      </c>
      <c r="L639" t="s">
        <v>2015</v>
      </c>
      <c r="M639" t="s">
        <v>2063</v>
      </c>
      <c r="N639" t="s">
        <v>1992</v>
      </c>
      <c r="O639" t="s">
        <v>1992</v>
      </c>
      <c r="P639" t="s">
        <v>1992</v>
      </c>
      <c r="Q639" t="s">
        <v>1992</v>
      </c>
      <c r="R639" t="s">
        <v>1992</v>
      </c>
      <c r="S639" t="s">
        <v>1992</v>
      </c>
      <c r="T639" t="s">
        <v>1992</v>
      </c>
      <c r="U639" t="s">
        <v>1992</v>
      </c>
      <c r="V639" t="s">
        <v>1991</v>
      </c>
      <c r="W639" t="s">
        <v>1991</v>
      </c>
      <c r="X639" t="s">
        <v>1991</v>
      </c>
      <c r="Y639" t="s">
        <v>1992</v>
      </c>
      <c r="Z639" t="s">
        <v>1992</v>
      </c>
      <c r="AF639" t="s">
        <v>2016</v>
      </c>
      <c r="AG639" t="s">
        <v>1991</v>
      </c>
      <c r="AH639">
        <v>30</v>
      </c>
      <c r="AI639">
        <v>30</v>
      </c>
      <c r="AJ639" t="s">
        <v>4852</v>
      </c>
      <c r="AK639">
        <v>114</v>
      </c>
      <c r="AN639" t="s">
        <v>2066</v>
      </c>
      <c r="AO639" t="s">
        <v>2063</v>
      </c>
      <c r="BF639" t="s">
        <v>1053</v>
      </c>
      <c r="BG639" t="s">
        <v>4853</v>
      </c>
      <c r="BH639" t="s">
        <v>318</v>
      </c>
      <c r="BI639" t="s">
        <v>1053</v>
      </c>
      <c r="BJ639" t="s">
        <v>1053</v>
      </c>
      <c r="BK639" t="s">
        <v>1053</v>
      </c>
      <c r="BL639" t="s">
        <v>1053</v>
      </c>
      <c r="BM639" t="s">
        <v>319</v>
      </c>
      <c r="BN639" t="s">
        <v>226</v>
      </c>
      <c r="BO639" t="s">
        <v>1053</v>
      </c>
      <c r="BP639" t="s">
        <v>2397</v>
      </c>
      <c r="BQ639" t="s">
        <v>318</v>
      </c>
      <c r="BR639" t="s">
        <v>1053</v>
      </c>
      <c r="BS639" t="s">
        <v>1053</v>
      </c>
      <c r="BT639" t="s">
        <v>1053</v>
      </c>
      <c r="BU639" t="s">
        <v>1053</v>
      </c>
      <c r="BV639" t="s">
        <v>319</v>
      </c>
      <c r="BW639" t="s">
        <v>226</v>
      </c>
      <c r="BX639" t="str">
        <f>""</f>
        <v/>
      </c>
      <c r="BY639" t="str">
        <f>""</f>
        <v/>
      </c>
      <c r="BZ639" t="str">
        <f>""</f>
        <v/>
      </c>
      <c r="CA639" t="str">
        <f>""</f>
        <v/>
      </c>
      <c r="CB639" t="str">
        <f>""</f>
        <v/>
      </c>
      <c r="CC639" t="str">
        <f>""</f>
        <v/>
      </c>
      <c r="CD639" t="str">
        <f>""</f>
        <v/>
      </c>
      <c r="CE639" t="str">
        <f>""</f>
        <v/>
      </c>
      <c r="CF639" t="str">
        <f>""</f>
        <v/>
      </c>
      <c r="CG639" t="str">
        <f>""</f>
        <v/>
      </c>
      <c r="CH639" t="str">
        <f>""</f>
        <v/>
      </c>
    </row>
    <row r="640" spans="1:86" x14ac:dyDescent="0.25">
      <c r="A640" t="s">
        <v>4854</v>
      </c>
      <c r="B640" t="s">
        <v>4855</v>
      </c>
      <c r="C640" t="s">
        <v>1992</v>
      </c>
      <c r="D640" t="s">
        <v>2010</v>
      </c>
      <c r="E640" t="s">
        <v>4856</v>
      </c>
      <c r="F640" t="s">
        <v>4857</v>
      </c>
      <c r="H640" t="s">
        <v>4858</v>
      </c>
      <c r="I640" t="s">
        <v>2367</v>
      </c>
      <c r="J640" t="str">
        <f>"61602-1538"</f>
        <v>61602-1538</v>
      </c>
      <c r="K640" t="s">
        <v>1998</v>
      </c>
      <c r="L640" t="s">
        <v>1999</v>
      </c>
      <c r="M640" t="s">
        <v>4859</v>
      </c>
      <c r="N640" t="s">
        <v>1992</v>
      </c>
      <c r="O640" t="s">
        <v>1992</v>
      </c>
      <c r="P640" t="s">
        <v>1992</v>
      </c>
      <c r="Q640" t="s">
        <v>1992</v>
      </c>
      <c r="R640" t="s">
        <v>1992</v>
      </c>
      <c r="S640" t="s">
        <v>1992</v>
      </c>
      <c r="T640" t="s">
        <v>1992</v>
      </c>
      <c r="U640" t="s">
        <v>1992</v>
      </c>
      <c r="V640" t="s">
        <v>1991</v>
      </c>
      <c r="W640" t="s">
        <v>1992</v>
      </c>
      <c r="X640" t="s">
        <v>1992</v>
      </c>
      <c r="Y640" t="s">
        <v>1992</v>
      </c>
      <c r="Z640" t="s">
        <v>1991</v>
      </c>
      <c r="AE640" t="s">
        <v>5086</v>
      </c>
      <c r="AF640" t="s">
        <v>2001</v>
      </c>
      <c r="AG640" t="s">
        <v>1991</v>
      </c>
      <c r="AH640">
        <v>30</v>
      </c>
      <c r="AI640">
        <v>30</v>
      </c>
      <c r="AJ640" t="s">
        <v>4860</v>
      </c>
      <c r="AK640">
        <v>494</v>
      </c>
      <c r="AM640" t="s">
        <v>4861</v>
      </c>
      <c r="AN640" t="s">
        <v>4862</v>
      </c>
      <c r="AO640" t="s">
        <v>2311</v>
      </c>
      <c r="BF640" t="s">
        <v>1053</v>
      </c>
      <c r="BG640" t="s">
        <v>2371</v>
      </c>
      <c r="BH640" t="s">
        <v>176</v>
      </c>
      <c r="BI640" t="s">
        <v>1053</v>
      </c>
      <c r="BJ640" t="s">
        <v>1053</v>
      </c>
      <c r="BK640" t="s">
        <v>1053</v>
      </c>
      <c r="BL640" t="s">
        <v>1053</v>
      </c>
      <c r="BM640" t="s">
        <v>5232</v>
      </c>
      <c r="BN640" t="s">
        <v>2374</v>
      </c>
      <c r="BO640" t="s">
        <v>1053</v>
      </c>
      <c r="BP640" t="s">
        <v>986</v>
      </c>
      <c r="BQ640" t="s">
        <v>2376</v>
      </c>
      <c r="BR640" t="s">
        <v>1053</v>
      </c>
      <c r="BS640" t="s">
        <v>1053</v>
      </c>
      <c r="BT640" t="s">
        <v>1053</v>
      </c>
      <c r="BU640" t="s">
        <v>1053</v>
      </c>
      <c r="BV640" t="s">
        <v>987</v>
      </c>
      <c r="BX640" t="str">
        <f>"SMTWTFS 1000-1900"</f>
        <v>SMTWTFS 1000-1900</v>
      </c>
      <c r="BY640" t="str">
        <f>""</f>
        <v/>
      </c>
      <c r="BZ640" t="str">
        <f>""</f>
        <v/>
      </c>
      <c r="CA640" t="str">
        <f>""</f>
        <v/>
      </c>
      <c r="CB640" t="str">
        <f>"SMTWTFS 1000-1900"</f>
        <v>SMTWTFS 1000-1900</v>
      </c>
      <c r="CC640" t="str">
        <f>""</f>
        <v/>
      </c>
      <c r="CD640" t="str">
        <f>""</f>
        <v/>
      </c>
      <c r="CE640" t="str">
        <f>""</f>
        <v/>
      </c>
      <c r="CF640" t="str">
        <f>""</f>
        <v/>
      </c>
      <c r="CG640" t="str">
        <f>""</f>
        <v/>
      </c>
      <c r="CH640" t="str">
        <f>""</f>
        <v/>
      </c>
    </row>
    <row r="641" spans="1:86" x14ac:dyDescent="0.25">
      <c r="A641" t="s">
        <v>4863</v>
      </c>
      <c r="B641" t="s">
        <v>4864</v>
      </c>
      <c r="C641" t="s">
        <v>1992</v>
      </c>
      <c r="D641" t="s">
        <v>2010</v>
      </c>
      <c r="E641" t="s">
        <v>4865</v>
      </c>
      <c r="F641" t="s">
        <v>4866</v>
      </c>
      <c r="H641" t="s">
        <v>4867</v>
      </c>
      <c r="I641" t="s">
        <v>779</v>
      </c>
      <c r="J641" t="str">
        <f>"39466"</f>
        <v>39466</v>
      </c>
      <c r="K641" t="s">
        <v>1998</v>
      </c>
      <c r="L641" t="s">
        <v>408</v>
      </c>
      <c r="M641" t="s">
        <v>2063</v>
      </c>
      <c r="N641" t="s">
        <v>1992</v>
      </c>
      <c r="O641" t="s">
        <v>1992</v>
      </c>
      <c r="P641" t="s">
        <v>1992</v>
      </c>
      <c r="Q641" t="s">
        <v>1992</v>
      </c>
      <c r="R641" t="s">
        <v>1992</v>
      </c>
      <c r="S641" t="s">
        <v>1992</v>
      </c>
      <c r="T641" t="s">
        <v>1992</v>
      </c>
      <c r="U641" t="s">
        <v>1992</v>
      </c>
      <c r="V641" t="s">
        <v>1991</v>
      </c>
      <c r="W641" t="s">
        <v>1991</v>
      </c>
      <c r="X641" t="s">
        <v>1992</v>
      </c>
      <c r="Y641" t="s">
        <v>1992</v>
      </c>
      <c r="Z641" t="s">
        <v>1992</v>
      </c>
      <c r="AF641" t="s">
        <v>2001</v>
      </c>
      <c r="AG641" t="s">
        <v>1991</v>
      </c>
      <c r="AH641">
        <v>30</v>
      </c>
      <c r="AI641">
        <v>30</v>
      </c>
      <c r="AJ641" t="s">
        <v>4868</v>
      </c>
      <c r="AK641">
        <v>73</v>
      </c>
      <c r="AL641">
        <v>11759</v>
      </c>
      <c r="AN641" t="s">
        <v>3560</v>
      </c>
      <c r="AU641" t="s">
        <v>2066</v>
      </c>
      <c r="BF641" t="s">
        <v>1053</v>
      </c>
      <c r="BG641" t="s">
        <v>703</v>
      </c>
      <c r="BH641" t="s">
        <v>4869</v>
      </c>
      <c r="BI641" t="s">
        <v>1053</v>
      </c>
      <c r="BJ641" t="s">
        <v>1053</v>
      </c>
      <c r="BK641" t="s">
        <v>1053</v>
      </c>
      <c r="BL641" t="s">
        <v>1053</v>
      </c>
      <c r="BM641" t="s">
        <v>416</v>
      </c>
      <c r="BN641" t="s">
        <v>417</v>
      </c>
      <c r="BO641" t="s">
        <v>1053</v>
      </c>
      <c r="BP641" t="s">
        <v>986</v>
      </c>
      <c r="BQ641" t="s">
        <v>427</v>
      </c>
      <c r="BR641" t="s">
        <v>1053</v>
      </c>
      <c r="BS641" t="s">
        <v>1053</v>
      </c>
      <c r="BT641" t="s">
        <v>1053</v>
      </c>
      <c r="BU641" t="s">
        <v>1053</v>
      </c>
      <c r="BV641" t="s">
        <v>416</v>
      </c>
      <c r="BW641" t="s">
        <v>417</v>
      </c>
      <c r="BX641" t="str">
        <f>""</f>
        <v/>
      </c>
      <c r="BY641" t="str">
        <f>""</f>
        <v/>
      </c>
      <c r="BZ641" t="str">
        <f>""</f>
        <v/>
      </c>
      <c r="CA641" t="str">
        <f>""</f>
        <v/>
      </c>
      <c r="CB641" t="str">
        <f>""</f>
        <v/>
      </c>
      <c r="CC641" t="str">
        <f>""</f>
        <v/>
      </c>
      <c r="CD641" t="str">
        <f>""</f>
        <v/>
      </c>
      <c r="CE641" t="str">
        <f>""</f>
        <v/>
      </c>
      <c r="CF641" t="str">
        <f>""</f>
        <v/>
      </c>
      <c r="CG641" t="str">
        <f>""</f>
        <v/>
      </c>
      <c r="CH641" t="str">
        <f>""</f>
        <v/>
      </c>
    </row>
    <row r="642" spans="1:86" x14ac:dyDescent="0.25">
      <c r="A642" t="s">
        <v>4870</v>
      </c>
      <c r="B642" t="s">
        <v>4871</v>
      </c>
      <c r="C642" t="s">
        <v>1992</v>
      </c>
      <c r="D642" t="s">
        <v>2331</v>
      </c>
      <c r="E642" t="s">
        <v>4872</v>
      </c>
      <c r="F642" t="s">
        <v>4873</v>
      </c>
      <c r="H642" t="s">
        <v>4874</v>
      </c>
      <c r="I642" t="s">
        <v>247</v>
      </c>
      <c r="J642" t="str">
        <f>"01201-5314"</f>
        <v>01201-5314</v>
      </c>
      <c r="K642" t="s">
        <v>1998</v>
      </c>
      <c r="L642" t="s">
        <v>2033</v>
      </c>
      <c r="M642" t="s">
        <v>2000</v>
      </c>
      <c r="N642" t="s">
        <v>1992</v>
      </c>
      <c r="O642" t="s">
        <v>1992</v>
      </c>
      <c r="P642" t="s">
        <v>1992</v>
      </c>
      <c r="Q642" t="s">
        <v>1992</v>
      </c>
      <c r="R642" t="s">
        <v>1992</v>
      </c>
      <c r="S642" t="s">
        <v>1992</v>
      </c>
      <c r="T642" t="s">
        <v>1992</v>
      </c>
      <c r="U642" t="s">
        <v>1992</v>
      </c>
      <c r="V642" t="s">
        <v>1991</v>
      </c>
      <c r="W642" t="s">
        <v>1991</v>
      </c>
      <c r="X642" t="s">
        <v>1992</v>
      </c>
      <c r="Y642" t="s">
        <v>1992</v>
      </c>
      <c r="Z642" t="s">
        <v>1992</v>
      </c>
      <c r="AF642" t="s">
        <v>2016</v>
      </c>
      <c r="AG642" t="s">
        <v>1991</v>
      </c>
      <c r="AH642">
        <v>30</v>
      </c>
      <c r="AI642">
        <v>30</v>
      </c>
      <c r="AJ642" t="s">
        <v>4875</v>
      </c>
      <c r="AK642">
        <v>1004</v>
      </c>
      <c r="AL642">
        <v>51974</v>
      </c>
      <c r="AM642" t="s">
        <v>4876</v>
      </c>
      <c r="AN642" t="s">
        <v>2066</v>
      </c>
      <c r="AO642" t="s">
        <v>2063</v>
      </c>
      <c r="BF642" t="s">
        <v>1053</v>
      </c>
      <c r="BG642" t="s">
        <v>467</v>
      </c>
      <c r="BH642" t="s">
        <v>635</v>
      </c>
      <c r="BI642" t="s">
        <v>1053</v>
      </c>
      <c r="BJ642" t="s">
        <v>1053</v>
      </c>
      <c r="BK642" t="s">
        <v>1053</v>
      </c>
      <c r="BL642" t="s">
        <v>1053</v>
      </c>
      <c r="BM642" t="s">
        <v>2324</v>
      </c>
      <c r="BN642" t="s">
        <v>2325</v>
      </c>
      <c r="BO642" t="s">
        <v>1053</v>
      </c>
      <c r="BP642" t="s">
        <v>1333</v>
      </c>
      <c r="BQ642" t="s">
        <v>4877</v>
      </c>
      <c r="BR642" t="s">
        <v>1053</v>
      </c>
      <c r="BS642" t="s">
        <v>1053</v>
      </c>
      <c r="BX642" t="str">
        <f>""</f>
        <v/>
      </c>
      <c r="BY642" t="str">
        <f>""</f>
        <v/>
      </c>
      <c r="BZ642" t="str">
        <f>""</f>
        <v/>
      </c>
      <c r="CA642" t="str">
        <f>""</f>
        <v/>
      </c>
      <c r="CB642" t="str">
        <f>""</f>
        <v/>
      </c>
      <c r="CC642" t="str">
        <f>""</f>
        <v/>
      </c>
      <c r="CD642" t="str">
        <f>""</f>
        <v/>
      </c>
      <c r="CE642" t="str">
        <f>""</f>
        <v/>
      </c>
      <c r="CF642" t="str">
        <f>""</f>
        <v/>
      </c>
      <c r="CG642" t="str">
        <f>""</f>
        <v/>
      </c>
      <c r="CH642" t="str">
        <f>""</f>
        <v/>
      </c>
    </row>
    <row r="643" spans="1:86" x14ac:dyDescent="0.25">
      <c r="A643" t="s">
        <v>4878</v>
      </c>
      <c r="B643" t="s">
        <v>4879</v>
      </c>
      <c r="C643" t="s">
        <v>1991</v>
      </c>
      <c r="D643" t="s">
        <v>2010</v>
      </c>
      <c r="E643" t="s">
        <v>4880</v>
      </c>
      <c r="H643" t="s">
        <v>4881</v>
      </c>
      <c r="I643" t="s">
        <v>2032</v>
      </c>
      <c r="J643" t="str">
        <f>"08550-1008"</f>
        <v>08550-1008</v>
      </c>
      <c r="K643" t="s">
        <v>1998</v>
      </c>
      <c r="L643" t="s">
        <v>2033</v>
      </c>
      <c r="M643" t="s">
        <v>2034</v>
      </c>
      <c r="N643" t="s">
        <v>1991</v>
      </c>
      <c r="O643" t="s">
        <v>1991</v>
      </c>
      <c r="P643" t="s">
        <v>1992</v>
      </c>
      <c r="Q643" t="s">
        <v>1992</v>
      </c>
      <c r="R643" t="s">
        <v>1992</v>
      </c>
      <c r="S643" t="s">
        <v>1992</v>
      </c>
      <c r="T643" t="s">
        <v>1992</v>
      </c>
      <c r="U643" t="s">
        <v>1992</v>
      </c>
      <c r="V643" t="s">
        <v>1991</v>
      </c>
      <c r="W643" t="s">
        <v>1991</v>
      </c>
      <c r="X643" t="s">
        <v>1991</v>
      </c>
      <c r="Y643" t="s">
        <v>1992</v>
      </c>
      <c r="Z643" t="s">
        <v>1992</v>
      </c>
      <c r="AA643" t="s">
        <v>1991</v>
      </c>
      <c r="AE643" t="s">
        <v>2037</v>
      </c>
      <c r="AF643" t="s">
        <v>2016</v>
      </c>
      <c r="AG643" t="s">
        <v>1991</v>
      </c>
      <c r="AH643">
        <v>30</v>
      </c>
      <c r="AI643">
        <v>30</v>
      </c>
      <c r="AJ643" t="s">
        <v>4882</v>
      </c>
      <c r="AK643">
        <v>79</v>
      </c>
      <c r="AN643" t="s">
        <v>1053</v>
      </c>
      <c r="AO643" t="s">
        <v>1053</v>
      </c>
      <c r="AP643" t="s">
        <v>1053</v>
      </c>
      <c r="AS643" t="s">
        <v>4878</v>
      </c>
      <c r="AT643" t="s">
        <v>4883</v>
      </c>
      <c r="AU643" t="s">
        <v>1053</v>
      </c>
      <c r="AV643" t="s">
        <v>1053</v>
      </c>
      <c r="AW643" t="s">
        <v>1053</v>
      </c>
      <c r="AY643" t="s">
        <v>1053</v>
      </c>
      <c r="AZ643" t="s">
        <v>4878</v>
      </c>
      <c r="BA643" t="s">
        <v>4883</v>
      </c>
      <c r="BB643" t="s">
        <v>1053</v>
      </c>
      <c r="BC643" t="s">
        <v>2069</v>
      </c>
      <c r="BD643" t="s">
        <v>1053</v>
      </c>
      <c r="BE643" t="s">
        <v>2069</v>
      </c>
      <c r="BF643" t="s">
        <v>1053</v>
      </c>
      <c r="BG643" t="s">
        <v>1054</v>
      </c>
      <c r="BH643" t="s">
        <v>1064</v>
      </c>
      <c r="BI643" t="s">
        <v>1053</v>
      </c>
      <c r="BJ643" t="s">
        <v>1053</v>
      </c>
      <c r="BK643" t="s">
        <v>1053</v>
      </c>
      <c r="BL643" t="s">
        <v>1053</v>
      </c>
      <c r="BM643" t="s">
        <v>1514</v>
      </c>
      <c r="BN643" t="s">
        <v>1066</v>
      </c>
      <c r="BO643" t="s">
        <v>1053</v>
      </c>
      <c r="BP643" t="s">
        <v>986</v>
      </c>
      <c r="BQ643" t="s">
        <v>1067</v>
      </c>
      <c r="BR643" t="s">
        <v>1053</v>
      </c>
      <c r="BS643" t="s">
        <v>1053</v>
      </c>
      <c r="BT643" t="s">
        <v>1053</v>
      </c>
      <c r="BU643" t="s">
        <v>1053</v>
      </c>
      <c r="BV643" t="s">
        <v>1068</v>
      </c>
      <c r="BW643" t="s">
        <v>1069</v>
      </c>
      <c r="BX643" t="str">
        <f>"S-----S 0700-1500; -MTWTF- 0515-2000"</f>
        <v>S-----S 0700-1500; -MTWTF- 0515-2000</v>
      </c>
      <c r="BY643" t="str">
        <f>""</f>
        <v/>
      </c>
      <c r="BZ643" t="str">
        <f>""</f>
        <v/>
      </c>
      <c r="CA643" t="str">
        <f>"S-----S 0700-1500; -MTWTF- 0515-2000"</f>
        <v>S-----S 0700-1500; -MTWTF- 0515-2000</v>
      </c>
      <c r="CB643" t="str">
        <f>""</f>
        <v/>
      </c>
      <c r="CC643" t="str">
        <f>"S-----S 0700-1500; -MTWTF- 0515-2000"</f>
        <v>S-----S 0700-1500; -MTWTF- 0515-2000</v>
      </c>
      <c r="CD643" t="str">
        <f>""</f>
        <v/>
      </c>
      <c r="CE643" t="str">
        <f>""</f>
        <v/>
      </c>
      <c r="CF643" t="str">
        <f>""</f>
        <v/>
      </c>
      <c r="CG643" t="str">
        <f>""</f>
        <v/>
      </c>
      <c r="CH643" t="str">
        <f>""</f>
        <v/>
      </c>
    </row>
    <row r="644" spans="1:86" x14ac:dyDescent="0.25">
      <c r="A644" t="s">
        <v>4884</v>
      </c>
      <c r="B644" t="s">
        <v>4885</v>
      </c>
      <c r="C644" t="s">
        <v>1992</v>
      </c>
      <c r="D644" t="s">
        <v>2010</v>
      </c>
      <c r="E644" t="s">
        <v>4886</v>
      </c>
      <c r="H644" t="s">
        <v>4887</v>
      </c>
      <c r="I644" t="s">
        <v>2321</v>
      </c>
      <c r="J644" t="str">
        <f>"12901"</f>
        <v>12901</v>
      </c>
      <c r="K644" t="s">
        <v>1998</v>
      </c>
      <c r="L644" t="s">
        <v>2033</v>
      </c>
      <c r="M644" t="s">
        <v>4888</v>
      </c>
      <c r="N644" t="s">
        <v>1992</v>
      </c>
      <c r="O644" t="s">
        <v>1992</v>
      </c>
      <c r="P644" t="s">
        <v>1992</v>
      </c>
      <c r="Q644" t="s">
        <v>1992</v>
      </c>
      <c r="R644" t="s">
        <v>1992</v>
      </c>
      <c r="S644" t="s">
        <v>1992</v>
      </c>
      <c r="T644" t="s">
        <v>1992</v>
      </c>
      <c r="U644" t="s">
        <v>1992</v>
      </c>
      <c r="V644" t="s">
        <v>1991</v>
      </c>
      <c r="W644" t="s">
        <v>1991</v>
      </c>
      <c r="X644" t="s">
        <v>1992</v>
      </c>
      <c r="Y644" t="s">
        <v>1992</v>
      </c>
      <c r="Z644" t="s">
        <v>1992</v>
      </c>
      <c r="AF644" t="s">
        <v>2016</v>
      </c>
      <c r="AG644" t="s">
        <v>1991</v>
      </c>
      <c r="AH644">
        <v>30</v>
      </c>
      <c r="AI644">
        <v>30</v>
      </c>
      <c r="AJ644" t="s">
        <v>4889</v>
      </c>
      <c r="AK644">
        <v>117</v>
      </c>
      <c r="AL644">
        <v>19298</v>
      </c>
      <c r="AN644" t="s">
        <v>4890</v>
      </c>
      <c r="AO644" t="s">
        <v>1053</v>
      </c>
      <c r="AU644" t="s">
        <v>1053</v>
      </c>
      <c r="AV644" t="s">
        <v>1053</v>
      </c>
      <c r="AW644" t="s">
        <v>1053</v>
      </c>
      <c r="AX644" t="s">
        <v>1053</v>
      </c>
      <c r="BF644" t="s">
        <v>1053</v>
      </c>
      <c r="BG644" t="s">
        <v>2019</v>
      </c>
      <c r="BH644" t="s">
        <v>264</v>
      </c>
      <c r="BI644" t="s">
        <v>1053</v>
      </c>
      <c r="BJ644" t="s">
        <v>1053</v>
      </c>
      <c r="BK644" t="s">
        <v>1053</v>
      </c>
      <c r="BL644" t="s">
        <v>1053</v>
      </c>
      <c r="BM644" t="s">
        <v>2324</v>
      </c>
      <c r="BN644" t="s">
        <v>2325</v>
      </c>
      <c r="BO644" t="s">
        <v>1053</v>
      </c>
      <c r="BP644" t="s">
        <v>2327</v>
      </c>
      <c r="BQ644" t="s">
        <v>4891</v>
      </c>
      <c r="BR644" t="s">
        <v>1053</v>
      </c>
      <c r="BS644" t="s">
        <v>1053</v>
      </c>
      <c r="BV644" t="s">
        <v>1444</v>
      </c>
      <c r="BX644" t="str">
        <f>"S-----S 1200-1500; -MTWTF- 1200-1300 1415-1600"</f>
        <v>S-----S 1200-1500; -MTWTF- 1200-1300 1415-1600</v>
      </c>
      <c r="BY644" t="str">
        <f>""</f>
        <v/>
      </c>
      <c r="BZ644" t="str">
        <f>""</f>
        <v/>
      </c>
      <c r="CA644" t="str">
        <f>""</f>
        <v/>
      </c>
      <c r="CB644" t="str">
        <f>""</f>
        <v/>
      </c>
      <c r="CC644" t="str">
        <f>""</f>
        <v/>
      </c>
      <c r="CD644" t="str">
        <f>""</f>
        <v/>
      </c>
      <c r="CE644" t="str">
        <f>""</f>
        <v/>
      </c>
      <c r="CF644" t="str">
        <f>""</f>
        <v/>
      </c>
      <c r="CG644" t="str">
        <f>""</f>
        <v/>
      </c>
      <c r="CH644" t="str">
        <f>""</f>
        <v/>
      </c>
    </row>
    <row r="645" spans="1:86" x14ac:dyDescent="0.25">
      <c r="A645" t="s">
        <v>4892</v>
      </c>
      <c r="B645" t="s">
        <v>4893</v>
      </c>
      <c r="C645" t="s">
        <v>1992</v>
      </c>
      <c r="D645" t="s">
        <v>2010</v>
      </c>
      <c r="E645" t="s">
        <v>4894</v>
      </c>
      <c r="H645" t="s">
        <v>4895</v>
      </c>
      <c r="I645" t="s">
        <v>2367</v>
      </c>
      <c r="J645" t="str">
        <f>"60545"</f>
        <v>60545</v>
      </c>
      <c r="K645" t="s">
        <v>1998</v>
      </c>
      <c r="L645" t="s">
        <v>1999</v>
      </c>
      <c r="M645" t="s">
        <v>2063</v>
      </c>
      <c r="N645" t="s">
        <v>1992</v>
      </c>
      <c r="O645" t="s">
        <v>1992</v>
      </c>
      <c r="P645" t="s">
        <v>1992</v>
      </c>
      <c r="Q645" t="s">
        <v>1992</v>
      </c>
      <c r="R645" t="s">
        <v>1992</v>
      </c>
      <c r="S645" t="s">
        <v>1992</v>
      </c>
      <c r="T645" t="s">
        <v>1992</v>
      </c>
      <c r="U645" t="s">
        <v>1992</v>
      </c>
      <c r="V645" t="s">
        <v>1991</v>
      </c>
      <c r="W645" t="s">
        <v>1991</v>
      </c>
      <c r="X645" t="s">
        <v>1992</v>
      </c>
      <c r="Y645" t="s">
        <v>1992</v>
      </c>
      <c r="Z645" t="s">
        <v>1992</v>
      </c>
      <c r="AF645" t="s">
        <v>2001</v>
      </c>
      <c r="AG645" t="s">
        <v>1991</v>
      </c>
      <c r="AH645">
        <v>30</v>
      </c>
      <c r="AI645">
        <v>30</v>
      </c>
      <c r="AJ645" t="s">
        <v>4896</v>
      </c>
      <c r="AK645">
        <v>649</v>
      </c>
      <c r="AL645">
        <v>5600</v>
      </c>
      <c r="AN645" t="s">
        <v>2066</v>
      </c>
      <c r="AO645" t="s">
        <v>2063</v>
      </c>
      <c r="BF645" t="s">
        <v>1053</v>
      </c>
      <c r="BG645" t="s">
        <v>1640</v>
      </c>
      <c r="BH645" t="s">
        <v>798</v>
      </c>
      <c r="BI645" t="s">
        <v>1053</v>
      </c>
      <c r="BK645" t="s">
        <v>1053</v>
      </c>
      <c r="BL645" t="s">
        <v>1053</v>
      </c>
      <c r="BO645" t="s">
        <v>1053</v>
      </c>
      <c r="BP645" t="s">
        <v>653</v>
      </c>
      <c r="BQ645" t="s">
        <v>2979</v>
      </c>
      <c r="BR645" t="s">
        <v>1053</v>
      </c>
      <c r="BT645" t="s">
        <v>1053</v>
      </c>
      <c r="BX645" t="str">
        <f>"SMTWTFS 0935-1135 1753-1953"</f>
        <v>SMTWTFS 0935-1135 1753-1953</v>
      </c>
      <c r="BY645" t="str">
        <f>""</f>
        <v/>
      </c>
      <c r="BZ645" t="str">
        <f>""</f>
        <v/>
      </c>
      <c r="CA645" t="str">
        <f>""</f>
        <v/>
      </c>
      <c r="CB645" t="str">
        <f>""</f>
        <v/>
      </c>
      <c r="CC645" t="str">
        <f>""</f>
        <v/>
      </c>
      <c r="CD645" t="str">
        <f>""</f>
        <v/>
      </c>
      <c r="CE645" t="str">
        <f>""</f>
        <v/>
      </c>
      <c r="CF645" t="str">
        <f>""</f>
        <v/>
      </c>
      <c r="CG645" t="str">
        <f>""</f>
        <v/>
      </c>
      <c r="CH645" t="str">
        <f>""</f>
        <v/>
      </c>
    </row>
    <row r="646" spans="1:86" x14ac:dyDescent="0.25">
      <c r="A646" t="s">
        <v>4897</v>
      </c>
      <c r="B646" t="s">
        <v>4898</v>
      </c>
      <c r="C646" t="s">
        <v>1992</v>
      </c>
      <c r="D646" t="s">
        <v>2028</v>
      </c>
      <c r="E646" t="s">
        <v>4899</v>
      </c>
      <c r="H646" t="s">
        <v>1128</v>
      </c>
      <c r="I646" t="s">
        <v>2061</v>
      </c>
      <c r="J646" t="str">
        <f>"94566"</f>
        <v>94566</v>
      </c>
      <c r="K646" t="s">
        <v>1998</v>
      </c>
      <c r="L646" t="s">
        <v>2062</v>
      </c>
      <c r="M646" t="s">
        <v>2063</v>
      </c>
      <c r="N646" t="s">
        <v>1992</v>
      </c>
      <c r="O646" t="s">
        <v>1992</v>
      </c>
      <c r="P646" t="s">
        <v>1992</v>
      </c>
      <c r="Q646" t="s">
        <v>1992</v>
      </c>
      <c r="R646" t="s">
        <v>1992</v>
      </c>
      <c r="S646" t="s">
        <v>1992</v>
      </c>
      <c r="T646" t="s">
        <v>1992</v>
      </c>
      <c r="U646" t="s">
        <v>1992</v>
      </c>
      <c r="V646" t="s">
        <v>1991</v>
      </c>
      <c r="X646" t="s">
        <v>1991</v>
      </c>
      <c r="AF646" t="s">
        <v>2064</v>
      </c>
      <c r="AG646" t="s">
        <v>1991</v>
      </c>
      <c r="AH646">
        <v>15</v>
      </c>
      <c r="AI646">
        <v>15</v>
      </c>
      <c r="AJ646" t="s">
        <v>4900</v>
      </c>
      <c r="AK646">
        <v>333</v>
      </c>
      <c r="BF646" t="s">
        <v>1053</v>
      </c>
      <c r="BG646" t="s">
        <v>309</v>
      </c>
      <c r="BH646" t="s">
        <v>2301</v>
      </c>
      <c r="BI646" t="s">
        <v>1053</v>
      </c>
      <c r="BK646" t="s">
        <v>1053</v>
      </c>
      <c r="BO646" t="s">
        <v>1053</v>
      </c>
      <c r="BP646" t="s">
        <v>394</v>
      </c>
      <c r="BQ646" t="s">
        <v>311</v>
      </c>
      <c r="BR646" t="s">
        <v>1053</v>
      </c>
      <c r="BS646" t="s">
        <v>1053</v>
      </c>
      <c r="BT646" t="s">
        <v>1053</v>
      </c>
      <c r="BU646" t="s">
        <v>1053</v>
      </c>
      <c r="BX646" t="str">
        <f>""</f>
        <v/>
      </c>
      <c r="BY646" t="str">
        <f>""</f>
        <v/>
      </c>
      <c r="BZ646" t="str">
        <f>""</f>
        <v/>
      </c>
      <c r="CA646" t="str">
        <f>""</f>
        <v/>
      </c>
      <c r="CB646" t="str">
        <f>""</f>
        <v/>
      </c>
      <c r="CC646" t="str">
        <f>""</f>
        <v/>
      </c>
      <c r="CD646" t="str">
        <f>""</f>
        <v/>
      </c>
      <c r="CE646" t="str">
        <f>""</f>
        <v/>
      </c>
      <c r="CF646" t="str">
        <f>""</f>
        <v/>
      </c>
      <c r="CG646" t="str">
        <f>""</f>
        <v/>
      </c>
      <c r="CH646" t="str">
        <f>""</f>
        <v/>
      </c>
    </row>
    <row r="647" spans="1:86" x14ac:dyDescent="0.25">
      <c r="A647" t="s">
        <v>4901</v>
      </c>
      <c r="B647" t="s">
        <v>4902</v>
      </c>
      <c r="C647" t="s">
        <v>1992</v>
      </c>
      <c r="D647" t="s">
        <v>1993</v>
      </c>
      <c r="E647" t="s">
        <v>4903</v>
      </c>
      <c r="F647" t="s">
        <v>4904</v>
      </c>
      <c r="H647" t="s">
        <v>4905</v>
      </c>
      <c r="I647" t="s">
        <v>401</v>
      </c>
      <c r="J647" t="str">
        <f>"83851-9553"</f>
        <v>83851-9553</v>
      </c>
      <c r="K647" t="s">
        <v>1998</v>
      </c>
      <c r="L647" t="s">
        <v>231</v>
      </c>
      <c r="M647" t="s">
        <v>2000</v>
      </c>
      <c r="N647" t="s">
        <v>1992</v>
      </c>
      <c r="O647" t="s">
        <v>1992</v>
      </c>
      <c r="P647" t="s">
        <v>1992</v>
      </c>
      <c r="Q647" t="s">
        <v>1992</v>
      </c>
      <c r="R647" t="s">
        <v>1992</v>
      </c>
      <c r="S647" t="s">
        <v>1992</v>
      </c>
      <c r="T647" t="s">
        <v>1992</v>
      </c>
      <c r="U647" t="s">
        <v>1992</v>
      </c>
      <c r="V647" t="s">
        <v>1991</v>
      </c>
      <c r="Z647" t="s">
        <v>1991</v>
      </c>
      <c r="AF647" t="s">
        <v>2064</v>
      </c>
      <c r="AG647" t="s">
        <v>1991</v>
      </c>
      <c r="AH647">
        <v>15</v>
      </c>
      <c r="AI647">
        <v>15</v>
      </c>
      <c r="AJ647" t="s">
        <v>4906</v>
      </c>
      <c r="AK647">
        <v>2716</v>
      </c>
      <c r="BX647" t="str">
        <f>""</f>
        <v/>
      </c>
      <c r="BY647" t="str">
        <f>""</f>
        <v/>
      </c>
      <c r="BZ647" t="str">
        <f>""</f>
        <v/>
      </c>
      <c r="CA647" t="str">
        <f>""</f>
        <v/>
      </c>
      <c r="CB647" t="str">
        <f>""</f>
        <v/>
      </c>
      <c r="CC647" t="str">
        <f>""</f>
        <v/>
      </c>
      <c r="CD647" t="str">
        <f>""</f>
        <v/>
      </c>
      <c r="CE647" t="str">
        <f>""</f>
        <v/>
      </c>
      <c r="CF647" t="str">
        <f>""</f>
        <v/>
      </c>
      <c r="CG647" t="str">
        <f>""</f>
        <v/>
      </c>
      <c r="CH647" t="str">
        <f>""</f>
        <v/>
      </c>
    </row>
    <row r="648" spans="1:86" x14ac:dyDescent="0.25">
      <c r="A648" t="s">
        <v>4907</v>
      </c>
      <c r="B648" t="s">
        <v>4908</v>
      </c>
      <c r="C648" t="s">
        <v>1992</v>
      </c>
      <c r="D648" t="s">
        <v>1993</v>
      </c>
      <c r="E648" t="s">
        <v>4909</v>
      </c>
      <c r="F648" t="s">
        <v>4910</v>
      </c>
      <c r="H648" t="s">
        <v>4911</v>
      </c>
      <c r="I648" t="s">
        <v>2061</v>
      </c>
      <c r="J648" t="str">
        <f>"93550-4513"</f>
        <v>93550-4513</v>
      </c>
      <c r="K648" t="s">
        <v>1998</v>
      </c>
      <c r="L648" t="s">
        <v>2045</v>
      </c>
      <c r="M648" t="s">
        <v>2000</v>
      </c>
      <c r="N648" t="s">
        <v>1992</v>
      </c>
      <c r="O648" t="s">
        <v>1992</v>
      </c>
      <c r="P648" t="s">
        <v>1991</v>
      </c>
      <c r="Q648" t="s">
        <v>1992</v>
      </c>
      <c r="R648" t="s">
        <v>1992</v>
      </c>
      <c r="S648" t="s">
        <v>1992</v>
      </c>
      <c r="T648" t="s">
        <v>1992</v>
      </c>
      <c r="U648" t="s">
        <v>1992</v>
      </c>
      <c r="V648" t="s">
        <v>1991</v>
      </c>
      <c r="W648" t="s">
        <v>1992</v>
      </c>
      <c r="X648" t="s">
        <v>1991</v>
      </c>
      <c r="Y648" t="s">
        <v>1991</v>
      </c>
      <c r="Z648" t="s">
        <v>1992</v>
      </c>
      <c r="AA648" t="s">
        <v>1991</v>
      </c>
      <c r="AF648" t="s">
        <v>2064</v>
      </c>
      <c r="AG648" t="s">
        <v>1991</v>
      </c>
      <c r="AH648">
        <v>30</v>
      </c>
      <c r="AI648">
        <v>30</v>
      </c>
      <c r="AJ648" t="s">
        <v>4912</v>
      </c>
      <c r="AK648">
        <v>2633</v>
      </c>
      <c r="AN648" t="s">
        <v>308</v>
      </c>
      <c r="AO648" t="s">
        <v>2063</v>
      </c>
      <c r="BF648" t="s">
        <v>1053</v>
      </c>
      <c r="BG648" t="s">
        <v>309</v>
      </c>
      <c r="BH648" t="s">
        <v>2301</v>
      </c>
      <c r="BI648" t="s">
        <v>1053</v>
      </c>
      <c r="BK648" t="s">
        <v>1053</v>
      </c>
      <c r="BO648" t="s">
        <v>1053</v>
      </c>
      <c r="BP648" t="s">
        <v>310</v>
      </c>
      <c r="BQ648" t="s">
        <v>311</v>
      </c>
      <c r="BR648" t="s">
        <v>1053</v>
      </c>
      <c r="BS648" t="s">
        <v>1053</v>
      </c>
      <c r="BT648" t="s">
        <v>1053</v>
      </c>
      <c r="BU648" t="s">
        <v>1053</v>
      </c>
      <c r="BX648" t="str">
        <f>""</f>
        <v/>
      </c>
      <c r="BY648" t="str">
        <f>""</f>
        <v/>
      </c>
      <c r="BZ648" t="str">
        <f>""</f>
        <v/>
      </c>
      <c r="CA648" t="str">
        <f>""</f>
        <v/>
      </c>
      <c r="CB648" t="str">
        <f>""</f>
        <v/>
      </c>
      <c r="CC648" t="str">
        <f>""</f>
        <v/>
      </c>
      <c r="CD648" t="str">
        <f>""</f>
        <v/>
      </c>
      <c r="CE648" t="str">
        <f>""</f>
        <v/>
      </c>
      <c r="CF648" t="str">
        <f>""</f>
        <v/>
      </c>
      <c r="CG648" t="str">
        <f>""</f>
        <v/>
      </c>
      <c r="CH648" t="str">
        <f>""</f>
        <v/>
      </c>
    </row>
    <row r="649" spans="1:86" x14ac:dyDescent="0.25">
      <c r="A649" t="s">
        <v>4913</v>
      </c>
      <c r="B649" t="s">
        <v>4914</v>
      </c>
      <c r="C649" t="s">
        <v>1992</v>
      </c>
      <c r="D649" t="s">
        <v>1993</v>
      </c>
      <c r="E649" t="s">
        <v>4915</v>
      </c>
      <c r="F649" t="s">
        <v>4916</v>
      </c>
      <c r="H649" t="s">
        <v>4917</v>
      </c>
      <c r="I649" t="s">
        <v>1371</v>
      </c>
      <c r="J649" t="str">
        <f>"89019-7002"</f>
        <v>89019-7002</v>
      </c>
      <c r="K649" t="s">
        <v>1998</v>
      </c>
      <c r="L649" t="s">
        <v>2045</v>
      </c>
      <c r="M649" t="s">
        <v>2063</v>
      </c>
      <c r="N649" t="s">
        <v>1992</v>
      </c>
      <c r="O649" t="s">
        <v>1992</v>
      </c>
      <c r="P649" t="s">
        <v>1992</v>
      </c>
      <c r="Q649" t="s">
        <v>1992</v>
      </c>
      <c r="R649" t="s">
        <v>1992</v>
      </c>
      <c r="S649" t="s">
        <v>1992</v>
      </c>
      <c r="T649" t="s">
        <v>1992</v>
      </c>
      <c r="U649" t="s">
        <v>1992</v>
      </c>
      <c r="V649" t="s">
        <v>1991</v>
      </c>
      <c r="W649" t="s">
        <v>1992</v>
      </c>
      <c r="X649" t="s">
        <v>1992</v>
      </c>
      <c r="Y649" t="s">
        <v>1992</v>
      </c>
      <c r="Z649" t="s">
        <v>1991</v>
      </c>
      <c r="AF649" t="s">
        <v>2064</v>
      </c>
      <c r="AG649" t="s">
        <v>1991</v>
      </c>
      <c r="AH649">
        <v>30</v>
      </c>
      <c r="AI649">
        <v>30</v>
      </c>
      <c r="AJ649" t="s">
        <v>4918</v>
      </c>
      <c r="AK649">
        <v>2612</v>
      </c>
      <c r="AM649" t="s">
        <v>2298</v>
      </c>
      <c r="AN649" t="s">
        <v>308</v>
      </c>
      <c r="AO649" t="s">
        <v>2063</v>
      </c>
      <c r="BF649" t="s">
        <v>1053</v>
      </c>
      <c r="BG649" t="s">
        <v>309</v>
      </c>
      <c r="BH649" t="s">
        <v>2301</v>
      </c>
      <c r="BI649" t="s">
        <v>1053</v>
      </c>
      <c r="BK649" t="s">
        <v>1053</v>
      </c>
      <c r="BO649" t="s">
        <v>1053</v>
      </c>
      <c r="BP649" t="s">
        <v>310</v>
      </c>
      <c r="BQ649" t="s">
        <v>311</v>
      </c>
      <c r="BR649" t="s">
        <v>1053</v>
      </c>
      <c r="BS649" t="s">
        <v>1053</v>
      </c>
      <c r="BT649" t="s">
        <v>1053</v>
      </c>
      <c r="BU649" t="s">
        <v>1053</v>
      </c>
      <c r="BX649" t="str">
        <f>""</f>
        <v/>
      </c>
      <c r="BY649" t="str">
        <f>""</f>
        <v/>
      </c>
      <c r="BZ649" t="str">
        <f>""</f>
        <v/>
      </c>
      <c r="CA649" t="str">
        <f>""</f>
        <v/>
      </c>
      <c r="CB649" t="str">
        <f>""</f>
        <v/>
      </c>
      <c r="CC649" t="str">
        <f>""</f>
        <v/>
      </c>
      <c r="CD649" t="str">
        <f>""</f>
        <v/>
      </c>
      <c r="CE649" t="str">
        <f>""</f>
        <v/>
      </c>
      <c r="CF649" t="str">
        <f>""</f>
        <v/>
      </c>
      <c r="CG649" t="str">
        <f>""</f>
        <v/>
      </c>
      <c r="CH649" t="str">
        <f>""</f>
        <v/>
      </c>
    </row>
    <row r="650" spans="1:86" x14ac:dyDescent="0.25">
      <c r="A650" t="s">
        <v>4919</v>
      </c>
      <c r="B650" t="s">
        <v>4920</v>
      </c>
      <c r="C650" t="s">
        <v>1992</v>
      </c>
      <c r="D650" t="s">
        <v>1993</v>
      </c>
      <c r="E650" t="s">
        <v>4921</v>
      </c>
      <c r="F650" t="s">
        <v>4922</v>
      </c>
      <c r="H650" t="s">
        <v>4923</v>
      </c>
      <c r="I650" t="s">
        <v>660</v>
      </c>
      <c r="J650" t="str">
        <f>"03264-1548"</f>
        <v>03264-1548</v>
      </c>
      <c r="K650" t="s">
        <v>1998</v>
      </c>
      <c r="L650" t="s">
        <v>2033</v>
      </c>
      <c r="M650" t="s">
        <v>2063</v>
      </c>
      <c r="N650" t="s">
        <v>1992</v>
      </c>
      <c r="O650" t="s">
        <v>1992</v>
      </c>
      <c r="P650" t="s">
        <v>1992</v>
      </c>
      <c r="Q650" t="s">
        <v>1992</v>
      </c>
      <c r="R650" t="s">
        <v>1992</v>
      </c>
      <c r="S650" t="s">
        <v>1992</v>
      </c>
      <c r="T650" t="s">
        <v>1992</v>
      </c>
      <c r="U650" t="s">
        <v>1992</v>
      </c>
      <c r="V650" t="s">
        <v>1991</v>
      </c>
      <c r="W650" t="s">
        <v>1992</v>
      </c>
      <c r="X650" t="s">
        <v>1992</v>
      </c>
      <c r="Y650" t="s">
        <v>1992</v>
      </c>
      <c r="Z650" t="s">
        <v>1991</v>
      </c>
      <c r="AF650" t="s">
        <v>2016</v>
      </c>
      <c r="AG650" t="s">
        <v>1991</v>
      </c>
      <c r="AH650">
        <v>30</v>
      </c>
      <c r="AI650">
        <v>30</v>
      </c>
      <c r="AJ650" t="s">
        <v>4924</v>
      </c>
      <c r="AK650">
        <v>507</v>
      </c>
      <c r="AM650" t="s">
        <v>2298</v>
      </c>
      <c r="BX650" t="str">
        <f>"S-----S 0700-2000; -MTWTF- 0700-2100"</f>
        <v>S-----S 0700-2000; -MTWTF- 0700-2100</v>
      </c>
      <c r="BY650" t="str">
        <f>""</f>
        <v/>
      </c>
      <c r="BZ650" t="str">
        <f>""</f>
        <v/>
      </c>
      <c r="CA650" t="str">
        <f>""</f>
        <v/>
      </c>
      <c r="CB650" t="str">
        <f>""</f>
        <v/>
      </c>
      <c r="CC650" t="str">
        <f>""</f>
        <v/>
      </c>
      <c r="CD650" t="str">
        <f>""</f>
        <v/>
      </c>
      <c r="CE650" t="str">
        <f>""</f>
        <v/>
      </c>
      <c r="CF650" t="str">
        <f>""</f>
        <v/>
      </c>
      <c r="CG650" t="str">
        <f>""</f>
        <v/>
      </c>
      <c r="CH650" t="str">
        <f>""</f>
        <v/>
      </c>
    </row>
    <row r="651" spans="1:86" x14ac:dyDescent="0.25">
      <c r="A651" t="s">
        <v>4925</v>
      </c>
      <c r="B651" t="s">
        <v>4926</v>
      </c>
      <c r="C651" t="s">
        <v>1992</v>
      </c>
      <c r="D651" t="s">
        <v>2010</v>
      </c>
      <c r="E651" t="s">
        <v>4927</v>
      </c>
      <c r="F651" t="s">
        <v>4928</v>
      </c>
      <c r="H651" t="s">
        <v>4929</v>
      </c>
      <c r="I651" t="s">
        <v>2352</v>
      </c>
      <c r="J651" t="str">
        <f>"48342-2276"</f>
        <v>48342-2276</v>
      </c>
      <c r="K651" t="s">
        <v>1998</v>
      </c>
      <c r="L651" t="s">
        <v>1999</v>
      </c>
      <c r="M651" t="s">
        <v>2000</v>
      </c>
      <c r="N651" t="s">
        <v>1992</v>
      </c>
      <c r="O651" t="s">
        <v>1992</v>
      </c>
      <c r="P651" t="s">
        <v>1992</v>
      </c>
      <c r="Q651" t="s">
        <v>1992</v>
      </c>
      <c r="R651" t="s">
        <v>1992</v>
      </c>
      <c r="S651" t="s">
        <v>1992</v>
      </c>
      <c r="T651" t="s">
        <v>1992</v>
      </c>
      <c r="U651" t="s">
        <v>1992</v>
      </c>
      <c r="V651" t="s">
        <v>1991</v>
      </c>
      <c r="W651" t="s">
        <v>1991</v>
      </c>
      <c r="X651" t="s">
        <v>1992</v>
      </c>
      <c r="Y651" t="s">
        <v>1992</v>
      </c>
      <c r="Z651" t="s">
        <v>1992</v>
      </c>
      <c r="AA651" t="s">
        <v>1992</v>
      </c>
      <c r="AF651" t="s">
        <v>2016</v>
      </c>
      <c r="AG651" t="s">
        <v>1991</v>
      </c>
      <c r="AH651">
        <v>30</v>
      </c>
      <c r="AI651">
        <v>30</v>
      </c>
      <c r="AJ651" t="s">
        <v>4930</v>
      </c>
      <c r="AK651">
        <v>933</v>
      </c>
      <c r="AL651">
        <v>67124</v>
      </c>
      <c r="AM651" t="s">
        <v>4931</v>
      </c>
      <c r="AN651" t="s">
        <v>2066</v>
      </c>
      <c r="AO651" t="s">
        <v>2063</v>
      </c>
      <c r="BF651" t="s">
        <v>1053</v>
      </c>
      <c r="BG651" t="s">
        <v>300</v>
      </c>
      <c r="BH651" t="s">
        <v>2312</v>
      </c>
      <c r="BI651" t="s">
        <v>1053</v>
      </c>
      <c r="BJ651" t="s">
        <v>2069</v>
      </c>
      <c r="BK651" t="s">
        <v>1053</v>
      </c>
      <c r="BL651" t="s">
        <v>2069</v>
      </c>
      <c r="BM651" t="s">
        <v>2313</v>
      </c>
      <c r="BN651" t="s">
        <v>2314</v>
      </c>
      <c r="BO651" t="s">
        <v>1053</v>
      </c>
      <c r="BP651" t="s">
        <v>301</v>
      </c>
      <c r="BQ651" t="s">
        <v>2316</v>
      </c>
      <c r="BR651" t="s">
        <v>1053</v>
      </c>
      <c r="BT651" t="s">
        <v>1053</v>
      </c>
      <c r="BX651" t="str">
        <f>"SMTWTFS 0515-0615 1000-1800"</f>
        <v>SMTWTFS 0515-0615 1000-1800</v>
      </c>
      <c r="BY651" t="str">
        <f>""</f>
        <v/>
      </c>
      <c r="BZ651" t="str">
        <f>""</f>
        <v/>
      </c>
      <c r="CA651" t="str">
        <f>""</f>
        <v/>
      </c>
      <c r="CB651" t="str">
        <f>""</f>
        <v/>
      </c>
      <c r="CC651" t="str">
        <f>""</f>
        <v/>
      </c>
      <c r="CD651" t="str">
        <f>""</f>
        <v/>
      </c>
      <c r="CE651" t="str">
        <f>""</f>
        <v/>
      </c>
      <c r="CF651" t="str">
        <f>""</f>
        <v/>
      </c>
      <c r="CG651" t="str">
        <f>""</f>
        <v/>
      </c>
      <c r="CH651" t="str">
        <f>""</f>
        <v/>
      </c>
    </row>
    <row r="652" spans="1:86" x14ac:dyDescent="0.25">
      <c r="A652" t="s">
        <v>4932</v>
      </c>
      <c r="B652" t="s">
        <v>4933</v>
      </c>
      <c r="C652" t="s">
        <v>1992</v>
      </c>
      <c r="D652" t="s">
        <v>2028</v>
      </c>
      <c r="E652" t="s">
        <v>4934</v>
      </c>
      <c r="H652" t="s">
        <v>4935</v>
      </c>
      <c r="I652" t="s">
        <v>1997</v>
      </c>
      <c r="J652" t="str">
        <f>"53901"</f>
        <v>53901</v>
      </c>
      <c r="K652" t="s">
        <v>1998</v>
      </c>
      <c r="L652" t="s">
        <v>1999</v>
      </c>
      <c r="M652" t="s">
        <v>2063</v>
      </c>
      <c r="N652" t="s">
        <v>1992</v>
      </c>
      <c r="O652" t="s">
        <v>1992</v>
      </c>
      <c r="P652" t="s">
        <v>1992</v>
      </c>
      <c r="Q652" t="s">
        <v>1992</v>
      </c>
      <c r="R652" t="s">
        <v>1992</v>
      </c>
      <c r="S652" t="s">
        <v>1992</v>
      </c>
      <c r="T652" t="s">
        <v>1992</v>
      </c>
      <c r="U652" t="s">
        <v>1992</v>
      </c>
      <c r="V652" t="s">
        <v>1991</v>
      </c>
      <c r="W652" t="s">
        <v>1991</v>
      </c>
      <c r="X652" t="s">
        <v>1992</v>
      </c>
      <c r="Y652" t="s">
        <v>1992</v>
      </c>
      <c r="Z652" t="s">
        <v>1992</v>
      </c>
      <c r="AF652" t="s">
        <v>2001</v>
      </c>
      <c r="AG652" t="s">
        <v>1991</v>
      </c>
      <c r="AH652">
        <v>30</v>
      </c>
      <c r="AI652">
        <v>30</v>
      </c>
      <c r="AJ652" t="s">
        <v>4936</v>
      </c>
      <c r="AK652">
        <v>811</v>
      </c>
      <c r="AL652">
        <v>9919</v>
      </c>
      <c r="AM652" t="s">
        <v>4937</v>
      </c>
      <c r="AN652" t="s">
        <v>2066</v>
      </c>
      <c r="AO652" t="s">
        <v>2063</v>
      </c>
      <c r="BF652" t="s">
        <v>1053</v>
      </c>
      <c r="BG652" t="s">
        <v>703</v>
      </c>
      <c r="BH652" t="s">
        <v>1032</v>
      </c>
      <c r="BI652" t="s">
        <v>1053</v>
      </c>
      <c r="BJ652" t="s">
        <v>2069</v>
      </c>
      <c r="BK652" t="s">
        <v>1053</v>
      </c>
      <c r="BL652" t="s">
        <v>2069</v>
      </c>
      <c r="BM652" t="s">
        <v>3434</v>
      </c>
      <c r="BN652" t="s">
        <v>3435</v>
      </c>
      <c r="BO652" t="s">
        <v>1053</v>
      </c>
      <c r="BP652" t="s">
        <v>4938</v>
      </c>
      <c r="BQ652" t="s">
        <v>290</v>
      </c>
      <c r="BR652" t="s">
        <v>1053</v>
      </c>
      <c r="BS652" t="s">
        <v>1053</v>
      </c>
      <c r="BT652" t="s">
        <v>1053</v>
      </c>
      <c r="BU652" t="s">
        <v>1053</v>
      </c>
      <c r="BV652" t="s">
        <v>951</v>
      </c>
      <c r="BW652" t="s">
        <v>952</v>
      </c>
      <c r="BX652" t="str">
        <f>"SMTWTFS 1130-1245 1630-1745"</f>
        <v>SMTWTFS 1130-1245 1630-1745</v>
      </c>
      <c r="BY652" t="str">
        <f>""</f>
        <v/>
      </c>
      <c r="BZ652" t="str">
        <f>""</f>
        <v/>
      </c>
      <c r="CA652" t="str">
        <f>""</f>
        <v/>
      </c>
      <c r="CB652" t="str">
        <f>""</f>
        <v/>
      </c>
      <c r="CC652" t="str">
        <f>""</f>
        <v/>
      </c>
      <c r="CD652" t="str">
        <f>""</f>
        <v/>
      </c>
      <c r="CE652" t="str">
        <f>""</f>
        <v/>
      </c>
      <c r="CF652" t="str">
        <f>""</f>
        <v/>
      </c>
      <c r="CG652" t="str">
        <f>""</f>
        <v/>
      </c>
      <c r="CH652" t="str">
        <f>""</f>
        <v/>
      </c>
    </row>
    <row r="653" spans="1:86" x14ac:dyDescent="0.25">
      <c r="A653" t="s">
        <v>4939</v>
      </c>
      <c r="B653" t="s">
        <v>4940</v>
      </c>
      <c r="C653" t="s">
        <v>1992</v>
      </c>
      <c r="D653" t="s">
        <v>2010</v>
      </c>
      <c r="E653" t="s">
        <v>4941</v>
      </c>
      <c r="F653" t="s">
        <v>4942</v>
      </c>
      <c r="H653" t="s">
        <v>4943</v>
      </c>
      <c r="I653" t="s">
        <v>2321</v>
      </c>
      <c r="J653" t="str">
        <f>"12974-1324"</f>
        <v>12974-1324</v>
      </c>
      <c r="K653" t="s">
        <v>1998</v>
      </c>
      <c r="L653" t="s">
        <v>2033</v>
      </c>
      <c r="M653" t="s">
        <v>2063</v>
      </c>
      <c r="N653" t="s">
        <v>1992</v>
      </c>
      <c r="O653" t="s">
        <v>1992</v>
      </c>
      <c r="P653" t="s">
        <v>1992</v>
      </c>
      <c r="Q653" t="s">
        <v>1992</v>
      </c>
      <c r="R653" t="s">
        <v>1992</v>
      </c>
      <c r="S653" t="s">
        <v>1992</v>
      </c>
      <c r="T653" t="s">
        <v>1992</v>
      </c>
      <c r="U653" t="s">
        <v>1992</v>
      </c>
      <c r="V653" t="s">
        <v>1991</v>
      </c>
      <c r="W653" t="s">
        <v>1991</v>
      </c>
      <c r="X653" t="s">
        <v>1992</v>
      </c>
      <c r="Y653" t="s">
        <v>1992</v>
      </c>
      <c r="Z653" t="s">
        <v>1992</v>
      </c>
      <c r="AF653" t="s">
        <v>2016</v>
      </c>
      <c r="AG653" t="s">
        <v>1991</v>
      </c>
      <c r="AH653">
        <v>30</v>
      </c>
      <c r="AI653">
        <v>30</v>
      </c>
      <c r="AJ653" t="s">
        <v>4944</v>
      </c>
      <c r="AK653">
        <v>109</v>
      </c>
      <c r="AL653">
        <v>2500</v>
      </c>
      <c r="AN653" t="s">
        <v>5938</v>
      </c>
      <c r="AO653" t="s">
        <v>1053</v>
      </c>
      <c r="AU653" t="s">
        <v>1053</v>
      </c>
      <c r="AV653" t="s">
        <v>1053</v>
      </c>
      <c r="AW653" t="s">
        <v>1053</v>
      </c>
      <c r="AX653" t="s">
        <v>1053</v>
      </c>
      <c r="BF653" t="s">
        <v>1053</v>
      </c>
      <c r="BG653" t="s">
        <v>2019</v>
      </c>
      <c r="BH653" t="s">
        <v>1581</v>
      </c>
      <c r="BI653" t="s">
        <v>1053</v>
      </c>
      <c r="BJ653" t="s">
        <v>1053</v>
      </c>
      <c r="BK653" t="s">
        <v>1053</v>
      </c>
      <c r="BL653" t="s">
        <v>1053</v>
      </c>
      <c r="BM653" t="s">
        <v>2324</v>
      </c>
      <c r="BN653" t="s">
        <v>2325</v>
      </c>
      <c r="BO653" t="s">
        <v>1053</v>
      </c>
      <c r="BP653" t="s">
        <v>2327</v>
      </c>
      <c r="BQ653" t="s">
        <v>1582</v>
      </c>
      <c r="BR653" t="s">
        <v>1053</v>
      </c>
      <c r="BS653" t="s">
        <v>1053</v>
      </c>
      <c r="BV653" t="s">
        <v>1444</v>
      </c>
      <c r="BX653" t="str">
        <f>""</f>
        <v/>
      </c>
      <c r="BY653" t="str">
        <f>""</f>
        <v/>
      </c>
      <c r="BZ653" t="str">
        <f>""</f>
        <v/>
      </c>
      <c r="CA653" t="str">
        <f>""</f>
        <v/>
      </c>
      <c r="CB653" t="str">
        <f>""</f>
        <v/>
      </c>
      <c r="CC653" t="str">
        <f>""</f>
        <v/>
      </c>
      <c r="CD653" t="str">
        <f>""</f>
        <v/>
      </c>
      <c r="CE653" t="str">
        <f>""</f>
        <v/>
      </c>
      <c r="CF653" t="str">
        <f>""</f>
        <v/>
      </c>
      <c r="CG653" t="str">
        <f>""</f>
        <v/>
      </c>
      <c r="CH653" t="str">
        <f>""</f>
        <v/>
      </c>
    </row>
    <row r="654" spans="1:86" x14ac:dyDescent="0.25">
      <c r="A654" t="s">
        <v>5939</v>
      </c>
      <c r="B654" t="s">
        <v>5940</v>
      </c>
      <c r="C654" t="s">
        <v>1992</v>
      </c>
      <c r="D654" t="s">
        <v>2010</v>
      </c>
      <c r="E654" t="s">
        <v>5941</v>
      </c>
      <c r="H654" t="s">
        <v>4929</v>
      </c>
      <c r="I654" t="s">
        <v>2367</v>
      </c>
      <c r="J654" t="str">
        <f>"61764"</f>
        <v>61764</v>
      </c>
      <c r="K654" t="s">
        <v>1998</v>
      </c>
      <c r="L654" t="s">
        <v>1999</v>
      </c>
      <c r="M654" t="s">
        <v>2063</v>
      </c>
      <c r="N654" t="s">
        <v>1992</v>
      </c>
      <c r="O654" t="s">
        <v>1992</v>
      </c>
      <c r="P654" t="s">
        <v>1992</v>
      </c>
      <c r="Q654" t="s">
        <v>1992</v>
      </c>
      <c r="R654" t="s">
        <v>1992</v>
      </c>
      <c r="S654" t="s">
        <v>1992</v>
      </c>
      <c r="T654" t="s">
        <v>1992</v>
      </c>
      <c r="U654" t="s">
        <v>1992</v>
      </c>
      <c r="V654" t="s">
        <v>1991</v>
      </c>
      <c r="W654" t="s">
        <v>1991</v>
      </c>
      <c r="X654" t="s">
        <v>1992</v>
      </c>
      <c r="Y654" t="s">
        <v>1992</v>
      </c>
      <c r="Z654" t="s">
        <v>1992</v>
      </c>
      <c r="AF654" t="s">
        <v>2001</v>
      </c>
      <c r="AG654" t="s">
        <v>1991</v>
      </c>
      <c r="AH654">
        <v>30</v>
      </c>
      <c r="AI654">
        <v>30</v>
      </c>
      <c r="AJ654" t="s">
        <v>5942</v>
      </c>
      <c r="AK654">
        <v>639</v>
      </c>
      <c r="AL654">
        <v>11353</v>
      </c>
      <c r="AM654" t="s">
        <v>5943</v>
      </c>
      <c r="AN654" t="s">
        <v>2066</v>
      </c>
      <c r="AO654" t="s">
        <v>2063</v>
      </c>
      <c r="BF654" t="s">
        <v>1053</v>
      </c>
      <c r="BG654" t="s">
        <v>2371</v>
      </c>
      <c r="BH654" t="s">
        <v>3076</v>
      </c>
      <c r="BI654" t="s">
        <v>1053</v>
      </c>
      <c r="BJ654" t="s">
        <v>1053</v>
      </c>
      <c r="BK654" t="s">
        <v>1053</v>
      </c>
      <c r="BL654" t="s">
        <v>1053</v>
      </c>
      <c r="BM654" t="s">
        <v>2373</v>
      </c>
      <c r="BN654" t="s">
        <v>2374</v>
      </c>
      <c r="BO654" t="s">
        <v>1053</v>
      </c>
      <c r="BP654" t="s">
        <v>653</v>
      </c>
      <c r="BQ654" t="s">
        <v>2376</v>
      </c>
      <c r="BR654" t="s">
        <v>1053</v>
      </c>
      <c r="BX654" t="str">
        <f>"SMTWTFS 0700-2200"</f>
        <v>SMTWTFS 0700-2200</v>
      </c>
      <c r="BY654" t="str">
        <f>""</f>
        <v/>
      </c>
      <c r="BZ654" t="str">
        <f>""</f>
        <v/>
      </c>
      <c r="CA654" t="str">
        <f>""</f>
        <v/>
      </c>
      <c r="CB654" t="str">
        <f>""</f>
        <v/>
      </c>
      <c r="CC654" t="str">
        <f>""</f>
        <v/>
      </c>
      <c r="CD654" t="str">
        <f>""</f>
        <v/>
      </c>
      <c r="CE654" t="str">
        <f>""</f>
        <v/>
      </c>
      <c r="CF654" t="str">
        <f>""</f>
        <v/>
      </c>
      <c r="CG654" t="str">
        <f>""</f>
        <v/>
      </c>
      <c r="CH654" t="str">
        <f>""</f>
        <v/>
      </c>
    </row>
    <row r="655" spans="1:86" x14ac:dyDescent="0.25">
      <c r="A655" t="s">
        <v>2202</v>
      </c>
      <c r="B655" t="s">
        <v>477</v>
      </c>
      <c r="C655" t="s">
        <v>1991</v>
      </c>
      <c r="D655" t="s">
        <v>2010</v>
      </c>
      <c r="E655" t="s">
        <v>5944</v>
      </c>
      <c r="F655" t="s">
        <v>5945</v>
      </c>
      <c r="H655" t="s">
        <v>4784</v>
      </c>
      <c r="I655" t="s">
        <v>2287</v>
      </c>
      <c r="J655" t="str">
        <f>"04102-2630"</f>
        <v>04102-2630</v>
      </c>
      <c r="K655" t="s">
        <v>1998</v>
      </c>
      <c r="L655" t="s">
        <v>2033</v>
      </c>
      <c r="M655" t="s">
        <v>2138</v>
      </c>
      <c r="N655" t="s">
        <v>1991</v>
      </c>
      <c r="O655" t="s">
        <v>1991</v>
      </c>
      <c r="P655" t="s">
        <v>1992</v>
      </c>
      <c r="Q655" t="s">
        <v>1992</v>
      </c>
      <c r="R655" t="s">
        <v>1992</v>
      </c>
      <c r="S655" t="s">
        <v>1992</v>
      </c>
      <c r="T655" t="s">
        <v>1992</v>
      </c>
      <c r="U655" t="s">
        <v>1992</v>
      </c>
      <c r="V655" t="s">
        <v>1991</v>
      </c>
      <c r="W655" t="s">
        <v>1991</v>
      </c>
      <c r="X655" t="s">
        <v>1992</v>
      </c>
      <c r="Y655" t="s">
        <v>1992</v>
      </c>
      <c r="Z655" t="s">
        <v>1992</v>
      </c>
      <c r="AA655" t="s">
        <v>1992</v>
      </c>
      <c r="AE655" t="s">
        <v>5946</v>
      </c>
      <c r="AF655" t="s">
        <v>2016</v>
      </c>
      <c r="AG655" t="s">
        <v>1991</v>
      </c>
      <c r="AH655">
        <v>45</v>
      </c>
      <c r="AI655">
        <v>30</v>
      </c>
      <c r="AJ655" t="s">
        <v>5947</v>
      </c>
      <c r="AK655">
        <v>20</v>
      </c>
      <c r="AL655">
        <v>16557</v>
      </c>
      <c r="AM655" t="s">
        <v>2298</v>
      </c>
      <c r="AN655" t="s">
        <v>1053</v>
      </c>
      <c r="AO655" t="s">
        <v>1053</v>
      </c>
      <c r="AP655" t="s">
        <v>2069</v>
      </c>
      <c r="AQ655" t="s">
        <v>1053</v>
      </c>
      <c r="AR655" t="s">
        <v>2069</v>
      </c>
      <c r="AS655" t="s">
        <v>2202</v>
      </c>
      <c r="AT655" t="s">
        <v>2139</v>
      </c>
      <c r="AU655" t="s">
        <v>1053</v>
      </c>
      <c r="AV655" t="s">
        <v>1053</v>
      </c>
      <c r="AW655" t="s">
        <v>2069</v>
      </c>
      <c r="AX655" t="s">
        <v>1053</v>
      </c>
      <c r="AY655" t="s">
        <v>2069</v>
      </c>
      <c r="AZ655" t="s">
        <v>2202</v>
      </c>
      <c r="BA655" t="s">
        <v>2139</v>
      </c>
      <c r="BB655" t="s">
        <v>1053</v>
      </c>
      <c r="BC655" t="s">
        <v>2069</v>
      </c>
      <c r="BD655" t="s">
        <v>1053</v>
      </c>
      <c r="BE655" t="s">
        <v>2069</v>
      </c>
      <c r="BF655" t="s">
        <v>1053</v>
      </c>
      <c r="BG655" t="s">
        <v>5948</v>
      </c>
      <c r="BH655" t="s">
        <v>5949</v>
      </c>
      <c r="BI655" t="s">
        <v>1053</v>
      </c>
      <c r="BJ655" t="s">
        <v>2069</v>
      </c>
      <c r="BK655" t="s">
        <v>1053</v>
      </c>
      <c r="BL655" t="s">
        <v>2069</v>
      </c>
      <c r="BM655" t="s">
        <v>2202</v>
      </c>
      <c r="BN655" t="s">
        <v>2139</v>
      </c>
      <c r="BO655" t="s">
        <v>1053</v>
      </c>
      <c r="BP655" t="s">
        <v>986</v>
      </c>
      <c r="BQ655" t="s">
        <v>2140</v>
      </c>
      <c r="BR655" t="s">
        <v>1053</v>
      </c>
      <c r="BS655" t="s">
        <v>1053</v>
      </c>
      <c r="BT655" t="s">
        <v>1053</v>
      </c>
      <c r="BU655" t="s">
        <v>1053</v>
      </c>
      <c r="BV655" t="s">
        <v>520</v>
      </c>
      <c r="BW655" t="s">
        <v>523</v>
      </c>
      <c r="BX655" t="str">
        <f>"SMTWTFS 0000-0015 0430-2359"</f>
        <v>SMTWTFS 0000-0015 0430-2359</v>
      </c>
      <c r="BY655" t="str">
        <f>""</f>
        <v/>
      </c>
      <c r="BZ655" t="str">
        <f>"S-----S 0530-1630; -M---F- 0515-1700; --TWT-- 0515-1530"</f>
        <v>S-----S 0530-1630; -M---F- 0515-1700; --TWT-- 0515-1530</v>
      </c>
      <c r="CA655" t="str">
        <f>"S-----S 0530-1630; -M---F- 0515-1700; --TWT-- 0515-1530"</f>
        <v>S-----S 0530-1630; -M---F- 0515-1700; --TWT-- 0515-1530</v>
      </c>
      <c r="CB655" t="str">
        <f>"SMTWTFS 0430-2130"</f>
        <v>SMTWTFS 0430-2130</v>
      </c>
      <c r="CC655" t="str">
        <f>"SMTWTFS 0000-0015 0430-2359"</f>
        <v>SMTWTFS 0000-0015 0430-2359</v>
      </c>
      <c r="CD655" t="str">
        <f>""</f>
        <v/>
      </c>
      <c r="CE655" t="str">
        <f>""</f>
        <v/>
      </c>
      <c r="CF655" t="str">
        <f>""</f>
        <v/>
      </c>
      <c r="CG655" t="str">
        <f>""</f>
        <v/>
      </c>
      <c r="CH655" t="str">
        <f>""</f>
        <v/>
      </c>
    </row>
    <row r="656" spans="1:86" x14ac:dyDescent="0.25">
      <c r="A656" t="s">
        <v>5950</v>
      </c>
      <c r="B656" t="s">
        <v>5951</v>
      </c>
      <c r="C656" t="s">
        <v>1992</v>
      </c>
      <c r="D656" t="s">
        <v>2331</v>
      </c>
      <c r="E656" t="s">
        <v>5952</v>
      </c>
      <c r="H656" t="s">
        <v>5953</v>
      </c>
      <c r="I656" t="s">
        <v>2061</v>
      </c>
      <c r="J656" t="str">
        <f>"91768"</f>
        <v>91768</v>
      </c>
      <c r="K656" t="s">
        <v>1998</v>
      </c>
      <c r="L656" t="s">
        <v>2045</v>
      </c>
      <c r="M656" t="s">
        <v>2063</v>
      </c>
      <c r="N656" t="s">
        <v>1992</v>
      </c>
      <c r="O656" t="s">
        <v>1992</v>
      </c>
      <c r="P656" t="s">
        <v>1991</v>
      </c>
      <c r="Q656" t="s">
        <v>1992</v>
      </c>
      <c r="R656" t="s">
        <v>1992</v>
      </c>
      <c r="S656" t="s">
        <v>1992</v>
      </c>
      <c r="T656" t="s">
        <v>1992</v>
      </c>
      <c r="U656" t="s">
        <v>1992</v>
      </c>
      <c r="V656" t="s">
        <v>1991</v>
      </c>
      <c r="W656" t="s">
        <v>1991</v>
      </c>
      <c r="X656" t="s">
        <v>1992</v>
      </c>
      <c r="Y656" t="s">
        <v>1992</v>
      </c>
      <c r="Z656" t="s">
        <v>1992</v>
      </c>
      <c r="AA656" t="s">
        <v>1992</v>
      </c>
      <c r="AF656" t="s">
        <v>2064</v>
      </c>
      <c r="AG656" t="s">
        <v>1991</v>
      </c>
      <c r="AH656">
        <v>30</v>
      </c>
      <c r="AI656">
        <v>30</v>
      </c>
      <c r="AJ656" t="s">
        <v>5954</v>
      </c>
      <c r="AK656">
        <v>866</v>
      </c>
      <c r="AL656">
        <v>154271</v>
      </c>
      <c r="AM656" t="s">
        <v>5955</v>
      </c>
      <c r="AN656" t="s">
        <v>2066</v>
      </c>
      <c r="BF656" t="s">
        <v>1053</v>
      </c>
      <c r="BG656" t="s">
        <v>2019</v>
      </c>
      <c r="BH656" t="s">
        <v>275</v>
      </c>
      <c r="BI656" t="s">
        <v>1053</v>
      </c>
      <c r="BK656" t="s">
        <v>1053</v>
      </c>
      <c r="BM656" t="s">
        <v>852</v>
      </c>
      <c r="BN656" t="s">
        <v>277</v>
      </c>
      <c r="BO656" t="s">
        <v>1053</v>
      </c>
      <c r="BP656" t="s">
        <v>2067</v>
      </c>
      <c r="BQ656" t="s">
        <v>275</v>
      </c>
      <c r="BR656" t="s">
        <v>1053</v>
      </c>
      <c r="BX656" t="str">
        <f>""</f>
        <v/>
      </c>
      <c r="BY656" t="str">
        <f>""</f>
        <v/>
      </c>
      <c r="BZ656" t="str">
        <f>""</f>
        <v/>
      </c>
      <c r="CA656" t="str">
        <f>""</f>
        <v/>
      </c>
      <c r="CB656" t="str">
        <f>""</f>
        <v/>
      </c>
      <c r="CC656" t="str">
        <f>""</f>
        <v/>
      </c>
      <c r="CD656" t="str">
        <f>"SMTWTFS 0000-2359"</f>
        <v>SMTWTFS 0000-2359</v>
      </c>
      <c r="CE656" t="str">
        <f>""</f>
        <v/>
      </c>
      <c r="CF656" t="str">
        <f>""</f>
        <v/>
      </c>
      <c r="CG656" t="str">
        <f>""</f>
        <v/>
      </c>
      <c r="CH656" t="str">
        <f>""</f>
        <v/>
      </c>
    </row>
    <row r="657" spans="1:86" x14ac:dyDescent="0.25">
      <c r="A657" t="s">
        <v>5956</v>
      </c>
      <c r="B657" t="s">
        <v>5957</v>
      </c>
      <c r="C657" t="s">
        <v>1992</v>
      </c>
      <c r="D657" t="s">
        <v>2010</v>
      </c>
      <c r="E657" t="s">
        <v>5958</v>
      </c>
      <c r="F657" t="s">
        <v>5959</v>
      </c>
      <c r="H657" t="s">
        <v>5960</v>
      </c>
      <c r="I657" t="s">
        <v>2321</v>
      </c>
      <c r="J657" t="str">
        <f>"12601-2909"</f>
        <v>12601-2909</v>
      </c>
      <c r="K657" t="s">
        <v>1998</v>
      </c>
      <c r="L657" t="s">
        <v>2033</v>
      </c>
      <c r="M657" t="s">
        <v>5961</v>
      </c>
      <c r="N657" t="s">
        <v>1992</v>
      </c>
      <c r="O657" t="s">
        <v>1991</v>
      </c>
      <c r="P657" t="s">
        <v>1992</v>
      </c>
      <c r="Q657" t="s">
        <v>1992</v>
      </c>
      <c r="R657" t="s">
        <v>1992</v>
      </c>
      <c r="S657" t="s">
        <v>1992</v>
      </c>
      <c r="T657" t="s">
        <v>1992</v>
      </c>
      <c r="U657" t="s">
        <v>1992</v>
      </c>
      <c r="V657" t="s">
        <v>1991</v>
      </c>
      <c r="W657" t="s">
        <v>1991</v>
      </c>
      <c r="X657" t="s">
        <v>1991</v>
      </c>
      <c r="Y657" t="s">
        <v>1992</v>
      </c>
      <c r="Z657" t="s">
        <v>1992</v>
      </c>
      <c r="AE657" t="s">
        <v>3831</v>
      </c>
      <c r="AF657" t="s">
        <v>2016</v>
      </c>
      <c r="AG657" t="s">
        <v>1991</v>
      </c>
      <c r="AH657">
        <v>30</v>
      </c>
      <c r="AI657">
        <v>30</v>
      </c>
      <c r="AJ657" t="s">
        <v>5962</v>
      </c>
      <c r="AK657">
        <v>55</v>
      </c>
      <c r="AL657">
        <v>89000</v>
      </c>
      <c r="AN657" t="s">
        <v>5963</v>
      </c>
      <c r="AO657" t="s">
        <v>1053</v>
      </c>
      <c r="AU657" t="s">
        <v>3537</v>
      </c>
      <c r="BF657" t="s">
        <v>1053</v>
      </c>
      <c r="BG657" t="s">
        <v>3834</v>
      </c>
      <c r="BH657" t="s">
        <v>3835</v>
      </c>
      <c r="BI657" t="s">
        <v>1053</v>
      </c>
      <c r="BJ657" t="s">
        <v>1053</v>
      </c>
      <c r="BK657" t="s">
        <v>1053</v>
      </c>
      <c r="BL657" t="s">
        <v>1053</v>
      </c>
      <c r="BM657" t="s">
        <v>5964</v>
      </c>
      <c r="BN657" t="s">
        <v>3837</v>
      </c>
      <c r="BO657" t="s">
        <v>1053</v>
      </c>
      <c r="BP657" t="s">
        <v>3838</v>
      </c>
      <c r="BQ657" t="s">
        <v>3839</v>
      </c>
      <c r="BR657" t="s">
        <v>1053</v>
      </c>
      <c r="BS657" t="s">
        <v>1053</v>
      </c>
      <c r="BV657" t="s">
        <v>3836</v>
      </c>
      <c r="BW657" t="s">
        <v>3840</v>
      </c>
      <c r="BX657" t="str">
        <f>"SMTWTFS 0500-2100"</f>
        <v>SMTWTFS 0500-2100</v>
      </c>
      <c r="BY657" t="str">
        <f>""</f>
        <v/>
      </c>
      <c r="BZ657" t="str">
        <f>""</f>
        <v/>
      </c>
      <c r="CA657" t="str">
        <f>""</f>
        <v/>
      </c>
      <c r="CB657" t="str">
        <f>"SMTWTFS 0500-2100"</f>
        <v>SMTWTFS 0500-2100</v>
      </c>
      <c r="CC657" t="str">
        <f>"SMTWTFS 0500-2100"</f>
        <v>SMTWTFS 0500-2100</v>
      </c>
      <c r="CD657" t="str">
        <f>""</f>
        <v/>
      </c>
      <c r="CE657" t="str">
        <f>""</f>
        <v/>
      </c>
      <c r="CF657" t="str">
        <f>""</f>
        <v/>
      </c>
      <c r="CG657" t="str">
        <f>""</f>
        <v/>
      </c>
      <c r="CH657" t="str">
        <f>""</f>
        <v/>
      </c>
    </row>
    <row r="658" spans="1:86" x14ac:dyDescent="0.25">
      <c r="A658" t="s">
        <v>5965</v>
      </c>
      <c r="B658" t="s">
        <v>5966</v>
      </c>
      <c r="C658" t="s">
        <v>1992</v>
      </c>
      <c r="D658" t="s">
        <v>2010</v>
      </c>
      <c r="E658" t="s">
        <v>5967</v>
      </c>
      <c r="F658" t="s">
        <v>5968</v>
      </c>
      <c r="H658" t="s">
        <v>5969</v>
      </c>
      <c r="I658" t="s">
        <v>2061</v>
      </c>
      <c r="J658" t="str">
        <f>"93446-2856"</f>
        <v>93446-2856</v>
      </c>
      <c r="K658" t="s">
        <v>1998</v>
      </c>
      <c r="L658" t="s">
        <v>2045</v>
      </c>
      <c r="M658" t="s">
        <v>2063</v>
      </c>
      <c r="N658" t="s">
        <v>1992</v>
      </c>
      <c r="O658" t="s">
        <v>1992</v>
      </c>
      <c r="P658" t="s">
        <v>1992</v>
      </c>
      <c r="Q658" t="s">
        <v>1992</v>
      </c>
      <c r="R658" t="s">
        <v>1992</v>
      </c>
      <c r="S658" t="s">
        <v>1992</v>
      </c>
      <c r="T658" t="s">
        <v>1992</v>
      </c>
      <c r="U658" t="s">
        <v>1992</v>
      </c>
      <c r="V658" t="s">
        <v>1991</v>
      </c>
      <c r="W658" t="s">
        <v>1991</v>
      </c>
      <c r="X658" t="s">
        <v>1992</v>
      </c>
      <c r="Y658" t="s">
        <v>1991</v>
      </c>
      <c r="Z658" t="s">
        <v>1991</v>
      </c>
      <c r="AA658" t="s">
        <v>1991</v>
      </c>
      <c r="AF658" t="s">
        <v>2064</v>
      </c>
      <c r="AG658" t="s">
        <v>1991</v>
      </c>
      <c r="AH658">
        <v>30</v>
      </c>
      <c r="AI658">
        <v>30</v>
      </c>
      <c r="AJ658" t="s">
        <v>5970</v>
      </c>
      <c r="AK658">
        <v>729</v>
      </c>
      <c r="AL658">
        <v>20000</v>
      </c>
      <c r="AM658" t="s">
        <v>2298</v>
      </c>
      <c r="AN658" t="s">
        <v>2066</v>
      </c>
      <c r="AO658" t="s">
        <v>2063</v>
      </c>
      <c r="AP658" t="s">
        <v>2083</v>
      </c>
      <c r="BF658" t="s">
        <v>1053</v>
      </c>
      <c r="BG658" t="s">
        <v>2067</v>
      </c>
      <c r="BH658" t="s">
        <v>5971</v>
      </c>
      <c r="BI658" t="s">
        <v>1053</v>
      </c>
      <c r="BJ658" t="s">
        <v>2069</v>
      </c>
      <c r="BK658" t="s">
        <v>1053</v>
      </c>
      <c r="BL658" t="s">
        <v>2069</v>
      </c>
      <c r="BM658" t="s">
        <v>2070</v>
      </c>
      <c r="BO658" t="s">
        <v>1053</v>
      </c>
      <c r="BP658" t="s">
        <v>986</v>
      </c>
      <c r="BQ658" t="s">
        <v>5972</v>
      </c>
      <c r="BR658" t="s">
        <v>1053</v>
      </c>
      <c r="BS658" t="s">
        <v>1053</v>
      </c>
      <c r="BT658" t="s">
        <v>1053</v>
      </c>
      <c r="BU658" t="s">
        <v>1053</v>
      </c>
      <c r="BX658" t="str">
        <f>"SMTWTFS 1300-1400 1530-1630"</f>
        <v>SMTWTFS 1300-1400 1530-1630</v>
      </c>
      <c r="BY658" t="str">
        <f>""</f>
        <v/>
      </c>
      <c r="BZ658" t="str">
        <f>""</f>
        <v/>
      </c>
      <c r="CA658" t="str">
        <f>""</f>
        <v/>
      </c>
      <c r="CB658" t="str">
        <f>""</f>
        <v/>
      </c>
      <c r="CC658" t="str">
        <f>""</f>
        <v/>
      </c>
      <c r="CD658" t="str">
        <f>""</f>
        <v/>
      </c>
      <c r="CE658" t="str">
        <f>""</f>
        <v/>
      </c>
      <c r="CF658" t="str">
        <f>""</f>
        <v/>
      </c>
      <c r="CG658" t="str">
        <f>""</f>
        <v/>
      </c>
      <c r="CH658" t="str">
        <f>""</f>
        <v/>
      </c>
    </row>
    <row r="659" spans="1:86" x14ac:dyDescent="0.25">
      <c r="A659" t="s">
        <v>5973</v>
      </c>
      <c r="B659" t="s">
        <v>5974</v>
      </c>
      <c r="C659" t="s">
        <v>1991</v>
      </c>
      <c r="D659" t="s">
        <v>2010</v>
      </c>
      <c r="E659" t="s">
        <v>5975</v>
      </c>
      <c r="F659" t="s">
        <v>5976</v>
      </c>
      <c r="H659" t="s">
        <v>5977</v>
      </c>
      <c r="I659" t="s">
        <v>2340</v>
      </c>
      <c r="J659" t="str">
        <f>"25907"</f>
        <v>25907</v>
      </c>
      <c r="K659" t="s">
        <v>1998</v>
      </c>
      <c r="L659" t="s">
        <v>2015</v>
      </c>
      <c r="M659" t="s">
        <v>5978</v>
      </c>
      <c r="N659" t="s">
        <v>1991</v>
      </c>
      <c r="O659" t="s">
        <v>1992</v>
      </c>
      <c r="P659" t="s">
        <v>1992</v>
      </c>
      <c r="Q659" t="s">
        <v>1991</v>
      </c>
      <c r="R659" t="s">
        <v>1991</v>
      </c>
      <c r="S659" t="s">
        <v>1992</v>
      </c>
      <c r="T659" t="s">
        <v>1992</v>
      </c>
      <c r="U659" t="s">
        <v>1991</v>
      </c>
      <c r="V659" t="s">
        <v>1991</v>
      </c>
      <c r="W659" t="s">
        <v>1991</v>
      </c>
      <c r="X659" t="s">
        <v>1992</v>
      </c>
      <c r="Y659" t="s">
        <v>1992</v>
      </c>
      <c r="Z659" t="s">
        <v>1992</v>
      </c>
      <c r="AE659" t="s">
        <v>2047</v>
      </c>
      <c r="AF659" t="s">
        <v>2016</v>
      </c>
      <c r="AG659" t="s">
        <v>1991</v>
      </c>
      <c r="AH659">
        <v>45</v>
      </c>
      <c r="AI659">
        <v>30</v>
      </c>
      <c r="AJ659" t="s">
        <v>5979</v>
      </c>
      <c r="AK659">
        <v>1198</v>
      </c>
      <c r="AL659">
        <v>29003</v>
      </c>
      <c r="AN659" t="s">
        <v>1053</v>
      </c>
      <c r="AO659" t="s">
        <v>1053</v>
      </c>
      <c r="AP659" t="s">
        <v>2069</v>
      </c>
      <c r="AQ659" t="s">
        <v>1053</v>
      </c>
      <c r="AR659" t="s">
        <v>2069</v>
      </c>
      <c r="AS659" t="s">
        <v>5973</v>
      </c>
      <c r="AT659" t="s">
        <v>5980</v>
      </c>
      <c r="AU659" t="s">
        <v>1053</v>
      </c>
      <c r="AV659" t="s">
        <v>1053</v>
      </c>
      <c r="AW659" t="s">
        <v>2069</v>
      </c>
      <c r="AX659" t="s">
        <v>1053</v>
      </c>
      <c r="AY659" t="s">
        <v>2069</v>
      </c>
      <c r="AZ659" t="s">
        <v>5973</v>
      </c>
      <c r="BA659" t="s">
        <v>5980</v>
      </c>
      <c r="BB659" t="s">
        <v>1053</v>
      </c>
      <c r="BC659" t="s">
        <v>2069</v>
      </c>
      <c r="BD659" t="s">
        <v>1053</v>
      </c>
      <c r="BE659" t="s">
        <v>2069</v>
      </c>
      <c r="BF659" t="s">
        <v>1053</v>
      </c>
      <c r="BG659" t="s">
        <v>2097</v>
      </c>
      <c r="BH659" t="s">
        <v>3481</v>
      </c>
      <c r="BI659" t="s">
        <v>1053</v>
      </c>
      <c r="BJ659" t="s">
        <v>1053</v>
      </c>
      <c r="BK659" t="s">
        <v>1053</v>
      </c>
      <c r="BL659" t="s">
        <v>1053</v>
      </c>
      <c r="BM659" t="s">
        <v>2343</v>
      </c>
      <c r="BN659" t="s">
        <v>2344</v>
      </c>
      <c r="BO659" t="s">
        <v>1053</v>
      </c>
      <c r="BP659" t="s">
        <v>5981</v>
      </c>
      <c r="BQ659" t="s">
        <v>367</v>
      </c>
      <c r="BR659" t="s">
        <v>1053</v>
      </c>
      <c r="BS659" t="s">
        <v>1053</v>
      </c>
      <c r="BT659" t="s">
        <v>1053</v>
      </c>
      <c r="BU659" t="s">
        <v>1053</v>
      </c>
      <c r="BV659" t="s">
        <v>2347</v>
      </c>
      <c r="BX659" t="str">
        <f>"S--W-F- 0800-1930"</f>
        <v>S--W-F- 0800-1930</v>
      </c>
      <c r="BY659" t="str">
        <f>"S--W-F- 0800-1930"</f>
        <v>S--W-F- 0800-1930</v>
      </c>
      <c r="BZ659" t="str">
        <f>"S--W-F- 0800-1930"</f>
        <v>S--W-F- 0800-1930</v>
      </c>
      <c r="CA659" t="str">
        <f>"S--W-F- 0800-1930"</f>
        <v>S--W-F- 0800-1930</v>
      </c>
      <c r="CB659" t="str">
        <f>"SMTWTFS 0800-1930"</f>
        <v>SMTWTFS 0800-1930</v>
      </c>
      <c r="CC659" t="str">
        <f>""</f>
        <v/>
      </c>
      <c r="CD659" t="str">
        <f>""</f>
        <v/>
      </c>
      <c r="CE659" t="str">
        <f>""</f>
        <v/>
      </c>
      <c r="CF659" t="str">
        <f>"S--W-F- 0800-1930"</f>
        <v>S--W-F- 0800-1930</v>
      </c>
      <c r="CG659" t="str">
        <f>""</f>
        <v/>
      </c>
      <c r="CH659" t="str">
        <f>"SMTWTFS 0000-2359"</f>
        <v>SMTWTFS 0000-2359</v>
      </c>
    </row>
    <row r="660" spans="1:86" x14ac:dyDescent="0.25">
      <c r="A660" t="s">
        <v>5982</v>
      </c>
      <c r="B660" t="s">
        <v>5983</v>
      </c>
      <c r="C660" t="s">
        <v>1992</v>
      </c>
      <c r="D660" t="s">
        <v>1993</v>
      </c>
      <c r="E660" t="s">
        <v>5984</v>
      </c>
      <c r="F660" t="s">
        <v>1603</v>
      </c>
      <c r="H660" t="s">
        <v>5985</v>
      </c>
      <c r="I660" t="s">
        <v>2061</v>
      </c>
      <c r="J660" t="str">
        <f>"92571-4702"</f>
        <v>92571-4702</v>
      </c>
      <c r="K660" t="s">
        <v>1998</v>
      </c>
      <c r="L660" t="s">
        <v>2045</v>
      </c>
      <c r="M660" t="s">
        <v>2063</v>
      </c>
      <c r="N660" t="s">
        <v>1992</v>
      </c>
      <c r="O660" t="s">
        <v>1992</v>
      </c>
      <c r="P660" t="s">
        <v>1992</v>
      </c>
      <c r="Q660" t="s">
        <v>1992</v>
      </c>
      <c r="R660" t="s">
        <v>1992</v>
      </c>
      <c r="S660" t="s">
        <v>1992</v>
      </c>
      <c r="T660" t="s">
        <v>1992</v>
      </c>
      <c r="U660" t="s">
        <v>1992</v>
      </c>
      <c r="V660" t="s">
        <v>1991</v>
      </c>
      <c r="W660" t="s">
        <v>1992</v>
      </c>
      <c r="X660" t="s">
        <v>1992</v>
      </c>
      <c r="Y660" t="s">
        <v>1992</v>
      </c>
      <c r="Z660" t="s">
        <v>1991</v>
      </c>
      <c r="AF660" t="s">
        <v>2064</v>
      </c>
      <c r="AG660" t="s">
        <v>1991</v>
      </c>
      <c r="AH660">
        <v>30</v>
      </c>
      <c r="AI660">
        <v>30</v>
      </c>
      <c r="AJ660" t="s">
        <v>5986</v>
      </c>
      <c r="AK660">
        <v>1454</v>
      </c>
      <c r="AM660" t="s">
        <v>2298</v>
      </c>
      <c r="AN660" t="s">
        <v>1053</v>
      </c>
      <c r="AO660" t="s">
        <v>1053</v>
      </c>
      <c r="BF660" t="s">
        <v>1053</v>
      </c>
      <c r="BG660" t="s">
        <v>309</v>
      </c>
      <c r="BH660" t="s">
        <v>2301</v>
      </c>
      <c r="BI660" t="s">
        <v>1053</v>
      </c>
      <c r="BK660" t="s">
        <v>1053</v>
      </c>
      <c r="BO660" t="s">
        <v>1053</v>
      </c>
      <c r="BP660" t="s">
        <v>310</v>
      </c>
      <c r="BQ660" t="s">
        <v>311</v>
      </c>
      <c r="BR660" t="s">
        <v>1053</v>
      </c>
      <c r="BS660" t="s">
        <v>1053</v>
      </c>
      <c r="BT660" t="s">
        <v>1053</v>
      </c>
      <c r="BU660" t="s">
        <v>1053</v>
      </c>
      <c r="BX660" t="str">
        <f>""</f>
        <v/>
      </c>
      <c r="BY660" t="str">
        <f>""</f>
        <v/>
      </c>
      <c r="BZ660" t="str">
        <f>""</f>
        <v/>
      </c>
      <c r="CA660" t="str">
        <f>""</f>
        <v/>
      </c>
      <c r="CB660" t="str">
        <f>""</f>
        <v/>
      </c>
      <c r="CC660" t="str">
        <f>""</f>
        <v/>
      </c>
      <c r="CD660" t="str">
        <f>""</f>
        <v/>
      </c>
      <c r="CE660" t="str">
        <f>""</f>
        <v/>
      </c>
      <c r="CF660" t="str">
        <f>""</f>
        <v/>
      </c>
      <c r="CG660" t="str">
        <f>""</f>
        <v/>
      </c>
      <c r="CH660" t="str">
        <f>""</f>
        <v/>
      </c>
    </row>
    <row r="661" spans="1:86" x14ac:dyDescent="0.25">
      <c r="A661" t="s">
        <v>5987</v>
      </c>
      <c r="B661" t="s">
        <v>5988</v>
      </c>
      <c r="C661" t="s">
        <v>1992</v>
      </c>
      <c r="D661" t="s">
        <v>2331</v>
      </c>
      <c r="E661" t="s">
        <v>5989</v>
      </c>
      <c r="F661" t="s">
        <v>5990</v>
      </c>
      <c r="H661" t="s">
        <v>5991</v>
      </c>
      <c r="I661" t="s">
        <v>2321</v>
      </c>
      <c r="J661" t="str">
        <f>"12975"</f>
        <v>12975</v>
      </c>
      <c r="K661" t="s">
        <v>1998</v>
      </c>
      <c r="L661" t="s">
        <v>2033</v>
      </c>
      <c r="M661" t="s">
        <v>2000</v>
      </c>
      <c r="N661" t="s">
        <v>1992</v>
      </c>
      <c r="O661" t="s">
        <v>1992</v>
      </c>
      <c r="P661" t="s">
        <v>1992</v>
      </c>
      <c r="Q661" t="s">
        <v>1992</v>
      </c>
      <c r="R661" t="s">
        <v>1992</v>
      </c>
      <c r="S661" t="s">
        <v>1992</v>
      </c>
      <c r="T661" t="s">
        <v>1992</v>
      </c>
      <c r="U661" t="s">
        <v>1992</v>
      </c>
      <c r="V661" t="s">
        <v>1991</v>
      </c>
      <c r="W661" t="s">
        <v>1991</v>
      </c>
      <c r="X661" t="s">
        <v>1992</v>
      </c>
      <c r="Y661" t="s">
        <v>1992</v>
      </c>
      <c r="Z661" t="s">
        <v>1992</v>
      </c>
      <c r="AA661" t="s">
        <v>1991</v>
      </c>
      <c r="AF661" t="s">
        <v>2016</v>
      </c>
      <c r="AG661" t="s">
        <v>1991</v>
      </c>
      <c r="AH661">
        <v>30</v>
      </c>
      <c r="AI661">
        <v>30</v>
      </c>
      <c r="AJ661" t="s">
        <v>5992</v>
      </c>
      <c r="AK661">
        <v>142</v>
      </c>
      <c r="AL661">
        <v>500</v>
      </c>
      <c r="AM661" t="s">
        <v>5993</v>
      </c>
      <c r="BF661" t="s">
        <v>1053</v>
      </c>
      <c r="BG661" t="s">
        <v>235</v>
      </c>
      <c r="BH661" t="s">
        <v>5994</v>
      </c>
      <c r="BI661" t="s">
        <v>1053</v>
      </c>
      <c r="BJ661" t="s">
        <v>1053</v>
      </c>
      <c r="BK661" t="s">
        <v>1053</v>
      </c>
      <c r="BL661" t="s">
        <v>1053</v>
      </c>
      <c r="BM661" t="s">
        <v>2324</v>
      </c>
      <c r="BN661" t="s">
        <v>2325</v>
      </c>
      <c r="BO661" t="s">
        <v>1053</v>
      </c>
      <c r="BP661" t="s">
        <v>634</v>
      </c>
      <c r="BQ661" t="s">
        <v>5994</v>
      </c>
      <c r="BR661" t="s">
        <v>1053</v>
      </c>
      <c r="BS661" t="s">
        <v>1053</v>
      </c>
      <c r="BV661" t="s">
        <v>2324</v>
      </c>
      <c r="BW661" t="s">
        <v>2325</v>
      </c>
      <c r="BX661" t="str">
        <f>""</f>
        <v/>
      </c>
      <c r="BY661" t="str">
        <f>""</f>
        <v/>
      </c>
      <c r="BZ661" t="str">
        <f>""</f>
        <v/>
      </c>
      <c r="CA661" t="str">
        <f>""</f>
        <v/>
      </c>
      <c r="CB661" t="str">
        <f>""</f>
        <v/>
      </c>
      <c r="CC661" t="str">
        <f>""</f>
        <v/>
      </c>
      <c r="CD661" t="str">
        <f>""</f>
        <v/>
      </c>
      <c r="CE661" t="str">
        <f>""</f>
        <v/>
      </c>
      <c r="CF661" t="str">
        <f>""</f>
        <v/>
      </c>
      <c r="CG661" t="str">
        <f>""</f>
        <v/>
      </c>
      <c r="CH661" t="str">
        <f>""</f>
        <v/>
      </c>
    </row>
    <row r="662" spans="1:86" x14ac:dyDescent="0.25">
      <c r="A662" t="s">
        <v>5995</v>
      </c>
      <c r="B662" t="s">
        <v>5996</v>
      </c>
      <c r="D662" t="s">
        <v>2089</v>
      </c>
      <c r="E662" t="s">
        <v>5997</v>
      </c>
      <c r="F662" t="s">
        <v>497</v>
      </c>
      <c r="H662" t="s">
        <v>5998</v>
      </c>
      <c r="I662" t="s">
        <v>2014</v>
      </c>
      <c r="J662" t="str">
        <f>"21777"</f>
        <v>21777</v>
      </c>
      <c r="K662" t="s">
        <v>1998</v>
      </c>
      <c r="L662" t="s">
        <v>499</v>
      </c>
      <c r="M662" t="s">
        <v>500</v>
      </c>
      <c r="O662" t="s">
        <v>1992</v>
      </c>
      <c r="AF662" t="s">
        <v>2016</v>
      </c>
      <c r="AG662" t="s">
        <v>1991</v>
      </c>
      <c r="AJ662" t="s">
        <v>2090</v>
      </c>
      <c r="AM662" t="s">
        <v>501</v>
      </c>
      <c r="BX662" t="str">
        <f>""</f>
        <v/>
      </c>
      <c r="BY662" t="str">
        <f>""</f>
        <v/>
      </c>
      <c r="BZ662" t="str">
        <f>""</f>
        <v/>
      </c>
      <c r="CA662" t="str">
        <f>""</f>
        <v/>
      </c>
      <c r="CB662" t="str">
        <f>""</f>
        <v/>
      </c>
      <c r="CC662" t="str">
        <f>""</f>
        <v/>
      </c>
      <c r="CD662" t="str">
        <f>""</f>
        <v/>
      </c>
      <c r="CE662" t="str">
        <f>""</f>
        <v/>
      </c>
      <c r="CF662" t="str">
        <f>""</f>
        <v/>
      </c>
      <c r="CG662" t="str">
        <f>""</f>
        <v/>
      </c>
      <c r="CH662" t="str">
        <f>""</f>
        <v/>
      </c>
    </row>
    <row r="663" spans="1:86" x14ac:dyDescent="0.25">
      <c r="A663" t="s">
        <v>5999</v>
      </c>
      <c r="B663" t="s">
        <v>6000</v>
      </c>
      <c r="C663" t="s">
        <v>1992</v>
      </c>
      <c r="D663" t="s">
        <v>2028</v>
      </c>
      <c r="E663" t="s">
        <v>6001</v>
      </c>
      <c r="H663" t="s">
        <v>6002</v>
      </c>
      <c r="I663" t="s">
        <v>5059</v>
      </c>
      <c r="J663" t="str">
        <f>"84601-4542"</f>
        <v>84601-4542</v>
      </c>
      <c r="K663" t="s">
        <v>1998</v>
      </c>
      <c r="L663" t="s">
        <v>2062</v>
      </c>
      <c r="M663" t="s">
        <v>2063</v>
      </c>
      <c r="N663" t="s">
        <v>1992</v>
      </c>
      <c r="O663" t="s">
        <v>1992</v>
      </c>
      <c r="P663" t="s">
        <v>1992</v>
      </c>
      <c r="Q663" t="s">
        <v>1992</v>
      </c>
      <c r="R663" t="s">
        <v>1992</v>
      </c>
      <c r="S663" t="s">
        <v>1992</v>
      </c>
      <c r="T663" t="s">
        <v>1992</v>
      </c>
      <c r="U663" t="s">
        <v>1992</v>
      </c>
      <c r="V663" t="s">
        <v>1991</v>
      </c>
      <c r="W663" t="s">
        <v>1991</v>
      </c>
      <c r="X663" t="s">
        <v>1992</v>
      </c>
      <c r="Y663" t="s">
        <v>1992</v>
      </c>
      <c r="Z663" t="s">
        <v>1992</v>
      </c>
      <c r="AA663" t="s">
        <v>1992</v>
      </c>
      <c r="AF663" t="s">
        <v>2048</v>
      </c>
      <c r="AG663" t="s">
        <v>1991</v>
      </c>
      <c r="AH663">
        <v>30</v>
      </c>
      <c r="AI663">
        <v>30</v>
      </c>
      <c r="AJ663" t="s">
        <v>6003</v>
      </c>
      <c r="AK663">
        <v>4523</v>
      </c>
      <c r="AL663">
        <v>60000</v>
      </c>
      <c r="AN663" t="s">
        <v>2066</v>
      </c>
      <c r="AO663" t="s">
        <v>2063</v>
      </c>
      <c r="BF663" t="s">
        <v>1053</v>
      </c>
      <c r="BG663" t="s">
        <v>2067</v>
      </c>
      <c r="BH663" t="s">
        <v>348</v>
      </c>
      <c r="BI663" t="s">
        <v>1053</v>
      </c>
      <c r="BK663" t="s">
        <v>1053</v>
      </c>
      <c r="BO663" t="s">
        <v>1053</v>
      </c>
      <c r="BP663" t="s">
        <v>675</v>
      </c>
      <c r="BQ663" t="s">
        <v>2073</v>
      </c>
      <c r="BR663" t="s">
        <v>1053</v>
      </c>
      <c r="BS663" t="s">
        <v>1053</v>
      </c>
      <c r="BT663" t="s">
        <v>1053</v>
      </c>
      <c r="BU663" t="s">
        <v>1053</v>
      </c>
      <c r="BX663" t="str">
        <f>"SMTWTFS 0000-0001"</f>
        <v>SMTWTFS 0000-0001</v>
      </c>
      <c r="BY663" t="str">
        <f>""</f>
        <v/>
      </c>
      <c r="BZ663" t="str">
        <f>""</f>
        <v/>
      </c>
      <c r="CA663" t="str">
        <f>""</f>
        <v/>
      </c>
      <c r="CB663" t="str">
        <f>""</f>
        <v/>
      </c>
      <c r="CC663" t="str">
        <f>""</f>
        <v/>
      </c>
      <c r="CD663" t="str">
        <f>""</f>
        <v/>
      </c>
      <c r="CE663" t="str">
        <f>""</f>
        <v/>
      </c>
      <c r="CF663" t="str">
        <f>""</f>
        <v/>
      </c>
      <c r="CG663" t="str">
        <f>""</f>
        <v/>
      </c>
      <c r="CH663" t="str">
        <f>""</f>
        <v/>
      </c>
    </row>
    <row r="664" spans="1:86" x14ac:dyDescent="0.25">
      <c r="A664" t="s">
        <v>6004</v>
      </c>
      <c r="B664" t="s">
        <v>6005</v>
      </c>
      <c r="D664" t="s">
        <v>2089</v>
      </c>
      <c r="E664" t="s">
        <v>6006</v>
      </c>
      <c r="F664" t="s">
        <v>497</v>
      </c>
      <c r="H664" t="s">
        <v>6007</v>
      </c>
      <c r="I664" t="s">
        <v>2014</v>
      </c>
      <c r="J664" t="str">
        <f>"21903"</f>
        <v>21903</v>
      </c>
      <c r="K664" t="s">
        <v>1998</v>
      </c>
      <c r="L664" t="s">
        <v>499</v>
      </c>
      <c r="M664" t="s">
        <v>500</v>
      </c>
      <c r="O664" t="s">
        <v>1991</v>
      </c>
      <c r="AF664" t="s">
        <v>2016</v>
      </c>
      <c r="AG664" t="s">
        <v>1991</v>
      </c>
      <c r="AJ664" t="s">
        <v>2090</v>
      </c>
      <c r="AM664" t="s">
        <v>2564</v>
      </c>
      <c r="BX664" t="str">
        <f>""</f>
        <v/>
      </c>
      <c r="BY664" t="str">
        <f>""</f>
        <v/>
      </c>
      <c r="BZ664" t="str">
        <f>""</f>
        <v/>
      </c>
      <c r="CA664" t="str">
        <f>""</f>
        <v/>
      </c>
      <c r="CB664" t="str">
        <f>""</f>
        <v/>
      </c>
      <c r="CC664" t="str">
        <f>""</f>
        <v/>
      </c>
      <c r="CD664" t="str">
        <f>""</f>
        <v/>
      </c>
      <c r="CE664" t="str">
        <f>""</f>
        <v/>
      </c>
      <c r="CF664" t="str">
        <f>""</f>
        <v/>
      </c>
      <c r="CG664" t="str">
        <f>""</f>
        <v/>
      </c>
      <c r="CH664" t="str">
        <f>""</f>
        <v/>
      </c>
    </row>
    <row r="665" spans="1:86" x14ac:dyDescent="0.25">
      <c r="A665" t="s">
        <v>6008</v>
      </c>
      <c r="B665" t="s">
        <v>6009</v>
      </c>
      <c r="C665" t="s">
        <v>1991</v>
      </c>
      <c r="D665" t="s">
        <v>2010</v>
      </c>
      <c r="E665" t="s">
        <v>6010</v>
      </c>
      <c r="F665" t="s">
        <v>6011</v>
      </c>
      <c r="H665" t="s">
        <v>6012</v>
      </c>
      <c r="I665" t="s">
        <v>576</v>
      </c>
      <c r="J665" t="str">
        <f>"99301-5378"</f>
        <v>99301-5378</v>
      </c>
      <c r="K665" t="s">
        <v>1998</v>
      </c>
      <c r="L665" t="s">
        <v>231</v>
      </c>
      <c r="M665" t="s">
        <v>6013</v>
      </c>
      <c r="N665" t="s">
        <v>1991</v>
      </c>
      <c r="O665" t="s">
        <v>1991</v>
      </c>
      <c r="P665" t="s">
        <v>1992</v>
      </c>
      <c r="Q665" t="s">
        <v>1991</v>
      </c>
      <c r="R665" t="s">
        <v>1991</v>
      </c>
      <c r="S665" t="s">
        <v>1992</v>
      </c>
      <c r="T665" t="s">
        <v>1992</v>
      </c>
      <c r="U665" t="s">
        <v>1991</v>
      </c>
      <c r="V665" t="s">
        <v>1991</v>
      </c>
      <c r="W665" t="s">
        <v>1991</v>
      </c>
      <c r="X665" t="s">
        <v>1992</v>
      </c>
      <c r="Y665" t="s">
        <v>1992</v>
      </c>
      <c r="Z665" t="s">
        <v>1992</v>
      </c>
      <c r="AA665" t="s">
        <v>1991</v>
      </c>
      <c r="AE665" t="s">
        <v>2047</v>
      </c>
      <c r="AF665" t="s">
        <v>2064</v>
      </c>
      <c r="AG665" t="s">
        <v>1991</v>
      </c>
      <c r="AH665">
        <v>60</v>
      </c>
      <c r="AI665">
        <v>30</v>
      </c>
      <c r="AJ665" t="s">
        <v>6014</v>
      </c>
      <c r="AK665">
        <v>390</v>
      </c>
      <c r="AL665">
        <v>49927</v>
      </c>
      <c r="AN665" t="s">
        <v>1053</v>
      </c>
      <c r="AO665" t="s">
        <v>1053</v>
      </c>
      <c r="AP665" t="s">
        <v>2069</v>
      </c>
      <c r="AQ665" t="s">
        <v>1053</v>
      </c>
      <c r="AR665" t="s">
        <v>2069</v>
      </c>
      <c r="AS665" t="s">
        <v>6008</v>
      </c>
      <c r="AT665" t="s">
        <v>6015</v>
      </c>
      <c r="AU665" t="s">
        <v>1053</v>
      </c>
      <c r="AV665" t="s">
        <v>1053</v>
      </c>
      <c r="AW665" t="s">
        <v>2069</v>
      </c>
      <c r="AX665" t="s">
        <v>1053</v>
      </c>
      <c r="AY665" t="s">
        <v>2069</v>
      </c>
      <c r="AZ665" t="s">
        <v>6008</v>
      </c>
      <c r="BA665" t="s">
        <v>6015</v>
      </c>
      <c r="BB665" t="s">
        <v>1053</v>
      </c>
      <c r="BC665" t="s">
        <v>2069</v>
      </c>
      <c r="BD665" t="s">
        <v>1053</v>
      </c>
      <c r="BE665" t="s">
        <v>2069</v>
      </c>
      <c r="BF665" t="s">
        <v>1053</v>
      </c>
      <c r="BG665" t="s">
        <v>235</v>
      </c>
      <c r="BH665" t="s">
        <v>6016</v>
      </c>
      <c r="BI665" t="s">
        <v>1053</v>
      </c>
      <c r="BJ665" t="s">
        <v>1053</v>
      </c>
      <c r="BK665" t="s">
        <v>1053</v>
      </c>
      <c r="BL665" t="s">
        <v>1053</v>
      </c>
      <c r="BM665" t="s">
        <v>237</v>
      </c>
      <c r="BN665" t="s">
        <v>238</v>
      </c>
      <c r="BO665" t="s">
        <v>1053</v>
      </c>
      <c r="BP665" t="s">
        <v>239</v>
      </c>
      <c r="BQ665" t="s">
        <v>240</v>
      </c>
      <c r="BR665" t="s">
        <v>1053</v>
      </c>
      <c r="BS665" t="s">
        <v>1053</v>
      </c>
      <c r="BT665" t="s">
        <v>1053</v>
      </c>
      <c r="BU665" t="s">
        <v>1053</v>
      </c>
      <c r="BV665" t="s">
        <v>241</v>
      </c>
      <c r="BW665" t="s">
        <v>242</v>
      </c>
      <c r="BX665" t="str">
        <f>"SMT-TFS 0400-0600 0830-1800 2015-2330; ---W--- 0400-0600 0800-1600 2015-2330"</f>
        <v>SMT-TFS 0400-0600 0830-1800 2015-2330; ---W--- 0400-0600 0800-1600 2015-2330</v>
      </c>
      <c r="BY665" t="str">
        <f>"SMTWTFS 0400-0600 2015-2300"</f>
        <v>SMTWTFS 0400-0600 2015-2300</v>
      </c>
      <c r="BZ665" t="str">
        <f>"SMTWTFS 0400-0600 2015-2300"</f>
        <v>SMTWTFS 0400-0600 2015-2300</v>
      </c>
      <c r="CA665" t="str">
        <f>"SMTWTFS 0400-0600 2015-2300"</f>
        <v>SMTWTFS 0400-0600 2015-2300</v>
      </c>
      <c r="CB665" t="str">
        <f>""</f>
        <v/>
      </c>
      <c r="CC665" t="str">
        <f>"SMTWTFS 0400-0600 0830-1800 2015-2330"</f>
        <v>SMTWTFS 0400-0600 0830-1800 2015-2330</v>
      </c>
      <c r="CD665" t="str">
        <f>""</f>
        <v/>
      </c>
      <c r="CE665" t="str">
        <f>""</f>
        <v/>
      </c>
      <c r="CF665" t="str">
        <f>"SMTWTFS 0400-0600 2015-2300"</f>
        <v>SMTWTFS 0400-0600 2015-2300</v>
      </c>
      <c r="CG665" t="str">
        <f>""</f>
        <v/>
      </c>
      <c r="CH665" t="str">
        <f>""</f>
        <v/>
      </c>
    </row>
    <row r="666" spans="1:86" x14ac:dyDescent="0.25">
      <c r="A666" t="s">
        <v>6017</v>
      </c>
      <c r="B666" t="s">
        <v>6018</v>
      </c>
      <c r="C666" t="s">
        <v>1992</v>
      </c>
      <c r="D666" t="s">
        <v>1993</v>
      </c>
      <c r="E666" t="s">
        <v>6019</v>
      </c>
      <c r="F666" t="s">
        <v>6020</v>
      </c>
      <c r="H666" t="s">
        <v>6021</v>
      </c>
      <c r="I666" t="s">
        <v>2352</v>
      </c>
      <c r="J666" t="str">
        <f>"49770-2327"</f>
        <v>49770-2327</v>
      </c>
      <c r="K666" t="s">
        <v>1998</v>
      </c>
      <c r="L666" t="s">
        <v>1999</v>
      </c>
      <c r="M666" t="s">
        <v>3520</v>
      </c>
      <c r="N666" t="s">
        <v>1992</v>
      </c>
      <c r="O666" t="s">
        <v>1992</v>
      </c>
      <c r="P666" t="s">
        <v>1992</v>
      </c>
      <c r="Q666" t="s">
        <v>1992</v>
      </c>
      <c r="R666" t="s">
        <v>1992</v>
      </c>
      <c r="S666" t="s">
        <v>1992</v>
      </c>
      <c r="T666" t="s">
        <v>1992</v>
      </c>
      <c r="U666" t="s">
        <v>1992</v>
      </c>
      <c r="V666" t="s">
        <v>1991</v>
      </c>
      <c r="W666" t="s">
        <v>1992</v>
      </c>
      <c r="X666" t="s">
        <v>1992</v>
      </c>
      <c r="Y666" t="s">
        <v>1992</v>
      </c>
      <c r="Z666" t="s">
        <v>1991</v>
      </c>
      <c r="AF666" t="s">
        <v>2001</v>
      </c>
      <c r="AG666" t="s">
        <v>1991</v>
      </c>
      <c r="AH666">
        <v>30</v>
      </c>
      <c r="AI666">
        <v>30</v>
      </c>
      <c r="AJ666" t="s">
        <v>6022</v>
      </c>
      <c r="AK666">
        <v>634</v>
      </c>
      <c r="AL666">
        <v>6200</v>
      </c>
      <c r="AM666" t="s">
        <v>6023</v>
      </c>
      <c r="AN666" t="s">
        <v>445</v>
      </c>
      <c r="AO666" t="s">
        <v>1053</v>
      </c>
      <c r="BF666" t="s">
        <v>1053</v>
      </c>
      <c r="BG666" t="s">
        <v>643</v>
      </c>
      <c r="BH666" t="s">
        <v>644</v>
      </c>
      <c r="BI666" t="s">
        <v>1053</v>
      </c>
      <c r="BK666" t="s">
        <v>1053</v>
      </c>
      <c r="BM666" t="s">
        <v>2313</v>
      </c>
      <c r="BN666" t="s">
        <v>2314</v>
      </c>
      <c r="BO666" t="s">
        <v>1053</v>
      </c>
      <c r="BP666" t="s">
        <v>301</v>
      </c>
      <c r="BQ666" t="s">
        <v>2316</v>
      </c>
      <c r="BR666" t="s">
        <v>1053</v>
      </c>
      <c r="BT666" t="s">
        <v>1053</v>
      </c>
      <c r="BX666" t="str">
        <f>""</f>
        <v/>
      </c>
      <c r="BY666" t="str">
        <f>""</f>
        <v/>
      </c>
      <c r="BZ666" t="str">
        <f>""</f>
        <v/>
      </c>
      <c r="CA666" t="str">
        <f>""</f>
        <v/>
      </c>
      <c r="CB666" t="str">
        <f>""</f>
        <v/>
      </c>
      <c r="CC666" t="str">
        <f>""</f>
        <v/>
      </c>
      <c r="CD666" t="str">
        <f>""</f>
        <v/>
      </c>
      <c r="CE666" t="str">
        <f>""</f>
        <v/>
      </c>
      <c r="CF666" t="str">
        <f>""</f>
        <v/>
      </c>
      <c r="CG666" t="str">
        <f>""</f>
        <v/>
      </c>
      <c r="CH666" t="str">
        <f>""</f>
        <v/>
      </c>
    </row>
    <row r="667" spans="1:86" x14ac:dyDescent="0.25">
      <c r="A667" t="s">
        <v>6024</v>
      </c>
      <c r="B667" t="s">
        <v>6025</v>
      </c>
      <c r="C667" t="s">
        <v>1992</v>
      </c>
      <c r="D667" t="s">
        <v>2028</v>
      </c>
      <c r="E667" t="s">
        <v>6026</v>
      </c>
      <c r="F667" t="s">
        <v>6027</v>
      </c>
      <c r="H667" t="s">
        <v>6028</v>
      </c>
      <c r="I667" t="s">
        <v>2061</v>
      </c>
      <c r="J667" t="str">
        <f>"92262"</f>
        <v>92262</v>
      </c>
      <c r="K667" t="s">
        <v>1998</v>
      </c>
      <c r="L667" t="s">
        <v>2045</v>
      </c>
      <c r="M667" t="s">
        <v>2000</v>
      </c>
      <c r="N667" t="s">
        <v>1992</v>
      </c>
      <c r="O667" t="s">
        <v>1992</v>
      </c>
      <c r="P667" t="s">
        <v>1992</v>
      </c>
      <c r="Q667" t="s">
        <v>1992</v>
      </c>
      <c r="R667" t="s">
        <v>1992</v>
      </c>
      <c r="S667" t="s">
        <v>1992</v>
      </c>
      <c r="T667" t="s">
        <v>1992</v>
      </c>
      <c r="U667" t="s">
        <v>1992</v>
      </c>
      <c r="V667" t="s">
        <v>1991</v>
      </c>
      <c r="W667" t="s">
        <v>1991</v>
      </c>
      <c r="X667" t="s">
        <v>1992</v>
      </c>
      <c r="Y667" t="s">
        <v>1992</v>
      </c>
      <c r="Z667" t="s">
        <v>1992</v>
      </c>
      <c r="AA667" t="s">
        <v>1992</v>
      </c>
      <c r="AB667" t="s">
        <v>6029</v>
      </c>
      <c r="AF667" t="s">
        <v>2064</v>
      </c>
      <c r="AG667" t="s">
        <v>1991</v>
      </c>
      <c r="AH667">
        <v>30</v>
      </c>
      <c r="AI667">
        <v>30</v>
      </c>
      <c r="AJ667" t="s">
        <v>6030</v>
      </c>
      <c r="AK667">
        <v>685</v>
      </c>
      <c r="AL667">
        <v>47806</v>
      </c>
      <c r="AN667" t="s">
        <v>2066</v>
      </c>
      <c r="BF667" t="s">
        <v>1053</v>
      </c>
      <c r="BG667" t="s">
        <v>2019</v>
      </c>
      <c r="BH667" t="s">
        <v>2053</v>
      </c>
      <c r="BI667" t="s">
        <v>1053</v>
      </c>
      <c r="BK667" t="s">
        <v>1053</v>
      </c>
      <c r="BO667" t="s">
        <v>1053</v>
      </c>
      <c r="BP667" t="s">
        <v>1173</v>
      </c>
      <c r="BQ667" t="s">
        <v>2055</v>
      </c>
      <c r="BR667" t="s">
        <v>1053</v>
      </c>
      <c r="BS667" t="s">
        <v>1053</v>
      </c>
      <c r="BV667" t="s">
        <v>2056</v>
      </c>
      <c r="BX667" t="str">
        <f>""</f>
        <v/>
      </c>
      <c r="BY667" t="str">
        <f>""</f>
        <v/>
      </c>
      <c r="BZ667" t="str">
        <f>""</f>
        <v/>
      </c>
      <c r="CA667" t="str">
        <f>""</f>
        <v/>
      </c>
      <c r="CB667" t="str">
        <f>""</f>
        <v/>
      </c>
      <c r="CC667" t="str">
        <f>""</f>
        <v/>
      </c>
      <c r="CD667" t="str">
        <f>""</f>
        <v/>
      </c>
      <c r="CE667" t="str">
        <f>""</f>
        <v/>
      </c>
      <c r="CF667" t="str">
        <f>""</f>
        <v/>
      </c>
      <c r="CG667" t="str">
        <f>""</f>
        <v/>
      </c>
      <c r="CH667" t="str">
        <f>""</f>
        <v/>
      </c>
    </row>
    <row r="668" spans="1:86" x14ac:dyDescent="0.25">
      <c r="A668" t="s">
        <v>6031</v>
      </c>
      <c r="B668" t="s">
        <v>6032</v>
      </c>
      <c r="C668" t="s">
        <v>1992</v>
      </c>
      <c r="D668" t="s">
        <v>1993</v>
      </c>
      <c r="E668" t="s">
        <v>6033</v>
      </c>
      <c r="F668" t="s">
        <v>6034</v>
      </c>
      <c r="H668" t="s">
        <v>6028</v>
      </c>
      <c r="I668" t="s">
        <v>2061</v>
      </c>
      <c r="J668" t="str">
        <f>"92262"</f>
        <v>92262</v>
      </c>
      <c r="K668" t="s">
        <v>1998</v>
      </c>
      <c r="L668" t="s">
        <v>2045</v>
      </c>
      <c r="M668" t="s">
        <v>2000</v>
      </c>
      <c r="N668" t="s">
        <v>1992</v>
      </c>
      <c r="O668" t="s">
        <v>1992</v>
      </c>
      <c r="P668" t="s">
        <v>1992</v>
      </c>
      <c r="Q668" t="s">
        <v>1992</v>
      </c>
      <c r="R668" t="s">
        <v>1992</v>
      </c>
      <c r="S668" t="s">
        <v>1992</v>
      </c>
      <c r="T668" t="s">
        <v>1992</v>
      </c>
      <c r="U668" t="s">
        <v>1992</v>
      </c>
      <c r="V668" t="s">
        <v>1991</v>
      </c>
      <c r="Y668" t="s">
        <v>1991</v>
      </c>
      <c r="AB668" t="s">
        <v>6029</v>
      </c>
      <c r="AF668" t="s">
        <v>2064</v>
      </c>
      <c r="AG668" t="s">
        <v>1991</v>
      </c>
      <c r="AH668">
        <v>30</v>
      </c>
      <c r="AI668">
        <v>30</v>
      </c>
      <c r="AJ668" t="s">
        <v>6035</v>
      </c>
      <c r="AK668">
        <v>418</v>
      </c>
      <c r="AL668">
        <v>100000</v>
      </c>
      <c r="AN668" t="s">
        <v>3360</v>
      </c>
      <c r="AO668" t="s">
        <v>2063</v>
      </c>
      <c r="BF668" t="s">
        <v>1053</v>
      </c>
      <c r="BG668" t="s">
        <v>309</v>
      </c>
      <c r="BH668" t="s">
        <v>2301</v>
      </c>
      <c r="BI668" t="s">
        <v>1053</v>
      </c>
      <c r="BK668" t="s">
        <v>1053</v>
      </c>
      <c r="BO668" t="s">
        <v>1053</v>
      </c>
      <c r="BP668" t="s">
        <v>310</v>
      </c>
      <c r="BQ668" t="s">
        <v>311</v>
      </c>
      <c r="BR668" t="s">
        <v>1053</v>
      </c>
      <c r="BS668" t="s">
        <v>1053</v>
      </c>
      <c r="BT668" t="s">
        <v>1053</v>
      </c>
      <c r="BU668" t="s">
        <v>1053</v>
      </c>
      <c r="BX668" t="str">
        <f>""</f>
        <v/>
      </c>
      <c r="BY668" t="str">
        <f>""</f>
        <v/>
      </c>
      <c r="BZ668" t="str">
        <f>""</f>
        <v/>
      </c>
      <c r="CA668" t="str">
        <f>""</f>
        <v/>
      </c>
      <c r="CB668" t="str">
        <f>""</f>
        <v/>
      </c>
      <c r="CC668" t="str">
        <f>""</f>
        <v/>
      </c>
      <c r="CD668" t="str">
        <f>""</f>
        <v/>
      </c>
      <c r="CE668" t="str">
        <f>""</f>
        <v/>
      </c>
      <c r="CF668" t="str">
        <f>""</f>
        <v/>
      </c>
      <c r="CG668" t="str">
        <f>""</f>
        <v/>
      </c>
      <c r="CH668" t="str">
        <f>""</f>
        <v/>
      </c>
    </row>
    <row r="669" spans="1:86" x14ac:dyDescent="0.25">
      <c r="A669" t="s">
        <v>6036</v>
      </c>
      <c r="B669" t="s">
        <v>6037</v>
      </c>
      <c r="C669" t="s">
        <v>1992</v>
      </c>
      <c r="D669" t="s">
        <v>1993</v>
      </c>
      <c r="E669" t="s">
        <v>6038</v>
      </c>
      <c r="F669" t="s">
        <v>6034</v>
      </c>
      <c r="H669" t="s">
        <v>6028</v>
      </c>
      <c r="I669" t="s">
        <v>2061</v>
      </c>
      <c r="J669" t="str">
        <f>"92262-6414"</f>
        <v>92262-6414</v>
      </c>
      <c r="K669" t="s">
        <v>1998</v>
      </c>
      <c r="L669" t="s">
        <v>2045</v>
      </c>
      <c r="M669" t="s">
        <v>2000</v>
      </c>
      <c r="N669" t="s">
        <v>1992</v>
      </c>
      <c r="O669" t="s">
        <v>1992</v>
      </c>
      <c r="P669" t="s">
        <v>1992</v>
      </c>
      <c r="Q669" t="s">
        <v>1992</v>
      </c>
      <c r="R669" t="s">
        <v>1992</v>
      </c>
      <c r="S669" t="s">
        <v>1992</v>
      </c>
      <c r="T669" t="s">
        <v>1992</v>
      </c>
      <c r="U669" t="s">
        <v>1992</v>
      </c>
      <c r="V669" t="s">
        <v>1991</v>
      </c>
      <c r="Y669" t="s">
        <v>1991</v>
      </c>
      <c r="AF669" t="s">
        <v>2064</v>
      </c>
      <c r="AG669" t="s">
        <v>1991</v>
      </c>
      <c r="AH669">
        <v>15</v>
      </c>
      <c r="AI669">
        <v>15</v>
      </c>
      <c r="AJ669" t="s">
        <v>6039</v>
      </c>
      <c r="AK669">
        <v>458</v>
      </c>
      <c r="AM669" t="s">
        <v>6040</v>
      </c>
      <c r="AN669" t="s">
        <v>6037</v>
      </c>
      <c r="AO669" t="s">
        <v>2063</v>
      </c>
      <c r="BF669" t="s">
        <v>1053</v>
      </c>
      <c r="BG669" t="s">
        <v>968</v>
      </c>
      <c r="BH669" t="s">
        <v>969</v>
      </c>
      <c r="BI669" t="s">
        <v>1053</v>
      </c>
      <c r="BK669" t="s">
        <v>1053</v>
      </c>
      <c r="BO669" t="s">
        <v>1053</v>
      </c>
      <c r="BP669" t="s">
        <v>712</v>
      </c>
      <c r="BQ669" t="s">
        <v>2055</v>
      </c>
      <c r="BR669" t="s">
        <v>1053</v>
      </c>
      <c r="BT669" t="s">
        <v>1053</v>
      </c>
      <c r="BX669" t="str">
        <f>""</f>
        <v/>
      </c>
      <c r="BY669" t="str">
        <f>""</f>
        <v/>
      </c>
      <c r="BZ669" t="str">
        <f>""</f>
        <v/>
      </c>
      <c r="CA669" t="str">
        <f>""</f>
        <v/>
      </c>
      <c r="CB669" t="str">
        <f>""</f>
        <v/>
      </c>
      <c r="CC669" t="str">
        <f>""</f>
        <v/>
      </c>
      <c r="CD669" t="str">
        <f>""</f>
        <v/>
      </c>
      <c r="CE669" t="str">
        <f>""</f>
        <v/>
      </c>
      <c r="CF669" t="str">
        <f>""</f>
        <v/>
      </c>
      <c r="CG669" t="str">
        <f>""</f>
        <v/>
      </c>
      <c r="CH669" t="str">
        <f>""</f>
        <v/>
      </c>
    </row>
    <row r="670" spans="1:86" x14ac:dyDescent="0.25">
      <c r="A670" t="s">
        <v>6041</v>
      </c>
      <c r="B670" t="s">
        <v>6042</v>
      </c>
      <c r="C670" t="s">
        <v>1992</v>
      </c>
      <c r="D670" t="s">
        <v>1993</v>
      </c>
      <c r="E670" t="s">
        <v>6043</v>
      </c>
      <c r="F670" t="s">
        <v>6044</v>
      </c>
      <c r="H670" t="s">
        <v>6045</v>
      </c>
      <c r="I670" t="s">
        <v>2352</v>
      </c>
      <c r="J670" t="str">
        <f>"49769"</f>
        <v>49769</v>
      </c>
      <c r="K670" t="s">
        <v>1998</v>
      </c>
      <c r="L670" t="s">
        <v>1999</v>
      </c>
      <c r="M670" t="s">
        <v>3520</v>
      </c>
      <c r="N670" t="s">
        <v>1992</v>
      </c>
      <c r="O670" t="s">
        <v>1992</v>
      </c>
      <c r="P670" t="s">
        <v>1992</v>
      </c>
      <c r="Q670" t="s">
        <v>1992</v>
      </c>
      <c r="R670" t="s">
        <v>1992</v>
      </c>
      <c r="S670" t="s">
        <v>1992</v>
      </c>
      <c r="T670" t="s">
        <v>1992</v>
      </c>
      <c r="U670" t="s">
        <v>1992</v>
      </c>
      <c r="V670" t="s">
        <v>1991</v>
      </c>
      <c r="W670" t="s">
        <v>1992</v>
      </c>
      <c r="X670" t="s">
        <v>1992</v>
      </c>
      <c r="Y670" t="s">
        <v>1992</v>
      </c>
      <c r="Z670" t="s">
        <v>1991</v>
      </c>
      <c r="AF670" t="s">
        <v>2016</v>
      </c>
      <c r="AG670" t="s">
        <v>1991</v>
      </c>
      <c r="AH670">
        <v>30</v>
      </c>
      <c r="AI670">
        <v>30</v>
      </c>
      <c r="AJ670" t="s">
        <v>6046</v>
      </c>
      <c r="AK670">
        <v>696</v>
      </c>
      <c r="AL670">
        <v>580</v>
      </c>
      <c r="BF670" t="s">
        <v>1053</v>
      </c>
      <c r="BG670" t="s">
        <v>643</v>
      </c>
      <c r="BH670" t="s">
        <v>2312</v>
      </c>
      <c r="BI670" t="s">
        <v>1053</v>
      </c>
      <c r="BK670" t="s">
        <v>1053</v>
      </c>
      <c r="BM670" t="s">
        <v>2313</v>
      </c>
      <c r="BN670" t="s">
        <v>2314</v>
      </c>
      <c r="BO670" t="s">
        <v>1053</v>
      </c>
      <c r="BP670" t="s">
        <v>542</v>
      </c>
      <c r="BQ670" t="s">
        <v>2316</v>
      </c>
      <c r="BR670" t="s">
        <v>1053</v>
      </c>
      <c r="BT670" t="s">
        <v>1053</v>
      </c>
      <c r="BX670" t="str">
        <f>""</f>
        <v/>
      </c>
      <c r="BY670" t="str">
        <f>""</f>
        <v/>
      </c>
      <c r="BZ670" t="str">
        <f>""</f>
        <v/>
      </c>
      <c r="CA670" t="str">
        <f>""</f>
        <v/>
      </c>
      <c r="CB670" t="str">
        <f>""</f>
        <v/>
      </c>
      <c r="CC670" t="str">
        <f>""</f>
        <v/>
      </c>
      <c r="CD670" t="str">
        <f>""</f>
        <v/>
      </c>
      <c r="CE670" t="str">
        <f>""</f>
        <v/>
      </c>
      <c r="CF670" t="str">
        <f>""</f>
        <v/>
      </c>
      <c r="CG670" t="str">
        <f>""</f>
        <v/>
      </c>
      <c r="CH670" t="str">
        <f>""</f>
        <v/>
      </c>
    </row>
    <row r="671" spans="1:86" x14ac:dyDescent="0.25">
      <c r="A671" t="s">
        <v>6047</v>
      </c>
      <c r="B671" t="s">
        <v>6048</v>
      </c>
      <c r="C671" t="s">
        <v>1991</v>
      </c>
      <c r="D671" t="s">
        <v>2010</v>
      </c>
      <c r="E671" t="s">
        <v>6049</v>
      </c>
      <c r="F671" t="s">
        <v>6050</v>
      </c>
      <c r="H671" t="s">
        <v>6051</v>
      </c>
      <c r="I671" t="s">
        <v>2405</v>
      </c>
      <c r="J671" t="str">
        <f>"23803-1642"</f>
        <v>23803-1642</v>
      </c>
      <c r="K671" t="s">
        <v>1998</v>
      </c>
      <c r="L671" t="s">
        <v>408</v>
      </c>
      <c r="M671" t="s">
        <v>6052</v>
      </c>
      <c r="N671" t="s">
        <v>1991</v>
      </c>
      <c r="O671" t="s">
        <v>1992</v>
      </c>
      <c r="P671" t="s">
        <v>1992</v>
      </c>
      <c r="Q671" t="s">
        <v>1991</v>
      </c>
      <c r="R671" t="s">
        <v>1991</v>
      </c>
      <c r="S671" t="s">
        <v>1992</v>
      </c>
      <c r="T671" t="s">
        <v>1992</v>
      </c>
      <c r="U671" t="s">
        <v>1991</v>
      </c>
      <c r="V671" t="s">
        <v>1991</v>
      </c>
      <c r="W671" t="s">
        <v>1991</v>
      </c>
      <c r="X671" t="s">
        <v>1992</v>
      </c>
      <c r="Y671" t="s">
        <v>1992</v>
      </c>
      <c r="Z671" t="s">
        <v>1992</v>
      </c>
      <c r="AE671" t="s">
        <v>2047</v>
      </c>
      <c r="AF671" t="s">
        <v>2016</v>
      </c>
      <c r="AG671" t="s">
        <v>1991</v>
      </c>
      <c r="AH671">
        <v>60</v>
      </c>
      <c r="AI671">
        <v>30</v>
      </c>
      <c r="AJ671" t="s">
        <v>6053</v>
      </c>
      <c r="AK671">
        <v>103</v>
      </c>
      <c r="AN671" t="s">
        <v>1053</v>
      </c>
      <c r="AO671" t="s">
        <v>1053</v>
      </c>
      <c r="AP671" t="s">
        <v>2069</v>
      </c>
      <c r="AQ671" t="s">
        <v>1053</v>
      </c>
      <c r="AR671" t="s">
        <v>2069</v>
      </c>
      <c r="AS671" t="s">
        <v>6047</v>
      </c>
      <c r="AT671" t="s">
        <v>6054</v>
      </c>
      <c r="AU671" t="s">
        <v>1053</v>
      </c>
      <c r="AV671" t="s">
        <v>1053</v>
      </c>
      <c r="AW671" t="s">
        <v>2069</v>
      </c>
      <c r="AX671" t="s">
        <v>1053</v>
      </c>
      <c r="AY671" t="s">
        <v>2069</v>
      </c>
      <c r="AZ671" t="s">
        <v>6047</v>
      </c>
      <c r="BA671" t="s">
        <v>6054</v>
      </c>
      <c r="BB671" t="s">
        <v>1053</v>
      </c>
      <c r="BC671" t="s">
        <v>2069</v>
      </c>
      <c r="BD671" t="s">
        <v>1053</v>
      </c>
      <c r="BE671" t="s">
        <v>2069</v>
      </c>
      <c r="BF671" t="s">
        <v>1053</v>
      </c>
      <c r="BG671" t="s">
        <v>703</v>
      </c>
      <c r="BH671" t="s">
        <v>704</v>
      </c>
      <c r="BI671" t="s">
        <v>1053</v>
      </c>
      <c r="BJ671" t="s">
        <v>1053</v>
      </c>
      <c r="BK671" t="s">
        <v>1053</v>
      </c>
      <c r="BL671" t="s">
        <v>1053</v>
      </c>
      <c r="BM671" t="s">
        <v>705</v>
      </c>
      <c r="BO671" t="s">
        <v>1053</v>
      </c>
      <c r="BP671" t="s">
        <v>2375</v>
      </c>
      <c r="BQ671" t="s">
        <v>427</v>
      </c>
      <c r="BR671" t="s">
        <v>1053</v>
      </c>
      <c r="BS671" t="s">
        <v>1053</v>
      </c>
      <c r="BT671" t="s">
        <v>1053</v>
      </c>
      <c r="BU671" t="s">
        <v>1053</v>
      </c>
      <c r="BV671" t="s">
        <v>416</v>
      </c>
      <c r="BW671" t="s">
        <v>417</v>
      </c>
      <c r="BX671" t="str">
        <f>"SMTWTFS 1000-1830"</f>
        <v>SMTWTFS 1000-1830</v>
      </c>
      <c r="BY671" t="str">
        <f>"SMTWTFS 1000-1830"</f>
        <v>SMTWTFS 1000-1830</v>
      </c>
      <c r="BZ671" t="str">
        <f>"SMTWTFS 1000-1830"</f>
        <v>SMTWTFS 1000-1830</v>
      </c>
      <c r="CA671" t="str">
        <f>"SMTWTFS 1000-1830"</f>
        <v>SMTWTFS 1000-1830</v>
      </c>
      <c r="CB671" t="str">
        <f>""</f>
        <v/>
      </c>
      <c r="CC671" t="str">
        <f>""</f>
        <v/>
      </c>
      <c r="CD671" t="str">
        <f>""</f>
        <v/>
      </c>
      <c r="CE671" t="str">
        <f>""</f>
        <v/>
      </c>
      <c r="CF671" t="str">
        <f>"SMTWTFS 1000-1830"</f>
        <v>SMTWTFS 1000-1830</v>
      </c>
      <c r="CG671" t="str">
        <f>""</f>
        <v/>
      </c>
      <c r="CH671" t="str">
        <f>"SMTWTFS 0000-2359"</f>
        <v>SMTWTFS 0000-2359</v>
      </c>
    </row>
    <row r="672" spans="1:86" x14ac:dyDescent="0.25">
      <c r="A672" t="s">
        <v>6055</v>
      </c>
      <c r="B672" t="s">
        <v>6056</v>
      </c>
      <c r="C672" t="s">
        <v>1992</v>
      </c>
      <c r="D672" t="s">
        <v>1993</v>
      </c>
      <c r="E672" t="s">
        <v>6057</v>
      </c>
      <c r="F672" t="s">
        <v>6058</v>
      </c>
      <c r="H672" t="s">
        <v>6059</v>
      </c>
      <c r="I672" t="s">
        <v>2061</v>
      </c>
      <c r="J672" t="str">
        <f>"94952"</f>
        <v>94952</v>
      </c>
      <c r="K672" t="s">
        <v>1998</v>
      </c>
      <c r="L672" t="s">
        <v>2062</v>
      </c>
      <c r="M672" t="s">
        <v>2063</v>
      </c>
      <c r="N672" t="s">
        <v>1992</v>
      </c>
      <c r="O672" t="s">
        <v>1992</v>
      </c>
      <c r="P672" t="s">
        <v>1992</v>
      </c>
      <c r="Q672" t="s">
        <v>1992</v>
      </c>
      <c r="R672" t="s">
        <v>1992</v>
      </c>
      <c r="S672" t="s">
        <v>1992</v>
      </c>
      <c r="T672" t="s">
        <v>1992</v>
      </c>
      <c r="U672" t="s">
        <v>1992</v>
      </c>
      <c r="V672" t="s">
        <v>1991</v>
      </c>
      <c r="W672" t="s">
        <v>1992</v>
      </c>
      <c r="X672" t="s">
        <v>1992</v>
      </c>
      <c r="Y672" t="s">
        <v>1991</v>
      </c>
      <c r="Z672" t="s">
        <v>1992</v>
      </c>
      <c r="AF672" t="s">
        <v>2064</v>
      </c>
      <c r="AG672" t="s">
        <v>1991</v>
      </c>
      <c r="AH672">
        <v>30</v>
      </c>
      <c r="AI672">
        <v>30</v>
      </c>
      <c r="AJ672" t="s">
        <v>6060</v>
      </c>
      <c r="AK672">
        <v>32</v>
      </c>
      <c r="AL672">
        <v>41300</v>
      </c>
      <c r="AM672" t="s">
        <v>2298</v>
      </c>
      <c r="BF672" t="s">
        <v>1053</v>
      </c>
      <c r="BG672" t="s">
        <v>309</v>
      </c>
      <c r="BH672" t="s">
        <v>2301</v>
      </c>
      <c r="BI672" t="s">
        <v>1053</v>
      </c>
      <c r="BK672" t="s">
        <v>1053</v>
      </c>
      <c r="BO672" t="s">
        <v>1053</v>
      </c>
      <c r="BP672" t="s">
        <v>5519</v>
      </c>
      <c r="BQ672" t="s">
        <v>1814</v>
      </c>
      <c r="BR672" t="s">
        <v>1053</v>
      </c>
      <c r="BX672" t="str">
        <f>""</f>
        <v/>
      </c>
      <c r="BY672" t="str">
        <f>""</f>
        <v/>
      </c>
      <c r="BZ672" t="str">
        <f>""</f>
        <v/>
      </c>
      <c r="CA672" t="str">
        <f>""</f>
        <v/>
      </c>
      <c r="CB672" t="str">
        <f>""</f>
        <v/>
      </c>
      <c r="CC672" t="str">
        <f>""</f>
        <v/>
      </c>
      <c r="CD672" t="str">
        <f>""</f>
        <v/>
      </c>
      <c r="CE672" t="str">
        <f>""</f>
        <v/>
      </c>
      <c r="CF672" t="str">
        <f>""</f>
        <v/>
      </c>
      <c r="CG672" t="str">
        <f>""</f>
        <v/>
      </c>
      <c r="CH672" t="str">
        <f>""</f>
        <v/>
      </c>
    </row>
    <row r="673" spans="1:86" x14ac:dyDescent="0.25">
      <c r="A673" t="s">
        <v>6061</v>
      </c>
      <c r="B673" t="s">
        <v>6062</v>
      </c>
      <c r="C673" t="s">
        <v>1992</v>
      </c>
      <c r="D673" t="s">
        <v>1993</v>
      </c>
      <c r="E673" t="s">
        <v>6063</v>
      </c>
      <c r="F673" t="s">
        <v>6064</v>
      </c>
      <c r="H673" t="s">
        <v>6065</v>
      </c>
      <c r="I673" t="s">
        <v>576</v>
      </c>
      <c r="J673" t="str">
        <f>"98846"</f>
        <v>98846</v>
      </c>
      <c r="K673" t="s">
        <v>1998</v>
      </c>
      <c r="L673" t="s">
        <v>2062</v>
      </c>
      <c r="M673" t="s">
        <v>2063</v>
      </c>
      <c r="N673" t="s">
        <v>1992</v>
      </c>
      <c r="O673" t="s">
        <v>1992</v>
      </c>
      <c r="P673" t="s">
        <v>1992</v>
      </c>
      <c r="Q673" t="s">
        <v>1992</v>
      </c>
      <c r="R673" t="s">
        <v>1992</v>
      </c>
      <c r="S673" t="s">
        <v>1992</v>
      </c>
      <c r="T673" t="s">
        <v>1992</v>
      </c>
      <c r="U673" t="s">
        <v>1992</v>
      </c>
      <c r="V673" t="s">
        <v>1991</v>
      </c>
      <c r="W673" t="s">
        <v>1992</v>
      </c>
      <c r="X673" t="s">
        <v>1992</v>
      </c>
      <c r="Y673" t="s">
        <v>1992</v>
      </c>
      <c r="Z673" t="s">
        <v>1991</v>
      </c>
      <c r="AF673" t="s">
        <v>2064</v>
      </c>
      <c r="AG673" t="s">
        <v>1991</v>
      </c>
      <c r="AH673">
        <v>30</v>
      </c>
      <c r="AI673">
        <v>30</v>
      </c>
      <c r="AJ673" t="s">
        <v>6066</v>
      </c>
      <c r="AK673">
        <v>800</v>
      </c>
      <c r="AM673" t="s">
        <v>2298</v>
      </c>
      <c r="AN673" t="s">
        <v>6067</v>
      </c>
      <c r="AO673" t="s">
        <v>1053</v>
      </c>
      <c r="BF673" t="s">
        <v>1053</v>
      </c>
      <c r="BG673" t="s">
        <v>394</v>
      </c>
      <c r="BH673" t="s">
        <v>311</v>
      </c>
      <c r="BI673" t="s">
        <v>1053</v>
      </c>
      <c r="BJ673" t="s">
        <v>1053</v>
      </c>
      <c r="BK673" t="s">
        <v>1053</v>
      </c>
      <c r="BL673" t="s">
        <v>1053</v>
      </c>
      <c r="BX673" t="str">
        <f>""</f>
        <v/>
      </c>
      <c r="BY673" t="str">
        <f>""</f>
        <v/>
      </c>
      <c r="BZ673" t="str">
        <f>""</f>
        <v/>
      </c>
      <c r="CA673" t="str">
        <f>""</f>
        <v/>
      </c>
      <c r="CB673" t="str">
        <f>""</f>
        <v/>
      </c>
      <c r="CC673" t="str">
        <f>""</f>
        <v/>
      </c>
      <c r="CD673" t="str">
        <f>""</f>
        <v/>
      </c>
      <c r="CE673" t="str">
        <f>""</f>
        <v/>
      </c>
      <c r="CF673" t="str">
        <f>""</f>
        <v/>
      </c>
      <c r="CG673" t="str">
        <f>""</f>
        <v/>
      </c>
      <c r="CH673" t="str">
        <f>""</f>
        <v/>
      </c>
    </row>
    <row r="674" spans="1:86" x14ac:dyDescent="0.25">
      <c r="A674" t="s">
        <v>6068</v>
      </c>
      <c r="B674" t="s">
        <v>6069</v>
      </c>
      <c r="C674" t="s">
        <v>1991</v>
      </c>
      <c r="D674" t="s">
        <v>2010</v>
      </c>
      <c r="E674" t="s">
        <v>6070</v>
      </c>
      <c r="H674" t="s">
        <v>6071</v>
      </c>
      <c r="I674" t="s">
        <v>2352</v>
      </c>
      <c r="J674" t="str">
        <f>"48060"</f>
        <v>48060</v>
      </c>
      <c r="K674" t="s">
        <v>1998</v>
      </c>
      <c r="L674" t="s">
        <v>1999</v>
      </c>
      <c r="M674" t="s">
        <v>6072</v>
      </c>
      <c r="N674" t="s">
        <v>1991</v>
      </c>
      <c r="O674" t="s">
        <v>1992</v>
      </c>
      <c r="P674" t="s">
        <v>1992</v>
      </c>
      <c r="Q674" t="s">
        <v>1992</v>
      </c>
      <c r="R674" t="s">
        <v>1992</v>
      </c>
      <c r="S674" t="s">
        <v>1992</v>
      </c>
      <c r="T674" t="s">
        <v>1992</v>
      </c>
      <c r="U674" t="s">
        <v>1992</v>
      </c>
      <c r="V674" t="s">
        <v>1991</v>
      </c>
      <c r="W674" t="s">
        <v>1991</v>
      </c>
      <c r="X674" t="s">
        <v>1992</v>
      </c>
      <c r="Y674" t="s">
        <v>1992</v>
      </c>
      <c r="Z674" t="s">
        <v>1992</v>
      </c>
      <c r="AA674" t="s">
        <v>1992</v>
      </c>
      <c r="AE674" t="s">
        <v>296</v>
      </c>
      <c r="AF674" t="s">
        <v>2016</v>
      </c>
      <c r="AG674" t="s">
        <v>1991</v>
      </c>
      <c r="AH674">
        <v>30</v>
      </c>
      <c r="AI674">
        <v>30</v>
      </c>
      <c r="AJ674" t="s">
        <v>6073</v>
      </c>
      <c r="AK674">
        <v>604</v>
      </c>
      <c r="AL674">
        <v>35796</v>
      </c>
      <c r="AM674" t="s">
        <v>6074</v>
      </c>
      <c r="AN674" t="s">
        <v>1053</v>
      </c>
      <c r="AO674" t="s">
        <v>1053</v>
      </c>
      <c r="AQ674" t="s">
        <v>1053</v>
      </c>
      <c r="AS674" t="s">
        <v>6068</v>
      </c>
      <c r="AT674" t="s">
        <v>6075</v>
      </c>
      <c r="AU674" t="s">
        <v>1053</v>
      </c>
      <c r="AV674" t="s">
        <v>1053</v>
      </c>
      <c r="AX674" t="s">
        <v>1053</v>
      </c>
      <c r="AZ674" t="s">
        <v>6068</v>
      </c>
      <c r="BB674" t="s">
        <v>1053</v>
      </c>
      <c r="BD674" t="s">
        <v>1053</v>
      </c>
      <c r="BF674" t="s">
        <v>1053</v>
      </c>
      <c r="BG674" t="s">
        <v>643</v>
      </c>
      <c r="BH674" t="s">
        <v>2312</v>
      </c>
      <c r="BI674" t="s">
        <v>1053</v>
      </c>
      <c r="BJ674" t="s">
        <v>2069</v>
      </c>
      <c r="BK674" t="s">
        <v>1053</v>
      </c>
      <c r="BL674" t="s">
        <v>2069</v>
      </c>
      <c r="BM674" t="s">
        <v>2313</v>
      </c>
      <c r="BN674" t="s">
        <v>2314</v>
      </c>
      <c r="BO674" t="s">
        <v>1053</v>
      </c>
      <c r="BP674" t="s">
        <v>301</v>
      </c>
      <c r="BQ674" t="s">
        <v>2316</v>
      </c>
      <c r="BR674" t="s">
        <v>1053</v>
      </c>
      <c r="BT674" t="s">
        <v>1053</v>
      </c>
      <c r="BX674" t="str">
        <f>"SMTWTFS 0000-0600 2230-2359"</f>
        <v>SMTWTFS 0000-0600 2230-2359</v>
      </c>
      <c r="BY674" t="str">
        <f>""</f>
        <v/>
      </c>
      <c r="BZ674" t="str">
        <f>"SMTWTFS 0000-0600 2200-2359"</f>
        <v>SMTWTFS 0000-0600 2200-2359</v>
      </c>
      <c r="CA674" t="str">
        <f>"SMTWTFS 0000-0600 2230-2359"</f>
        <v>SMTWTFS 0000-0600 2230-2359</v>
      </c>
      <c r="CB674" t="str">
        <f>"SMTWTFS 0000-0600 2200-2359"</f>
        <v>SMTWTFS 0000-0600 2200-2359</v>
      </c>
      <c r="CC674" t="str">
        <f>""</f>
        <v/>
      </c>
      <c r="CD674" t="str">
        <f>""</f>
        <v/>
      </c>
      <c r="CE674" t="str">
        <f>""</f>
        <v/>
      </c>
      <c r="CF674" t="str">
        <f>""</f>
        <v/>
      </c>
      <c r="CG674" t="str">
        <f>""</f>
        <v/>
      </c>
      <c r="CH674" t="str">
        <f>""</f>
        <v/>
      </c>
    </row>
    <row r="675" spans="1:86" x14ac:dyDescent="0.25">
      <c r="A675" t="s">
        <v>6076</v>
      </c>
      <c r="B675" t="s">
        <v>6077</v>
      </c>
      <c r="C675" t="s">
        <v>1992</v>
      </c>
      <c r="D675" t="s">
        <v>1993</v>
      </c>
      <c r="E675" t="s">
        <v>6078</v>
      </c>
      <c r="F675" t="s">
        <v>6079</v>
      </c>
      <c r="H675" t="s">
        <v>6080</v>
      </c>
      <c r="I675" t="s">
        <v>401</v>
      </c>
      <c r="J675" t="str">
        <f>"83855"</f>
        <v>83855</v>
      </c>
      <c r="K675" t="s">
        <v>1998</v>
      </c>
      <c r="L675" t="s">
        <v>231</v>
      </c>
      <c r="M675" t="s">
        <v>2000</v>
      </c>
      <c r="N675" t="s">
        <v>1992</v>
      </c>
      <c r="O675" t="s">
        <v>1992</v>
      </c>
      <c r="P675" t="s">
        <v>1992</v>
      </c>
      <c r="Q675" t="s">
        <v>1992</v>
      </c>
      <c r="R675" t="s">
        <v>1992</v>
      </c>
      <c r="S675" t="s">
        <v>1992</v>
      </c>
      <c r="T675" t="s">
        <v>1992</v>
      </c>
      <c r="U675" t="s">
        <v>1992</v>
      </c>
      <c r="V675" t="s">
        <v>1991</v>
      </c>
      <c r="Z675" t="s">
        <v>1991</v>
      </c>
      <c r="AF675" t="s">
        <v>2064</v>
      </c>
      <c r="AG675" t="s">
        <v>1991</v>
      </c>
      <c r="AH675">
        <v>15</v>
      </c>
      <c r="AI675">
        <v>15</v>
      </c>
      <c r="AJ675" t="s">
        <v>6081</v>
      </c>
      <c r="AK675">
        <v>2502</v>
      </c>
      <c r="BX675" t="str">
        <f>""</f>
        <v/>
      </c>
      <c r="BY675" t="str">
        <f>""</f>
        <v/>
      </c>
      <c r="BZ675" t="str">
        <f>""</f>
        <v/>
      </c>
      <c r="CA675" t="str">
        <f>""</f>
        <v/>
      </c>
      <c r="CB675" t="str">
        <f>""</f>
        <v/>
      </c>
      <c r="CC675" t="str">
        <f>""</f>
        <v/>
      </c>
      <c r="CD675" t="str">
        <f>""</f>
        <v/>
      </c>
      <c r="CE675" t="str">
        <f>""</f>
        <v/>
      </c>
      <c r="CF675" t="str">
        <f>""</f>
        <v/>
      </c>
      <c r="CG675" t="str">
        <f>""</f>
        <v/>
      </c>
      <c r="CH675" t="str">
        <f>""</f>
        <v/>
      </c>
    </row>
    <row r="676" spans="1:86" x14ac:dyDescent="0.25">
      <c r="A676" t="s">
        <v>6082</v>
      </c>
      <c r="B676" t="s">
        <v>6083</v>
      </c>
      <c r="C676" t="s">
        <v>1992</v>
      </c>
      <c r="D676" t="s">
        <v>2010</v>
      </c>
      <c r="E676" t="s">
        <v>6084</v>
      </c>
      <c r="F676" t="s">
        <v>6085</v>
      </c>
      <c r="H676" t="s">
        <v>6086</v>
      </c>
      <c r="I676" t="s">
        <v>660</v>
      </c>
      <c r="J676" t="str">
        <f>"03801-7126"</f>
        <v>03801-7126</v>
      </c>
      <c r="K676" t="s">
        <v>1998</v>
      </c>
      <c r="L676" t="s">
        <v>2033</v>
      </c>
      <c r="M676" t="s">
        <v>3994</v>
      </c>
      <c r="N676" t="s">
        <v>1992</v>
      </c>
      <c r="O676" t="s">
        <v>1992</v>
      </c>
      <c r="P676" t="s">
        <v>1992</v>
      </c>
      <c r="Q676" t="s">
        <v>1992</v>
      </c>
      <c r="R676" t="s">
        <v>1992</v>
      </c>
      <c r="S676" t="s">
        <v>1992</v>
      </c>
      <c r="T676" t="s">
        <v>1992</v>
      </c>
      <c r="U676" t="s">
        <v>1992</v>
      </c>
      <c r="V676" t="s">
        <v>1991</v>
      </c>
      <c r="Z676" t="s">
        <v>1991</v>
      </c>
      <c r="AE676" t="s">
        <v>3995</v>
      </c>
      <c r="AF676" t="s">
        <v>2016</v>
      </c>
      <c r="AG676" t="s">
        <v>1991</v>
      </c>
      <c r="AH676">
        <v>30</v>
      </c>
      <c r="AI676">
        <v>30</v>
      </c>
      <c r="AJ676" t="s">
        <v>6087</v>
      </c>
      <c r="AK676">
        <v>62</v>
      </c>
      <c r="BX676" t="str">
        <f>""</f>
        <v/>
      </c>
      <c r="BY676" t="str">
        <f>""</f>
        <v/>
      </c>
      <c r="BZ676" t="str">
        <f>""</f>
        <v/>
      </c>
      <c r="CA676" t="str">
        <f>""</f>
        <v/>
      </c>
      <c r="CB676" t="str">
        <f>""</f>
        <v/>
      </c>
      <c r="CC676" t="str">
        <f>""</f>
        <v/>
      </c>
      <c r="CD676" t="str">
        <f>""</f>
        <v/>
      </c>
      <c r="CE676" t="str">
        <f>""</f>
        <v/>
      </c>
      <c r="CF676" t="str">
        <f>""</f>
        <v/>
      </c>
      <c r="CG676" t="str">
        <f>""</f>
        <v/>
      </c>
      <c r="CH676" t="str">
        <f>""</f>
        <v/>
      </c>
    </row>
    <row r="677" spans="1:86" x14ac:dyDescent="0.25">
      <c r="A677" t="s">
        <v>6088</v>
      </c>
      <c r="B677" t="s">
        <v>6089</v>
      </c>
      <c r="C677" t="s">
        <v>1992</v>
      </c>
      <c r="D677" t="s">
        <v>2010</v>
      </c>
      <c r="E677" t="s">
        <v>6090</v>
      </c>
      <c r="F677" t="s">
        <v>305</v>
      </c>
      <c r="H677" t="s">
        <v>6091</v>
      </c>
      <c r="I677" t="s">
        <v>3629</v>
      </c>
      <c r="J677" t="str">
        <f>"81003"</f>
        <v>81003</v>
      </c>
      <c r="K677" t="s">
        <v>1998</v>
      </c>
      <c r="L677" t="s">
        <v>1999</v>
      </c>
      <c r="M677" t="s">
        <v>6092</v>
      </c>
      <c r="N677" t="s">
        <v>1992</v>
      </c>
      <c r="O677" t="s">
        <v>1992</v>
      </c>
      <c r="P677" t="s">
        <v>1992</v>
      </c>
      <c r="Q677" t="s">
        <v>1992</v>
      </c>
      <c r="R677" t="s">
        <v>1992</v>
      </c>
      <c r="S677" t="s">
        <v>1992</v>
      </c>
      <c r="T677" t="s">
        <v>1992</v>
      </c>
      <c r="U677" t="s">
        <v>1992</v>
      </c>
      <c r="V677" t="s">
        <v>1991</v>
      </c>
      <c r="W677" t="s">
        <v>1992</v>
      </c>
      <c r="X677" t="s">
        <v>1992</v>
      </c>
      <c r="Y677" t="s">
        <v>1992</v>
      </c>
      <c r="Z677" t="s">
        <v>1991</v>
      </c>
      <c r="AE677" t="s">
        <v>3631</v>
      </c>
      <c r="AF677" t="s">
        <v>2048</v>
      </c>
      <c r="AG677" t="s">
        <v>1991</v>
      </c>
      <c r="AH677">
        <v>30</v>
      </c>
      <c r="AI677">
        <v>30</v>
      </c>
      <c r="AJ677" t="s">
        <v>6093</v>
      </c>
      <c r="AK677">
        <v>4663</v>
      </c>
      <c r="AL677">
        <v>99600</v>
      </c>
      <c r="AM677" t="s">
        <v>2298</v>
      </c>
      <c r="AN677" t="s">
        <v>6094</v>
      </c>
      <c r="AO677" t="s">
        <v>2063</v>
      </c>
      <c r="BF677" t="s">
        <v>1053</v>
      </c>
      <c r="BG677" t="s">
        <v>6095</v>
      </c>
      <c r="BH677" t="s">
        <v>367</v>
      </c>
      <c r="BI677" t="s">
        <v>1053</v>
      </c>
      <c r="BJ677" t="s">
        <v>1053</v>
      </c>
      <c r="BO677" t="s">
        <v>1053</v>
      </c>
      <c r="BP677" t="s">
        <v>6096</v>
      </c>
      <c r="BQ677" t="s">
        <v>2055</v>
      </c>
      <c r="BR677" t="s">
        <v>1053</v>
      </c>
      <c r="BS677" t="s">
        <v>1053</v>
      </c>
      <c r="BV677" t="s">
        <v>2056</v>
      </c>
      <c r="BX677" t="str">
        <f>""</f>
        <v/>
      </c>
      <c r="BY677" t="str">
        <f>""</f>
        <v/>
      </c>
      <c r="BZ677" t="str">
        <f>""</f>
        <v/>
      </c>
      <c r="CA677" t="str">
        <f>""</f>
        <v/>
      </c>
      <c r="CB677" t="str">
        <f>""</f>
        <v/>
      </c>
      <c r="CC677" t="str">
        <f>""</f>
        <v/>
      </c>
      <c r="CD677" t="str">
        <f>""</f>
        <v/>
      </c>
      <c r="CE677" t="str">
        <f>""</f>
        <v/>
      </c>
      <c r="CF677" t="str">
        <f>""</f>
        <v/>
      </c>
      <c r="CG677" t="str">
        <f>""</f>
        <v/>
      </c>
      <c r="CH677" t="str">
        <f>""</f>
        <v/>
      </c>
    </row>
    <row r="678" spans="1:86" x14ac:dyDescent="0.25">
      <c r="A678" t="s">
        <v>6097</v>
      </c>
      <c r="B678" t="s">
        <v>6098</v>
      </c>
      <c r="C678" t="s">
        <v>1992</v>
      </c>
      <c r="D678" t="s">
        <v>2010</v>
      </c>
      <c r="E678" t="s">
        <v>6099</v>
      </c>
      <c r="F678" t="s">
        <v>6100</v>
      </c>
      <c r="H678" t="s">
        <v>6101</v>
      </c>
      <c r="I678" t="s">
        <v>576</v>
      </c>
      <c r="J678" t="str">
        <f>"99163-3429"</f>
        <v>99163-3429</v>
      </c>
      <c r="K678" t="s">
        <v>1998</v>
      </c>
      <c r="L678" t="s">
        <v>231</v>
      </c>
      <c r="M678" t="s">
        <v>6102</v>
      </c>
      <c r="N678" t="s">
        <v>1992</v>
      </c>
      <c r="O678" t="s">
        <v>1992</v>
      </c>
      <c r="P678" t="s">
        <v>1992</v>
      </c>
      <c r="Q678" t="s">
        <v>1992</v>
      </c>
      <c r="R678" t="s">
        <v>1992</v>
      </c>
      <c r="S678" t="s">
        <v>1992</v>
      </c>
      <c r="T678" t="s">
        <v>1992</v>
      </c>
      <c r="U678" t="s">
        <v>1992</v>
      </c>
      <c r="V678" t="s">
        <v>1991</v>
      </c>
      <c r="W678" t="s">
        <v>1992</v>
      </c>
      <c r="X678" t="s">
        <v>1992</v>
      </c>
      <c r="Y678" t="s">
        <v>1992</v>
      </c>
      <c r="Z678" t="s">
        <v>1991</v>
      </c>
      <c r="AE678" t="s">
        <v>746</v>
      </c>
      <c r="AF678" t="s">
        <v>2064</v>
      </c>
      <c r="AG678" t="s">
        <v>1991</v>
      </c>
      <c r="AH678">
        <v>30</v>
      </c>
      <c r="AI678">
        <v>30</v>
      </c>
      <c r="AJ678" t="s">
        <v>6103</v>
      </c>
      <c r="AK678">
        <v>2359</v>
      </c>
      <c r="AL678">
        <v>23600</v>
      </c>
      <c r="AM678" t="s">
        <v>2298</v>
      </c>
      <c r="AN678" t="s">
        <v>6104</v>
      </c>
      <c r="AO678" t="s">
        <v>1053</v>
      </c>
      <c r="BF678" t="s">
        <v>1053</v>
      </c>
      <c r="BG678" t="s">
        <v>394</v>
      </c>
      <c r="BH678" t="s">
        <v>311</v>
      </c>
      <c r="BI678" t="s">
        <v>1053</v>
      </c>
      <c r="BJ678" t="s">
        <v>1053</v>
      </c>
      <c r="BK678" t="s">
        <v>1053</v>
      </c>
      <c r="BL678" t="s">
        <v>1053</v>
      </c>
      <c r="BX678" t="str">
        <f>"-MTWTF- 0645-0800 1100-1600; ------S 0645-0800 1400-1600"</f>
        <v>-MTWTF- 0645-0800 1100-1600; ------S 0645-0800 1400-1600</v>
      </c>
      <c r="BY678" t="str">
        <f>""</f>
        <v/>
      </c>
      <c r="BZ678" t="str">
        <f>""</f>
        <v/>
      </c>
      <c r="CA678" t="str">
        <f>""</f>
        <v/>
      </c>
      <c r="CB678" t="str">
        <f>"-MTWTF- 0645-0800 1100-1600; ------S 0645-0800 1400-1600"</f>
        <v>-MTWTF- 0645-0800 1100-1600; ------S 0645-0800 1400-1600</v>
      </c>
      <c r="CC678" t="str">
        <f>""</f>
        <v/>
      </c>
      <c r="CD678" t="str">
        <f>""</f>
        <v/>
      </c>
      <c r="CE678" t="str">
        <f>""</f>
        <v/>
      </c>
      <c r="CF678" t="str">
        <f>""</f>
        <v/>
      </c>
      <c r="CG678" t="str">
        <f>""</f>
        <v/>
      </c>
      <c r="CH678" t="str">
        <f>""</f>
        <v/>
      </c>
    </row>
    <row r="679" spans="1:86" x14ac:dyDescent="0.25">
      <c r="A679" t="s">
        <v>6105</v>
      </c>
      <c r="B679" t="s">
        <v>6106</v>
      </c>
      <c r="C679" t="s">
        <v>1992</v>
      </c>
      <c r="D679" t="s">
        <v>2010</v>
      </c>
      <c r="E679" t="s">
        <v>6107</v>
      </c>
      <c r="H679" t="s">
        <v>6108</v>
      </c>
      <c r="I679" t="s">
        <v>2095</v>
      </c>
      <c r="J679" t="str">
        <f>"73080"</f>
        <v>73080</v>
      </c>
      <c r="K679" t="s">
        <v>1998</v>
      </c>
      <c r="L679" t="s">
        <v>1999</v>
      </c>
      <c r="M679" t="s">
        <v>2063</v>
      </c>
      <c r="N679" t="s">
        <v>1992</v>
      </c>
      <c r="O679" t="s">
        <v>1992</v>
      </c>
      <c r="P679" t="s">
        <v>1992</v>
      </c>
      <c r="Q679" t="s">
        <v>1992</v>
      </c>
      <c r="R679" t="s">
        <v>1992</v>
      </c>
      <c r="S679" t="s">
        <v>1992</v>
      </c>
      <c r="T679" t="s">
        <v>1992</v>
      </c>
      <c r="U679" t="s">
        <v>1992</v>
      </c>
      <c r="V679" t="s">
        <v>1991</v>
      </c>
      <c r="W679" t="s">
        <v>1991</v>
      </c>
      <c r="X679" t="s">
        <v>1992</v>
      </c>
      <c r="Y679" t="s">
        <v>1992</v>
      </c>
      <c r="Z679" t="s">
        <v>1992</v>
      </c>
      <c r="AF679" t="s">
        <v>2001</v>
      </c>
      <c r="AG679" t="s">
        <v>1991</v>
      </c>
      <c r="AH679">
        <v>30</v>
      </c>
      <c r="AI679">
        <v>30</v>
      </c>
      <c r="AJ679" t="s">
        <v>6109</v>
      </c>
      <c r="AK679">
        <v>1037</v>
      </c>
      <c r="AL679">
        <v>6129</v>
      </c>
      <c r="AN679" t="s">
        <v>425</v>
      </c>
      <c r="AO679" t="s">
        <v>2063</v>
      </c>
      <c r="BF679" t="s">
        <v>1053</v>
      </c>
      <c r="BG679" t="s">
        <v>6110</v>
      </c>
      <c r="BH679" t="s">
        <v>2098</v>
      </c>
      <c r="BI679" t="s">
        <v>1053</v>
      </c>
      <c r="BJ679" t="s">
        <v>2069</v>
      </c>
      <c r="BK679" t="s">
        <v>1053</v>
      </c>
      <c r="BL679" t="s">
        <v>2069</v>
      </c>
      <c r="BM679" t="s">
        <v>2099</v>
      </c>
      <c r="BN679" t="s">
        <v>2100</v>
      </c>
      <c r="BO679" t="s">
        <v>1053</v>
      </c>
      <c r="BP679" t="s">
        <v>2101</v>
      </c>
      <c r="BQ679" t="s">
        <v>2055</v>
      </c>
      <c r="BR679" t="s">
        <v>1053</v>
      </c>
      <c r="BS679" t="s">
        <v>1053</v>
      </c>
      <c r="BT679" t="s">
        <v>1053</v>
      </c>
      <c r="BU679" t="s">
        <v>1053</v>
      </c>
      <c r="BV679" t="s">
        <v>2056</v>
      </c>
      <c r="BX679" t="str">
        <f>"SMTWTFS 0909-2051"</f>
        <v>SMTWTFS 0909-2051</v>
      </c>
      <c r="BY679" t="str">
        <f>""</f>
        <v/>
      </c>
      <c r="BZ679" t="str">
        <f>""</f>
        <v/>
      </c>
      <c r="CA679" t="str">
        <f>""</f>
        <v/>
      </c>
      <c r="CB679" t="str">
        <f>""</f>
        <v/>
      </c>
      <c r="CC679" t="str">
        <f>""</f>
        <v/>
      </c>
      <c r="CD679" t="str">
        <f>""</f>
        <v/>
      </c>
      <c r="CE679" t="str">
        <f>""</f>
        <v/>
      </c>
      <c r="CF679" t="str">
        <f>""</f>
        <v/>
      </c>
      <c r="CG679" t="str">
        <f>""</f>
        <v/>
      </c>
      <c r="CH679" t="str">
        <f>""</f>
        <v/>
      </c>
    </row>
    <row r="680" spans="1:86" x14ac:dyDescent="0.25">
      <c r="A680" t="s">
        <v>159</v>
      </c>
      <c r="B680" t="s">
        <v>6111</v>
      </c>
      <c r="C680" t="s">
        <v>1991</v>
      </c>
      <c r="D680" t="s">
        <v>2010</v>
      </c>
      <c r="E680" t="s">
        <v>6112</v>
      </c>
      <c r="H680" t="s">
        <v>6113</v>
      </c>
      <c r="I680" t="s">
        <v>154</v>
      </c>
      <c r="J680" t="str">
        <f>"02903"</f>
        <v>02903</v>
      </c>
      <c r="K680" t="s">
        <v>1998</v>
      </c>
      <c r="L680" t="s">
        <v>2033</v>
      </c>
      <c r="M680" t="s">
        <v>161</v>
      </c>
      <c r="N680" t="s">
        <v>1991</v>
      </c>
      <c r="O680" t="s">
        <v>1991</v>
      </c>
      <c r="P680" t="s">
        <v>1992</v>
      </c>
      <c r="Q680" t="s">
        <v>1991</v>
      </c>
      <c r="R680" t="s">
        <v>1991</v>
      </c>
      <c r="S680" t="s">
        <v>1992</v>
      </c>
      <c r="T680" t="s">
        <v>1992</v>
      </c>
      <c r="U680" t="s">
        <v>1991</v>
      </c>
      <c r="V680" t="s">
        <v>1991</v>
      </c>
      <c r="W680" t="s">
        <v>1991</v>
      </c>
      <c r="X680" t="s">
        <v>1991</v>
      </c>
      <c r="Y680" t="s">
        <v>1992</v>
      </c>
      <c r="Z680" t="s">
        <v>1992</v>
      </c>
      <c r="AA680" t="s">
        <v>1992</v>
      </c>
      <c r="AE680" t="s">
        <v>2047</v>
      </c>
      <c r="AF680" t="s">
        <v>2016</v>
      </c>
      <c r="AG680" t="s">
        <v>1991</v>
      </c>
      <c r="AH680">
        <v>60</v>
      </c>
      <c r="AI680">
        <v>30</v>
      </c>
      <c r="AJ680" t="s">
        <v>6114</v>
      </c>
      <c r="AK680">
        <v>17</v>
      </c>
      <c r="AL680">
        <v>175000</v>
      </c>
      <c r="AN680" t="s">
        <v>1053</v>
      </c>
      <c r="AO680" t="s">
        <v>1053</v>
      </c>
      <c r="AP680" t="s">
        <v>1053</v>
      </c>
      <c r="AQ680" t="s">
        <v>1053</v>
      </c>
      <c r="AR680" t="s">
        <v>1053</v>
      </c>
      <c r="AS680" t="s">
        <v>159</v>
      </c>
      <c r="AT680" t="s">
        <v>6115</v>
      </c>
      <c r="AU680" t="s">
        <v>1053</v>
      </c>
      <c r="AV680" t="s">
        <v>1053</v>
      </c>
      <c r="AW680" t="s">
        <v>1053</v>
      </c>
      <c r="AX680" t="s">
        <v>1053</v>
      </c>
      <c r="AY680" t="s">
        <v>1053</v>
      </c>
      <c r="AZ680" t="s">
        <v>159</v>
      </c>
      <c r="BA680" t="s">
        <v>160</v>
      </c>
      <c r="BB680" t="s">
        <v>1053</v>
      </c>
      <c r="BC680" t="s">
        <v>1053</v>
      </c>
      <c r="BD680" t="s">
        <v>1053</v>
      </c>
      <c r="BE680" t="s">
        <v>1053</v>
      </c>
      <c r="BF680" t="s">
        <v>1053</v>
      </c>
      <c r="BG680" t="s">
        <v>6116</v>
      </c>
      <c r="BH680" t="s">
        <v>522</v>
      </c>
      <c r="BI680" t="s">
        <v>1053</v>
      </c>
      <c r="BJ680" t="s">
        <v>1053</v>
      </c>
      <c r="BK680" t="s">
        <v>1053</v>
      </c>
      <c r="BL680" t="s">
        <v>1053</v>
      </c>
      <c r="BM680" t="s">
        <v>516</v>
      </c>
      <c r="BN680" t="s">
        <v>517</v>
      </c>
      <c r="BO680" t="s">
        <v>1053</v>
      </c>
      <c r="BP680" t="s">
        <v>1676</v>
      </c>
      <c r="BQ680" t="s">
        <v>6117</v>
      </c>
      <c r="BR680" t="s">
        <v>1053</v>
      </c>
      <c r="BS680" t="s">
        <v>1053</v>
      </c>
      <c r="BT680" t="s">
        <v>1053</v>
      </c>
      <c r="BU680" t="s">
        <v>1053</v>
      </c>
      <c r="BV680" t="s">
        <v>516</v>
      </c>
      <c r="BW680" t="s">
        <v>523</v>
      </c>
      <c r="BX680" t="str">
        <f>"SMTWTFS 0500-2330"</f>
        <v>SMTWTFS 0500-2330</v>
      </c>
      <c r="BY680" t="str">
        <f>"SMTWTFS 0530-2330"</f>
        <v>SMTWTFS 0530-2330</v>
      </c>
      <c r="BZ680" t="str">
        <f>"SMTWTFS 0530-2330"</f>
        <v>SMTWTFS 0530-2330</v>
      </c>
      <c r="CA680" t="str">
        <f>"S-----S 0600-2300; -MTWTF- 0500-2300"</f>
        <v>S-----S 0600-2300; -MTWTF- 0500-2300</v>
      </c>
      <c r="CB680" t="str">
        <f>""</f>
        <v/>
      </c>
      <c r="CC680" t="str">
        <f>"SMTWTFS 0000-0100 0500-2359"</f>
        <v>SMTWTFS 0000-0100 0500-2359</v>
      </c>
      <c r="CD680" t="str">
        <f>""</f>
        <v/>
      </c>
      <c r="CE680" t="str">
        <f>""</f>
        <v/>
      </c>
      <c r="CF680" t="str">
        <f>"SMTWTFS 0800-2100"</f>
        <v>SMTWTFS 0800-2100</v>
      </c>
      <c r="CG680" t="str">
        <f>""</f>
        <v/>
      </c>
      <c r="CH680" t="str">
        <f>""</f>
        <v/>
      </c>
    </row>
    <row r="681" spans="1:86" x14ac:dyDescent="0.25">
      <c r="A681" t="s">
        <v>6118</v>
      </c>
      <c r="B681" t="s">
        <v>6119</v>
      </c>
      <c r="C681" t="s">
        <v>1992</v>
      </c>
      <c r="D681" t="s">
        <v>2010</v>
      </c>
      <c r="E681" t="s">
        <v>6120</v>
      </c>
      <c r="H681" t="s">
        <v>6121</v>
      </c>
      <c r="I681" t="s">
        <v>2095</v>
      </c>
      <c r="J681" t="str">
        <f>"73075"</f>
        <v>73075</v>
      </c>
      <c r="K681" t="s">
        <v>1998</v>
      </c>
      <c r="L681" t="s">
        <v>2045</v>
      </c>
      <c r="M681" t="s">
        <v>2063</v>
      </c>
      <c r="N681" t="s">
        <v>1992</v>
      </c>
      <c r="O681" t="s">
        <v>1992</v>
      </c>
      <c r="P681" t="s">
        <v>1992</v>
      </c>
      <c r="Q681" t="s">
        <v>1992</v>
      </c>
      <c r="R681" t="s">
        <v>1992</v>
      </c>
      <c r="S681" t="s">
        <v>1992</v>
      </c>
      <c r="T681" t="s">
        <v>1992</v>
      </c>
      <c r="U681" t="s">
        <v>1992</v>
      </c>
      <c r="V681" t="s">
        <v>1991</v>
      </c>
      <c r="W681" t="s">
        <v>1991</v>
      </c>
      <c r="X681" t="s">
        <v>1992</v>
      </c>
      <c r="Y681" t="s">
        <v>1992</v>
      </c>
      <c r="Z681" t="s">
        <v>1992</v>
      </c>
      <c r="AF681" t="s">
        <v>2001</v>
      </c>
      <c r="AG681" t="s">
        <v>1991</v>
      </c>
      <c r="AH681">
        <v>30</v>
      </c>
      <c r="AI681">
        <v>30</v>
      </c>
      <c r="AJ681" t="s">
        <v>6122</v>
      </c>
      <c r="AK681">
        <v>873</v>
      </c>
      <c r="AL681">
        <v>6121</v>
      </c>
      <c r="AN681" t="s">
        <v>2066</v>
      </c>
      <c r="AO681" t="s">
        <v>2063</v>
      </c>
      <c r="BF681" t="s">
        <v>1053</v>
      </c>
      <c r="BG681" t="s">
        <v>2097</v>
      </c>
      <c r="BH681" t="s">
        <v>2098</v>
      </c>
      <c r="BI681" t="s">
        <v>1053</v>
      </c>
      <c r="BJ681" t="s">
        <v>2069</v>
      </c>
      <c r="BK681" t="s">
        <v>1053</v>
      </c>
      <c r="BL681" t="s">
        <v>2069</v>
      </c>
      <c r="BM681" t="s">
        <v>2099</v>
      </c>
      <c r="BN681" t="s">
        <v>2100</v>
      </c>
      <c r="BO681" t="s">
        <v>1053</v>
      </c>
      <c r="BP681" t="s">
        <v>2101</v>
      </c>
      <c r="BQ681" t="s">
        <v>2055</v>
      </c>
      <c r="BR681" t="s">
        <v>1053</v>
      </c>
      <c r="BS681" t="s">
        <v>1053</v>
      </c>
      <c r="BT681" t="s">
        <v>1053</v>
      </c>
      <c r="BU681" t="s">
        <v>1053</v>
      </c>
      <c r="BV681" t="s">
        <v>2056</v>
      </c>
      <c r="BX681" t="str">
        <f>"SMTWTFS 0934-2026"</f>
        <v>SMTWTFS 0934-2026</v>
      </c>
      <c r="BY681" t="str">
        <f>""</f>
        <v/>
      </c>
      <c r="BZ681" t="str">
        <f>""</f>
        <v/>
      </c>
      <c r="CA681" t="str">
        <f>""</f>
        <v/>
      </c>
      <c r="CB681" t="str">
        <f>""</f>
        <v/>
      </c>
      <c r="CC681" t="str">
        <f>""</f>
        <v/>
      </c>
      <c r="CD681" t="str">
        <f>""</f>
        <v/>
      </c>
      <c r="CE681" t="str">
        <f>""</f>
        <v/>
      </c>
      <c r="CF681" t="str">
        <f>""</f>
        <v/>
      </c>
      <c r="CG681" t="str">
        <f>""</f>
        <v/>
      </c>
      <c r="CH681" t="str">
        <f>""</f>
        <v/>
      </c>
    </row>
    <row r="682" spans="1:86" x14ac:dyDescent="0.25">
      <c r="A682" t="s">
        <v>6123</v>
      </c>
      <c r="B682" t="s">
        <v>6124</v>
      </c>
      <c r="C682" t="s">
        <v>1992</v>
      </c>
      <c r="D682" t="s">
        <v>2331</v>
      </c>
      <c r="E682" t="s">
        <v>6125</v>
      </c>
      <c r="F682" t="s">
        <v>6126</v>
      </c>
      <c r="G682" t="s">
        <v>6127</v>
      </c>
      <c r="H682" t="s">
        <v>4828</v>
      </c>
      <c r="I682" t="s">
        <v>586</v>
      </c>
      <c r="J682" t="str">
        <f>"85023"</f>
        <v>85023</v>
      </c>
      <c r="K682" t="s">
        <v>1998</v>
      </c>
      <c r="L682" t="s">
        <v>2045</v>
      </c>
      <c r="M682" t="s">
        <v>2063</v>
      </c>
      <c r="N682" t="s">
        <v>1992</v>
      </c>
      <c r="O682" t="s">
        <v>1992</v>
      </c>
      <c r="P682" t="s">
        <v>1992</v>
      </c>
      <c r="Q682" t="s">
        <v>1992</v>
      </c>
      <c r="R682" t="s">
        <v>1992</v>
      </c>
      <c r="S682" t="s">
        <v>1992</v>
      </c>
      <c r="T682" t="s">
        <v>1992</v>
      </c>
      <c r="U682" t="s">
        <v>1992</v>
      </c>
      <c r="V682" t="s">
        <v>1991</v>
      </c>
      <c r="W682" t="s">
        <v>1992</v>
      </c>
      <c r="X682" t="s">
        <v>1992</v>
      </c>
      <c r="Y682" t="s">
        <v>1992</v>
      </c>
      <c r="Z682" t="s">
        <v>1991</v>
      </c>
      <c r="AB682" t="s">
        <v>5199</v>
      </c>
      <c r="AF682" t="s">
        <v>2048</v>
      </c>
      <c r="AG682" t="s">
        <v>1992</v>
      </c>
      <c r="AH682">
        <v>30</v>
      </c>
      <c r="AI682">
        <v>30</v>
      </c>
      <c r="AJ682" t="s">
        <v>6128</v>
      </c>
      <c r="AK682">
        <v>1230</v>
      </c>
      <c r="AL682">
        <v>1500000</v>
      </c>
      <c r="AM682" t="s">
        <v>6129</v>
      </c>
      <c r="AN682" t="s">
        <v>4837</v>
      </c>
      <c r="AO682" t="s">
        <v>2063</v>
      </c>
      <c r="BF682" t="s">
        <v>1053</v>
      </c>
      <c r="BG682" t="s">
        <v>2019</v>
      </c>
      <c r="BH682" t="s">
        <v>2053</v>
      </c>
      <c r="BI682" t="s">
        <v>1053</v>
      </c>
      <c r="BO682" t="s">
        <v>1053</v>
      </c>
      <c r="BP682" t="s">
        <v>2101</v>
      </c>
      <c r="BQ682" t="s">
        <v>2055</v>
      </c>
      <c r="BR682" t="s">
        <v>1053</v>
      </c>
      <c r="BT682" t="s">
        <v>1053</v>
      </c>
      <c r="BU682" t="s">
        <v>1053</v>
      </c>
      <c r="BV682" t="s">
        <v>6130</v>
      </c>
      <c r="BX682" t="str">
        <f>""</f>
        <v/>
      </c>
      <c r="BY682" t="str">
        <f>""</f>
        <v/>
      </c>
      <c r="BZ682" t="str">
        <f>""</f>
        <v/>
      </c>
      <c r="CA682" t="str">
        <f>""</f>
        <v/>
      </c>
      <c r="CB682" t="str">
        <f>""</f>
        <v/>
      </c>
      <c r="CC682" t="str">
        <f>""</f>
        <v/>
      </c>
      <c r="CD682" t="str">
        <f>""</f>
        <v/>
      </c>
      <c r="CE682" t="str">
        <f>""</f>
        <v/>
      </c>
      <c r="CF682" t="str">
        <f>""</f>
        <v/>
      </c>
      <c r="CG682" t="str">
        <f>""</f>
        <v/>
      </c>
      <c r="CH682" t="str">
        <f>""</f>
        <v/>
      </c>
    </row>
    <row r="683" spans="1:86" x14ac:dyDescent="0.25">
      <c r="A683" t="s">
        <v>6131</v>
      </c>
      <c r="B683" t="s">
        <v>6132</v>
      </c>
      <c r="C683" t="s">
        <v>1992</v>
      </c>
      <c r="D683" t="s">
        <v>2028</v>
      </c>
      <c r="E683" t="s">
        <v>6133</v>
      </c>
      <c r="F683" t="s">
        <v>6134</v>
      </c>
      <c r="H683" t="s">
        <v>6135</v>
      </c>
      <c r="I683" t="s">
        <v>2405</v>
      </c>
      <c r="J683" t="str">
        <f>"22134-3444"</f>
        <v>22134-3444</v>
      </c>
      <c r="K683" t="s">
        <v>1998</v>
      </c>
      <c r="L683" t="s">
        <v>2015</v>
      </c>
      <c r="M683" t="s">
        <v>2063</v>
      </c>
      <c r="N683" t="s">
        <v>1992</v>
      </c>
      <c r="O683" t="s">
        <v>1992</v>
      </c>
      <c r="P683" t="s">
        <v>1992</v>
      </c>
      <c r="Q683" t="s">
        <v>1992</v>
      </c>
      <c r="R683" t="s">
        <v>1992</v>
      </c>
      <c r="S683" t="s">
        <v>1992</v>
      </c>
      <c r="T683" t="s">
        <v>1992</v>
      </c>
      <c r="U683" t="s">
        <v>1992</v>
      </c>
      <c r="V683" t="s">
        <v>1991</v>
      </c>
      <c r="W683" t="s">
        <v>1991</v>
      </c>
      <c r="X683" t="s">
        <v>1991</v>
      </c>
      <c r="Y683" t="s">
        <v>1992</v>
      </c>
      <c r="Z683" t="s">
        <v>1992</v>
      </c>
      <c r="AF683" t="s">
        <v>2016</v>
      </c>
      <c r="AG683" t="s">
        <v>1991</v>
      </c>
      <c r="AH683">
        <v>30</v>
      </c>
      <c r="AI683">
        <v>30</v>
      </c>
      <c r="AJ683" t="s">
        <v>6136</v>
      </c>
      <c r="AK683">
        <v>36</v>
      </c>
      <c r="AL683">
        <v>600</v>
      </c>
      <c r="AM683" t="s">
        <v>6137</v>
      </c>
      <c r="AN683" t="s">
        <v>6138</v>
      </c>
      <c r="AO683" t="s">
        <v>2063</v>
      </c>
      <c r="BF683" t="s">
        <v>1053</v>
      </c>
      <c r="BG683" t="s">
        <v>1054</v>
      </c>
      <c r="BH683" t="s">
        <v>4049</v>
      </c>
      <c r="BI683" t="s">
        <v>1053</v>
      </c>
      <c r="BJ683" t="s">
        <v>1053</v>
      </c>
      <c r="BK683" t="s">
        <v>1053</v>
      </c>
      <c r="BL683" t="s">
        <v>1053</v>
      </c>
      <c r="BM683" t="s">
        <v>2343</v>
      </c>
      <c r="BN683" t="s">
        <v>2344</v>
      </c>
      <c r="BO683" t="s">
        <v>1053</v>
      </c>
      <c r="BP683" t="s">
        <v>366</v>
      </c>
      <c r="BQ683" t="s">
        <v>367</v>
      </c>
      <c r="BR683" t="s">
        <v>1053</v>
      </c>
      <c r="BS683" t="s">
        <v>1053</v>
      </c>
      <c r="BT683" t="s">
        <v>1053</v>
      </c>
      <c r="BU683" t="s">
        <v>1053</v>
      </c>
      <c r="BV683" t="s">
        <v>2347</v>
      </c>
      <c r="BW683" t="s">
        <v>226</v>
      </c>
      <c r="BX683" t="str">
        <f>""</f>
        <v/>
      </c>
      <c r="BY683" t="str">
        <f>""</f>
        <v/>
      </c>
      <c r="BZ683" t="str">
        <f>""</f>
        <v/>
      </c>
      <c r="CA683" t="str">
        <f>""</f>
        <v/>
      </c>
      <c r="CB683" t="str">
        <f>""</f>
        <v/>
      </c>
      <c r="CC683" t="str">
        <f>""</f>
        <v/>
      </c>
      <c r="CD683" t="str">
        <f>""</f>
        <v/>
      </c>
      <c r="CE683" t="str">
        <f>""</f>
        <v/>
      </c>
      <c r="CF683" t="str">
        <f>""</f>
        <v/>
      </c>
      <c r="CG683" t="str">
        <f>""</f>
        <v/>
      </c>
      <c r="CH683" t="str">
        <f>""</f>
        <v/>
      </c>
    </row>
    <row r="684" spans="1:86" x14ac:dyDescent="0.25">
      <c r="A684" t="s">
        <v>6139</v>
      </c>
      <c r="B684" t="s">
        <v>6140</v>
      </c>
      <c r="C684" t="s">
        <v>1992</v>
      </c>
      <c r="D684" t="s">
        <v>2010</v>
      </c>
      <c r="E684" t="s">
        <v>6141</v>
      </c>
      <c r="H684" t="s">
        <v>6142</v>
      </c>
      <c r="I684" t="s">
        <v>2367</v>
      </c>
      <c r="J684" t="str">
        <f>"62301"</f>
        <v>62301</v>
      </c>
      <c r="K684" t="s">
        <v>1998</v>
      </c>
      <c r="L684" t="s">
        <v>1999</v>
      </c>
      <c r="M684" t="s">
        <v>2000</v>
      </c>
      <c r="N684" t="s">
        <v>1992</v>
      </c>
      <c r="O684" t="s">
        <v>1991</v>
      </c>
      <c r="P684" t="s">
        <v>1992</v>
      </c>
      <c r="Q684" t="s">
        <v>1992</v>
      </c>
      <c r="R684" t="s">
        <v>1992</v>
      </c>
      <c r="S684" t="s">
        <v>1992</v>
      </c>
      <c r="T684" t="s">
        <v>1992</v>
      </c>
      <c r="U684" t="s">
        <v>1992</v>
      </c>
      <c r="V684" t="s">
        <v>1991</v>
      </c>
      <c r="W684" t="s">
        <v>1991</v>
      </c>
      <c r="X684" t="s">
        <v>1992</v>
      </c>
      <c r="Y684" t="s">
        <v>1992</v>
      </c>
      <c r="Z684" t="s">
        <v>1992</v>
      </c>
      <c r="AF684" t="s">
        <v>2001</v>
      </c>
      <c r="AG684" t="s">
        <v>1991</v>
      </c>
      <c r="AH684">
        <v>30</v>
      </c>
      <c r="AI684">
        <v>30</v>
      </c>
      <c r="AJ684" t="s">
        <v>6143</v>
      </c>
      <c r="AK684">
        <v>623</v>
      </c>
      <c r="AL684">
        <v>40000</v>
      </c>
      <c r="AN684" t="s">
        <v>2066</v>
      </c>
      <c r="AO684" t="s">
        <v>2063</v>
      </c>
      <c r="BF684" t="s">
        <v>1053</v>
      </c>
      <c r="BG684" t="s">
        <v>1640</v>
      </c>
      <c r="BH684" t="s">
        <v>798</v>
      </c>
      <c r="BI684" t="s">
        <v>1053</v>
      </c>
      <c r="BJ684" t="s">
        <v>1053</v>
      </c>
      <c r="BK684" t="s">
        <v>1053</v>
      </c>
      <c r="BO684" t="s">
        <v>1053</v>
      </c>
      <c r="BP684" t="s">
        <v>653</v>
      </c>
      <c r="BQ684" t="s">
        <v>2376</v>
      </c>
      <c r="BR684" t="s">
        <v>1053</v>
      </c>
      <c r="BS684" t="s">
        <v>1053</v>
      </c>
      <c r="BT684" t="s">
        <v>1053</v>
      </c>
      <c r="BV684" t="s">
        <v>987</v>
      </c>
      <c r="BX684" t="str">
        <f>"SMTWTFS 0512-0712 1058-1258 1630-1830 2118-2318"</f>
        <v>SMTWTFS 0512-0712 1058-1258 1630-1830 2118-2318</v>
      </c>
      <c r="BY684" t="str">
        <f>""</f>
        <v/>
      </c>
      <c r="BZ684" t="str">
        <f>""</f>
        <v/>
      </c>
      <c r="CA684" t="str">
        <f>""</f>
        <v/>
      </c>
      <c r="CB684" t="str">
        <f>""</f>
        <v/>
      </c>
      <c r="CC684" t="str">
        <f>"SMTWTFS 0512-0712 1058-1258 1630-1830 2118-2318"</f>
        <v>SMTWTFS 0512-0712 1058-1258 1630-1830 2118-2318</v>
      </c>
      <c r="CD684" t="str">
        <f>""</f>
        <v/>
      </c>
      <c r="CE684" t="str">
        <f>""</f>
        <v/>
      </c>
      <c r="CF684" t="str">
        <f>""</f>
        <v/>
      </c>
      <c r="CG684" t="str">
        <f>""</f>
        <v/>
      </c>
      <c r="CH684" t="str">
        <f>""</f>
        <v/>
      </c>
    </row>
    <row r="685" spans="1:86" x14ac:dyDescent="0.25">
      <c r="A685" t="s">
        <v>6144</v>
      </c>
      <c r="B685" t="s">
        <v>6145</v>
      </c>
      <c r="C685" t="s">
        <v>1992</v>
      </c>
      <c r="D685" t="s">
        <v>1993</v>
      </c>
      <c r="E685" t="s">
        <v>6146</v>
      </c>
      <c r="F685" t="s">
        <v>6147</v>
      </c>
      <c r="H685" t="s">
        <v>6142</v>
      </c>
      <c r="I685" t="s">
        <v>576</v>
      </c>
      <c r="J685" t="str">
        <f>"98848-1497"</f>
        <v>98848-1497</v>
      </c>
      <c r="K685" t="s">
        <v>1998</v>
      </c>
      <c r="L685" t="s">
        <v>231</v>
      </c>
      <c r="M685" t="s">
        <v>2000</v>
      </c>
      <c r="N685" t="s">
        <v>1992</v>
      </c>
      <c r="O685" t="s">
        <v>1992</v>
      </c>
      <c r="P685" t="s">
        <v>1992</v>
      </c>
      <c r="Q685" t="s">
        <v>1992</v>
      </c>
      <c r="R685" t="s">
        <v>1992</v>
      </c>
      <c r="S685" t="s">
        <v>1992</v>
      </c>
      <c r="T685" t="s">
        <v>1992</v>
      </c>
      <c r="U685" t="s">
        <v>1992</v>
      </c>
      <c r="V685" t="s">
        <v>1991</v>
      </c>
      <c r="W685" t="s">
        <v>1992</v>
      </c>
      <c r="X685" t="s">
        <v>1992</v>
      </c>
      <c r="Y685" t="s">
        <v>1992</v>
      </c>
      <c r="Z685" t="s">
        <v>1991</v>
      </c>
      <c r="AF685" t="s">
        <v>2064</v>
      </c>
      <c r="AG685" t="s">
        <v>1991</v>
      </c>
      <c r="AH685">
        <v>30</v>
      </c>
      <c r="AI685">
        <v>30</v>
      </c>
      <c r="AJ685" t="s">
        <v>6148</v>
      </c>
      <c r="AK685">
        <v>1299</v>
      </c>
      <c r="AL685">
        <v>3738</v>
      </c>
      <c r="AM685" t="s">
        <v>2298</v>
      </c>
      <c r="BF685" t="s">
        <v>1053</v>
      </c>
      <c r="BG685" t="s">
        <v>394</v>
      </c>
      <c r="BH685" t="s">
        <v>311</v>
      </c>
      <c r="BI685" t="s">
        <v>1053</v>
      </c>
      <c r="BJ685" t="s">
        <v>1053</v>
      </c>
      <c r="BK685" t="s">
        <v>1053</v>
      </c>
      <c r="BL685" t="s">
        <v>1053</v>
      </c>
      <c r="BM685" t="s">
        <v>393</v>
      </c>
      <c r="BO685" t="s">
        <v>2038</v>
      </c>
      <c r="BP685" t="s">
        <v>2038</v>
      </c>
      <c r="BQ685" t="s">
        <v>2038</v>
      </c>
      <c r="BR685" t="s">
        <v>1053</v>
      </c>
      <c r="BX685" t="str">
        <f>""</f>
        <v/>
      </c>
      <c r="BY685" t="str">
        <f>""</f>
        <v/>
      </c>
      <c r="BZ685" t="str">
        <f>""</f>
        <v/>
      </c>
      <c r="CA685" t="str">
        <f>""</f>
        <v/>
      </c>
      <c r="CB685" t="str">
        <f>""</f>
        <v/>
      </c>
      <c r="CC685" t="str">
        <f>""</f>
        <v/>
      </c>
      <c r="CD685" t="str">
        <f>""</f>
        <v/>
      </c>
      <c r="CE685" t="str">
        <f>""</f>
        <v/>
      </c>
      <c r="CF685" t="str">
        <f>""</f>
        <v/>
      </c>
      <c r="CG685" t="str">
        <f>""</f>
        <v/>
      </c>
      <c r="CH685" t="str">
        <f>""</f>
        <v/>
      </c>
    </row>
    <row r="686" spans="1:86" x14ac:dyDescent="0.25">
      <c r="A686" t="s">
        <v>6149</v>
      </c>
      <c r="B686" t="s">
        <v>6150</v>
      </c>
      <c r="C686" t="s">
        <v>1991</v>
      </c>
      <c r="D686" t="s">
        <v>2010</v>
      </c>
      <c r="E686" t="s">
        <v>6151</v>
      </c>
      <c r="F686" t="s">
        <v>6152</v>
      </c>
      <c r="H686" t="s">
        <v>6153</v>
      </c>
      <c r="I686" t="s">
        <v>2044</v>
      </c>
      <c r="J686" t="str">
        <f>"87740-3903"</f>
        <v>87740-3903</v>
      </c>
      <c r="K686" t="s">
        <v>1998</v>
      </c>
      <c r="L686" t="s">
        <v>2045</v>
      </c>
      <c r="M686" t="s">
        <v>2000</v>
      </c>
      <c r="N686" t="s">
        <v>1991</v>
      </c>
      <c r="O686" t="s">
        <v>1992</v>
      </c>
      <c r="P686" t="s">
        <v>1992</v>
      </c>
      <c r="Q686" t="s">
        <v>1992</v>
      </c>
      <c r="R686" t="s">
        <v>1992</v>
      </c>
      <c r="S686" t="s">
        <v>1992</v>
      </c>
      <c r="T686" t="s">
        <v>1992</v>
      </c>
      <c r="U686" t="s">
        <v>1992</v>
      </c>
      <c r="V686" t="s">
        <v>1991</v>
      </c>
      <c r="W686" t="s">
        <v>1991</v>
      </c>
      <c r="X686" t="s">
        <v>1992</v>
      </c>
      <c r="Y686" t="s">
        <v>1992</v>
      </c>
      <c r="Z686" t="s">
        <v>1991</v>
      </c>
      <c r="AF686" t="s">
        <v>2048</v>
      </c>
      <c r="AG686" t="s">
        <v>1991</v>
      </c>
      <c r="AH686">
        <v>30</v>
      </c>
      <c r="AI686">
        <v>30</v>
      </c>
      <c r="AJ686" t="s">
        <v>6154</v>
      </c>
      <c r="AK686">
        <v>6661</v>
      </c>
      <c r="AL686">
        <v>8500</v>
      </c>
      <c r="AN686" t="s">
        <v>1053</v>
      </c>
      <c r="AO686" t="s">
        <v>1053</v>
      </c>
      <c r="AQ686" t="s">
        <v>1053</v>
      </c>
      <c r="AS686" t="s">
        <v>6149</v>
      </c>
      <c r="AT686" t="s">
        <v>6155</v>
      </c>
      <c r="BF686" t="s">
        <v>1053</v>
      </c>
      <c r="BG686" t="s">
        <v>6156</v>
      </c>
      <c r="BH686" t="s">
        <v>2053</v>
      </c>
      <c r="BI686" t="s">
        <v>1053</v>
      </c>
      <c r="BO686" t="s">
        <v>1053</v>
      </c>
      <c r="BP686" t="s">
        <v>542</v>
      </c>
      <c r="BQ686" t="s">
        <v>2055</v>
      </c>
      <c r="BR686" t="s">
        <v>1053</v>
      </c>
      <c r="BS686" t="s">
        <v>1053</v>
      </c>
      <c r="BV686" t="s">
        <v>2056</v>
      </c>
      <c r="BX686" t="str">
        <f>"S--WTFS 0930-1830"</f>
        <v>S--WTFS 0930-1830</v>
      </c>
      <c r="BY686" t="str">
        <f>""</f>
        <v/>
      </c>
      <c r="BZ686" t="str">
        <f>"S--WTFS 0930-1830"</f>
        <v>S--WTFS 0930-1830</v>
      </c>
      <c r="CA686" t="str">
        <f>"S--WTFS 0930-1830"</f>
        <v>S--WTFS 0930-1830</v>
      </c>
      <c r="CB686" t="str">
        <f>""</f>
        <v/>
      </c>
      <c r="CC686" t="str">
        <f>""</f>
        <v/>
      </c>
      <c r="CD686" t="str">
        <f>""</f>
        <v/>
      </c>
      <c r="CE686" t="str">
        <f>""</f>
        <v/>
      </c>
      <c r="CF686" t="str">
        <f>""</f>
        <v/>
      </c>
      <c r="CG686" t="str">
        <f>""</f>
        <v/>
      </c>
      <c r="CH686" t="str">
        <f>""</f>
        <v/>
      </c>
    </row>
    <row r="687" spans="1:86" x14ac:dyDescent="0.25">
      <c r="A687" t="s">
        <v>6157</v>
      </c>
      <c r="B687" t="s">
        <v>6158</v>
      </c>
      <c r="C687" t="s">
        <v>1992</v>
      </c>
      <c r="D687" t="s">
        <v>1993</v>
      </c>
      <c r="E687" t="s">
        <v>6159</v>
      </c>
      <c r="F687" t="s">
        <v>6160</v>
      </c>
      <c r="G687" t="s">
        <v>6161</v>
      </c>
      <c r="H687" t="s">
        <v>6162</v>
      </c>
      <c r="I687" t="s">
        <v>1797</v>
      </c>
      <c r="J687" t="str">
        <f>"V6X 2M9"</f>
        <v>V6X 2M9</v>
      </c>
      <c r="K687" t="s">
        <v>373</v>
      </c>
      <c r="L687" t="s">
        <v>2062</v>
      </c>
      <c r="M687" t="s">
        <v>2063</v>
      </c>
      <c r="N687" t="s">
        <v>1992</v>
      </c>
      <c r="O687" t="s">
        <v>1992</v>
      </c>
      <c r="P687" t="s">
        <v>1992</v>
      </c>
      <c r="Q687" t="s">
        <v>1992</v>
      </c>
      <c r="R687" t="s">
        <v>1992</v>
      </c>
      <c r="S687" t="s">
        <v>1992</v>
      </c>
      <c r="T687" t="s">
        <v>1992</v>
      </c>
      <c r="U687" t="s">
        <v>1992</v>
      </c>
      <c r="V687" t="s">
        <v>1991</v>
      </c>
      <c r="W687" t="s">
        <v>1992</v>
      </c>
      <c r="X687" t="s">
        <v>1992</v>
      </c>
      <c r="Y687" t="s">
        <v>1992</v>
      </c>
      <c r="Z687" t="s">
        <v>1991</v>
      </c>
      <c r="AA687" t="s">
        <v>1992</v>
      </c>
      <c r="AF687" t="s">
        <v>2064</v>
      </c>
      <c r="AG687" t="s">
        <v>1991</v>
      </c>
      <c r="AH687">
        <v>30</v>
      </c>
      <c r="AI687">
        <v>30</v>
      </c>
      <c r="AJ687" t="s">
        <v>6163</v>
      </c>
      <c r="AK687">
        <v>20</v>
      </c>
      <c r="AL687">
        <v>148867</v>
      </c>
      <c r="AM687" t="s">
        <v>2298</v>
      </c>
      <c r="AN687" t="s">
        <v>2066</v>
      </c>
      <c r="AO687" t="s">
        <v>2063</v>
      </c>
      <c r="AU687" t="s">
        <v>6164</v>
      </c>
      <c r="AV687" t="s">
        <v>1053</v>
      </c>
      <c r="BF687" t="s">
        <v>1053</v>
      </c>
      <c r="BG687" t="s">
        <v>394</v>
      </c>
      <c r="BH687" t="s">
        <v>311</v>
      </c>
      <c r="BI687" t="s">
        <v>1053</v>
      </c>
      <c r="BJ687" t="s">
        <v>1053</v>
      </c>
      <c r="BK687" t="s">
        <v>1053</v>
      </c>
      <c r="BL687" t="s">
        <v>1053</v>
      </c>
      <c r="BO687" t="s">
        <v>1053</v>
      </c>
      <c r="BP687" t="s">
        <v>6165</v>
      </c>
      <c r="BQ687" t="s">
        <v>240</v>
      </c>
      <c r="BR687" t="s">
        <v>1053</v>
      </c>
      <c r="BS687" t="s">
        <v>1053</v>
      </c>
      <c r="BT687" t="s">
        <v>1053</v>
      </c>
      <c r="BU687" t="s">
        <v>1053</v>
      </c>
      <c r="BX687" t="str">
        <f>""</f>
        <v/>
      </c>
      <c r="BY687" t="str">
        <f>""</f>
        <v/>
      </c>
      <c r="BZ687" t="str">
        <f>""</f>
        <v/>
      </c>
      <c r="CA687" t="str">
        <f>""</f>
        <v/>
      </c>
      <c r="CB687" t="str">
        <f>""</f>
        <v/>
      </c>
      <c r="CC687" t="str">
        <f>""</f>
        <v/>
      </c>
      <c r="CD687" t="str">
        <f>""</f>
        <v/>
      </c>
      <c r="CE687" t="str">
        <f>""</f>
        <v/>
      </c>
      <c r="CF687" t="str">
        <f>""</f>
        <v/>
      </c>
      <c r="CG687" t="str">
        <f>""</f>
        <v/>
      </c>
      <c r="CH687" t="str">
        <f>""</f>
        <v/>
      </c>
    </row>
    <row r="688" spans="1:86" x14ac:dyDescent="0.25">
      <c r="A688" t="s">
        <v>6166</v>
      </c>
      <c r="B688" t="s">
        <v>6167</v>
      </c>
      <c r="C688" t="s">
        <v>1992</v>
      </c>
      <c r="D688" t="s">
        <v>1993</v>
      </c>
      <c r="E688" t="s">
        <v>6168</v>
      </c>
      <c r="F688" t="s">
        <v>6169</v>
      </c>
      <c r="H688" t="s">
        <v>6170</v>
      </c>
      <c r="I688" t="s">
        <v>2061</v>
      </c>
      <c r="J688" t="str">
        <f>"96080-3802"</f>
        <v>96080-3802</v>
      </c>
      <c r="K688" t="s">
        <v>1998</v>
      </c>
      <c r="L688" t="s">
        <v>2062</v>
      </c>
      <c r="M688" t="s">
        <v>2000</v>
      </c>
      <c r="N688" t="s">
        <v>1992</v>
      </c>
      <c r="O688" t="s">
        <v>1992</v>
      </c>
      <c r="P688" t="s">
        <v>1992</v>
      </c>
      <c r="Q688" t="s">
        <v>1992</v>
      </c>
      <c r="R688" t="s">
        <v>1992</v>
      </c>
      <c r="S688" t="s">
        <v>1992</v>
      </c>
      <c r="T688" t="s">
        <v>1992</v>
      </c>
      <c r="U688" t="s">
        <v>1992</v>
      </c>
      <c r="V688" t="s">
        <v>1991</v>
      </c>
      <c r="W688" t="s">
        <v>1992</v>
      </c>
      <c r="X688" t="s">
        <v>1992</v>
      </c>
      <c r="Y688" t="s">
        <v>1991</v>
      </c>
      <c r="AF688" t="s">
        <v>2064</v>
      </c>
      <c r="AG688" t="s">
        <v>1991</v>
      </c>
      <c r="AH688">
        <v>30</v>
      </c>
      <c r="AI688">
        <v>30</v>
      </c>
      <c r="AJ688" t="s">
        <v>6171</v>
      </c>
      <c r="AK688">
        <v>303</v>
      </c>
      <c r="AL688">
        <v>94900</v>
      </c>
      <c r="AM688" t="s">
        <v>2298</v>
      </c>
      <c r="AN688" t="s">
        <v>308</v>
      </c>
      <c r="BF688" t="s">
        <v>1053</v>
      </c>
      <c r="BG688" t="s">
        <v>309</v>
      </c>
      <c r="BH688" t="s">
        <v>2301</v>
      </c>
      <c r="BI688" t="s">
        <v>1053</v>
      </c>
      <c r="BK688" t="s">
        <v>1053</v>
      </c>
      <c r="BO688" t="s">
        <v>1053</v>
      </c>
      <c r="BP688" t="s">
        <v>394</v>
      </c>
      <c r="BQ688" t="s">
        <v>311</v>
      </c>
      <c r="BR688" t="s">
        <v>1053</v>
      </c>
      <c r="BS688" t="s">
        <v>1053</v>
      </c>
      <c r="BT688" t="s">
        <v>1053</v>
      </c>
      <c r="BU688" t="s">
        <v>1053</v>
      </c>
      <c r="BX688" t="str">
        <f>""</f>
        <v/>
      </c>
      <c r="BY688" t="str">
        <f>""</f>
        <v/>
      </c>
      <c r="BZ688" t="str">
        <f>""</f>
        <v/>
      </c>
      <c r="CA688" t="str">
        <f>""</f>
        <v/>
      </c>
      <c r="CB688" t="str">
        <f>""</f>
        <v/>
      </c>
      <c r="CC688" t="str">
        <f>""</f>
        <v/>
      </c>
      <c r="CD688" t="str">
        <f>""</f>
        <v/>
      </c>
      <c r="CE688" t="str">
        <f>""</f>
        <v/>
      </c>
      <c r="CF688" t="str">
        <f>""</f>
        <v/>
      </c>
      <c r="CG688" t="str">
        <f>""</f>
        <v/>
      </c>
      <c r="CH688" t="str">
        <f>""</f>
        <v/>
      </c>
    </row>
    <row r="689" spans="1:86" x14ac:dyDescent="0.25">
      <c r="A689" t="s">
        <v>6172</v>
      </c>
      <c r="B689" t="s">
        <v>6173</v>
      </c>
      <c r="C689" t="s">
        <v>1992</v>
      </c>
      <c r="D689" t="s">
        <v>2010</v>
      </c>
      <c r="E689" t="s">
        <v>6174</v>
      </c>
      <c r="F689" t="s">
        <v>6175</v>
      </c>
      <c r="H689" t="s">
        <v>6176</v>
      </c>
      <c r="I689" t="s">
        <v>2367</v>
      </c>
      <c r="J689" t="str">
        <f>"61108-4606"</f>
        <v>61108-4606</v>
      </c>
      <c r="K689" t="s">
        <v>1998</v>
      </c>
      <c r="L689" t="s">
        <v>1999</v>
      </c>
      <c r="M689" t="s">
        <v>77</v>
      </c>
      <c r="N689" t="s">
        <v>1992</v>
      </c>
      <c r="O689" t="s">
        <v>1992</v>
      </c>
      <c r="P689" t="s">
        <v>1992</v>
      </c>
      <c r="Q689" t="s">
        <v>1992</v>
      </c>
      <c r="R689" t="s">
        <v>1992</v>
      </c>
      <c r="S689" t="s">
        <v>1992</v>
      </c>
      <c r="T689" t="s">
        <v>1992</v>
      </c>
      <c r="U689" t="s">
        <v>1992</v>
      </c>
      <c r="V689" t="s">
        <v>1991</v>
      </c>
      <c r="W689" t="s">
        <v>1992</v>
      </c>
      <c r="X689" t="s">
        <v>1992</v>
      </c>
      <c r="Y689" t="s">
        <v>1991</v>
      </c>
      <c r="Z689" t="s">
        <v>1991</v>
      </c>
      <c r="AF689" t="s">
        <v>2001</v>
      </c>
      <c r="AG689" t="s">
        <v>1991</v>
      </c>
      <c r="AH689">
        <v>30</v>
      </c>
      <c r="AI689">
        <v>30</v>
      </c>
      <c r="AJ689" t="s">
        <v>6177</v>
      </c>
      <c r="AK689">
        <v>837</v>
      </c>
      <c r="BX689" t="str">
        <f>""</f>
        <v/>
      </c>
      <c r="BY689" t="str">
        <f>""</f>
        <v/>
      </c>
      <c r="BZ689" t="str">
        <f>""</f>
        <v/>
      </c>
      <c r="CA689" t="str">
        <f>""</f>
        <v/>
      </c>
      <c r="CB689" t="str">
        <f>""</f>
        <v/>
      </c>
      <c r="CC689" t="str">
        <f>""</f>
        <v/>
      </c>
      <c r="CD689" t="str">
        <f>""</f>
        <v/>
      </c>
      <c r="CE689" t="str">
        <f>""</f>
        <v/>
      </c>
      <c r="CF689" t="str">
        <f>""</f>
        <v/>
      </c>
      <c r="CG689" t="str">
        <f>""</f>
        <v/>
      </c>
      <c r="CH689" t="str">
        <f>""</f>
        <v/>
      </c>
    </row>
    <row r="690" spans="1:86" x14ac:dyDescent="0.25">
      <c r="A690" t="s">
        <v>6178</v>
      </c>
      <c r="B690" t="s">
        <v>6179</v>
      </c>
      <c r="C690" t="s">
        <v>1992</v>
      </c>
      <c r="D690" t="s">
        <v>2010</v>
      </c>
      <c r="E690" t="s">
        <v>6180</v>
      </c>
      <c r="H690" t="s">
        <v>6181</v>
      </c>
      <c r="I690" t="s">
        <v>2061</v>
      </c>
      <c r="J690" t="str">
        <f>"96001-1712"</f>
        <v>96001-1712</v>
      </c>
      <c r="K690" t="s">
        <v>1998</v>
      </c>
      <c r="L690" t="s">
        <v>2062</v>
      </c>
      <c r="M690" t="s">
        <v>2063</v>
      </c>
      <c r="N690" t="s">
        <v>1992</v>
      </c>
      <c r="O690" t="s">
        <v>1992</v>
      </c>
      <c r="P690" t="s">
        <v>1992</v>
      </c>
      <c r="Q690" t="s">
        <v>1992</v>
      </c>
      <c r="R690" t="s">
        <v>1992</v>
      </c>
      <c r="S690" t="s">
        <v>1992</v>
      </c>
      <c r="T690" t="s">
        <v>1992</v>
      </c>
      <c r="U690" t="s">
        <v>1992</v>
      </c>
      <c r="V690" t="s">
        <v>1991</v>
      </c>
      <c r="W690" t="s">
        <v>1991</v>
      </c>
      <c r="X690" t="s">
        <v>1992</v>
      </c>
      <c r="Y690" t="s">
        <v>1991</v>
      </c>
      <c r="Z690" t="s">
        <v>1992</v>
      </c>
      <c r="AA690" t="s">
        <v>1991</v>
      </c>
      <c r="AF690" t="s">
        <v>2064</v>
      </c>
      <c r="AG690" t="s">
        <v>1991</v>
      </c>
      <c r="AH690">
        <v>30</v>
      </c>
      <c r="AI690">
        <v>30</v>
      </c>
      <c r="AJ690" t="s">
        <v>6182</v>
      </c>
      <c r="AK690">
        <v>560</v>
      </c>
      <c r="AL690">
        <v>90033</v>
      </c>
      <c r="AM690" t="s">
        <v>6183</v>
      </c>
      <c r="AN690" t="s">
        <v>2066</v>
      </c>
      <c r="AO690" t="s">
        <v>2063</v>
      </c>
      <c r="BF690" t="s">
        <v>1053</v>
      </c>
      <c r="BG690" t="s">
        <v>2067</v>
      </c>
      <c r="BH690" t="s">
        <v>3489</v>
      </c>
      <c r="BI690" t="s">
        <v>1053</v>
      </c>
      <c r="BK690" t="s">
        <v>1053</v>
      </c>
      <c r="BO690" t="s">
        <v>1053</v>
      </c>
      <c r="BP690" t="s">
        <v>675</v>
      </c>
      <c r="BQ690" t="s">
        <v>2073</v>
      </c>
      <c r="BR690" t="s">
        <v>1053</v>
      </c>
      <c r="BS690" t="s">
        <v>1053</v>
      </c>
      <c r="BX690" t="str">
        <f>"SMTWTFS 0100-0600"</f>
        <v>SMTWTFS 0100-0600</v>
      </c>
      <c r="BY690" t="str">
        <f>""</f>
        <v/>
      </c>
      <c r="BZ690" t="str">
        <f>""</f>
        <v/>
      </c>
      <c r="CA690" t="str">
        <f>""</f>
        <v/>
      </c>
      <c r="CB690" t="str">
        <f>""</f>
        <v/>
      </c>
      <c r="CC690" t="str">
        <f>""</f>
        <v/>
      </c>
      <c r="CD690" t="str">
        <f>""</f>
        <v/>
      </c>
      <c r="CE690" t="str">
        <f>""</f>
        <v/>
      </c>
      <c r="CF690" t="str">
        <f>""</f>
        <v/>
      </c>
      <c r="CG690" t="str">
        <f>""</f>
        <v/>
      </c>
      <c r="CH690" t="str">
        <f>""</f>
        <v/>
      </c>
    </row>
    <row r="691" spans="1:86" x14ac:dyDescent="0.25">
      <c r="A691" t="s">
        <v>6184</v>
      </c>
      <c r="B691" t="s">
        <v>6185</v>
      </c>
      <c r="C691" t="s">
        <v>1992</v>
      </c>
      <c r="D691" t="s">
        <v>1993</v>
      </c>
      <c r="E691" t="s">
        <v>6186</v>
      </c>
      <c r="F691" t="s">
        <v>6187</v>
      </c>
      <c r="G691" t="s">
        <v>6188</v>
      </c>
      <c r="H691" t="s">
        <v>6189</v>
      </c>
      <c r="I691" t="s">
        <v>2295</v>
      </c>
      <c r="J691" t="str">
        <f>"97756"</f>
        <v>97756</v>
      </c>
      <c r="K691" t="s">
        <v>1998</v>
      </c>
      <c r="L691" t="s">
        <v>231</v>
      </c>
      <c r="M691" t="s">
        <v>2063</v>
      </c>
      <c r="N691" t="s">
        <v>1992</v>
      </c>
      <c r="O691" t="s">
        <v>1992</v>
      </c>
      <c r="P691" t="s">
        <v>1992</v>
      </c>
      <c r="Q691" t="s">
        <v>1992</v>
      </c>
      <c r="R691" t="s">
        <v>1992</v>
      </c>
      <c r="S691" t="s">
        <v>1992</v>
      </c>
      <c r="T691" t="s">
        <v>1992</v>
      </c>
      <c r="U691" t="s">
        <v>1992</v>
      </c>
      <c r="V691" t="s">
        <v>1991</v>
      </c>
      <c r="W691" t="s">
        <v>1992</v>
      </c>
      <c r="X691" t="s">
        <v>1992</v>
      </c>
      <c r="Y691" t="s">
        <v>1992</v>
      </c>
      <c r="Z691" t="s">
        <v>1991</v>
      </c>
      <c r="AE691" t="s">
        <v>6190</v>
      </c>
      <c r="AF691" t="s">
        <v>2064</v>
      </c>
      <c r="AG691" t="s">
        <v>1991</v>
      </c>
      <c r="AH691">
        <v>30</v>
      </c>
      <c r="AI691">
        <v>30</v>
      </c>
      <c r="AJ691" t="s">
        <v>6191</v>
      </c>
      <c r="AK691">
        <v>3063</v>
      </c>
      <c r="AM691" t="s">
        <v>2298</v>
      </c>
      <c r="AN691" t="s">
        <v>450</v>
      </c>
      <c r="AO691" t="s">
        <v>2063</v>
      </c>
      <c r="BF691" t="s">
        <v>1053</v>
      </c>
      <c r="BG691" t="s">
        <v>394</v>
      </c>
      <c r="BH691" t="s">
        <v>311</v>
      </c>
      <c r="BI691" t="s">
        <v>1053</v>
      </c>
      <c r="BJ691" t="s">
        <v>1053</v>
      </c>
      <c r="BK691" t="s">
        <v>1053</v>
      </c>
      <c r="BL691" t="s">
        <v>1053</v>
      </c>
      <c r="BX691" t="str">
        <f>""</f>
        <v/>
      </c>
      <c r="BY691" t="str">
        <f>""</f>
        <v/>
      </c>
      <c r="BZ691" t="str">
        <f>""</f>
        <v/>
      </c>
      <c r="CA691" t="str">
        <f>""</f>
        <v/>
      </c>
      <c r="CB691" t="str">
        <f>""</f>
        <v/>
      </c>
      <c r="CC691" t="str">
        <f>""</f>
        <v/>
      </c>
      <c r="CD691" t="str">
        <f>""</f>
        <v/>
      </c>
      <c r="CE691" t="str">
        <f>""</f>
        <v/>
      </c>
      <c r="CF691" t="str">
        <f>""</f>
        <v/>
      </c>
      <c r="CG691" t="str">
        <f>""</f>
        <v/>
      </c>
      <c r="CH691" t="str">
        <f>""</f>
        <v/>
      </c>
    </row>
    <row r="692" spans="1:86" x14ac:dyDescent="0.25">
      <c r="A692" t="s">
        <v>6192</v>
      </c>
      <c r="B692" t="s">
        <v>6193</v>
      </c>
      <c r="C692" t="s">
        <v>1992</v>
      </c>
      <c r="D692" t="s">
        <v>2028</v>
      </c>
      <c r="E692" t="s">
        <v>6194</v>
      </c>
      <c r="H692" t="s">
        <v>6181</v>
      </c>
      <c r="I692" t="s">
        <v>2061</v>
      </c>
      <c r="J692" t="str">
        <f>"96001-1008"</f>
        <v>96001-1008</v>
      </c>
      <c r="K692" t="s">
        <v>1998</v>
      </c>
      <c r="L692" t="s">
        <v>2062</v>
      </c>
      <c r="M692" t="s">
        <v>2063</v>
      </c>
      <c r="N692" t="s">
        <v>1992</v>
      </c>
      <c r="O692" t="s">
        <v>1992</v>
      </c>
      <c r="P692" t="s">
        <v>1992</v>
      </c>
      <c r="Q692" t="s">
        <v>1992</v>
      </c>
      <c r="R692" t="s">
        <v>1992</v>
      </c>
      <c r="S692" t="s">
        <v>1992</v>
      </c>
      <c r="T692" t="s">
        <v>1992</v>
      </c>
      <c r="U692" t="s">
        <v>1992</v>
      </c>
      <c r="V692" t="s">
        <v>1991</v>
      </c>
      <c r="W692" t="s">
        <v>1992</v>
      </c>
      <c r="Y692" t="s">
        <v>1991</v>
      </c>
      <c r="AB692" t="s">
        <v>6195</v>
      </c>
      <c r="AF692" t="s">
        <v>2064</v>
      </c>
      <c r="AG692" t="s">
        <v>1991</v>
      </c>
      <c r="AH692">
        <v>30</v>
      </c>
      <c r="AI692">
        <v>30</v>
      </c>
      <c r="AJ692" t="s">
        <v>6196</v>
      </c>
      <c r="AK692">
        <v>559</v>
      </c>
      <c r="AM692" t="s">
        <v>6197</v>
      </c>
      <c r="AN692" t="s">
        <v>1053</v>
      </c>
      <c r="AU692" t="s">
        <v>1053</v>
      </c>
      <c r="AV692" t="s">
        <v>1053</v>
      </c>
      <c r="BF692" t="s">
        <v>1053</v>
      </c>
      <c r="BG692" t="s">
        <v>6198</v>
      </c>
      <c r="BH692" t="s">
        <v>2301</v>
      </c>
      <c r="BI692" t="s">
        <v>1053</v>
      </c>
      <c r="BK692" t="s">
        <v>1053</v>
      </c>
      <c r="BO692" t="s">
        <v>1053</v>
      </c>
      <c r="BP692" t="s">
        <v>6199</v>
      </c>
      <c r="BQ692" t="s">
        <v>311</v>
      </c>
      <c r="BR692" t="s">
        <v>1053</v>
      </c>
      <c r="BS692" t="s">
        <v>1053</v>
      </c>
      <c r="BT692" t="s">
        <v>1053</v>
      </c>
      <c r="BU692" t="s">
        <v>1053</v>
      </c>
      <c r="BX692" t="str">
        <f>""</f>
        <v/>
      </c>
      <c r="BY692" t="str">
        <f>""</f>
        <v/>
      </c>
      <c r="BZ692" t="str">
        <f>""</f>
        <v/>
      </c>
      <c r="CA692" t="str">
        <f>""</f>
        <v/>
      </c>
      <c r="CB692" t="str">
        <f>""</f>
        <v/>
      </c>
      <c r="CC692" t="str">
        <f>""</f>
        <v/>
      </c>
      <c r="CD692" t="str">
        <f>""</f>
        <v/>
      </c>
      <c r="CE692" t="str">
        <f>""</f>
        <v/>
      </c>
      <c r="CF692" t="str">
        <f>""</f>
        <v/>
      </c>
      <c r="CG692" t="str">
        <f>""</f>
        <v/>
      </c>
      <c r="CH692" t="str">
        <f>""</f>
        <v/>
      </c>
    </row>
    <row r="693" spans="1:86" x14ac:dyDescent="0.25">
      <c r="A693" t="s">
        <v>6200</v>
      </c>
      <c r="B693" t="s">
        <v>6201</v>
      </c>
      <c r="C693" t="s">
        <v>1992</v>
      </c>
      <c r="D693" t="s">
        <v>1993</v>
      </c>
      <c r="E693" t="s">
        <v>6202</v>
      </c>
      <c r="F693" t="s">
        <v>6203</v>
      </c>
      <c r="H693" t="s">
        <v>6204</v>
      </c>
      <c r="I693" t="s">
        <v>2061</v>
      </c>
      <c r="J693" t="str">
        <f>"95565"</f>
        <v>95565</v>
      </c>
      <c r="K693" t="s">
        <v>1998</v>
      </c>
      <c r="L693" t="s">
        <v>2062</v>
      </c>
      <c r="M693" t="s">
        <v>2063</v>
      </c>
      <c r="N693" t="s">
        <v>1992</v>
      </c>
      <c r="O693" t="s">
        <v>1992</v>
      </c>
      <c r="P693" t="s">
        <v>1992</v>
      </c>
      <c r="Q693" t="s">
        <v>1992</v>
      </c>
      <c r="R693" t="s">
        <v>1992</v>
      </c>
      <c r="S693" t="s">
        <v>1992</v>
      </c>
      <c r="T693" t="s">
        <v>1992</v>
      </c>
      <c r="U693" t="s">
        <v>1992</v>
      </c>
      <c r="V693" t="s">
        <v>1991</v>
      </c>
      <c r="W693" t="s">
        <v>1992</v>
      </c>
      <c r="X693" t="s">
        <v>1992</v>
      </c>
      <c r="Y693" t="s">
        <v>1991</v>
      </c>
      <c r="Z693" t="s">
        <v>1992</v>
      </c>
      <c r="AF693" t="s">
        <v>2064</v>
      </c>
      <c r="AG693" t="s">
        <v>1991</v>
      </c>
      <c r="AH693">
        <v>30</v>
      </c>
      <c r="AI693">
        <v>30</v>
      </c>
      <c r="AJ693" t="s">
        <v>6205</v>
      </c>
      <c r="AK693">
        <v>159</v>
      </c>
      <c r="AL693">
        <v>2687</v>
      </c>
      <c r="AM693" t="s">
        <v>2298</v>
      </c>
      <c r="AN693" t="s">
        <v>3819</v>
      </c>
      <c r="AO693" t="s">
        <v>2063</v>
      </c>
      <c r="BF693" t="s">
        <v>1053</v>
      </c>
      <c r="BG693" t="s">
        <v>309</v>
      </c>
      <c r="BH693" t="s">
        <v>2301</v>
      </c>
      <c r="BI693" t="s">
        <v>1053</v>
      </c>
      <c r="BK693" t="s">
        <v>1053</v>
      </c>
      <c r="BO693" t="s">
        <v>1053</v>
      </c>
      <c r="BP693" t="s">
        <v>310</v>
      </c>
      <c r="BQ693" t="s">
        <v>311</v>
      </c>
      <c r="BR693" t="s">
        <v>1053</v>
      </c>
      <c r="BS693" t="s">
        <v>1053</v>
      </c>
      <c r="BT693" t="s">
        <v>1053</v>
      </c>
      <c r="BU693" t="s">
        <v>1053</v>
      </c>
      <c r="BX693" t="str">
        <f>""</f>
        <v/>
      </c>
      <c r="BY693" t="str">
        <f>""</f>
        <v/>
      </c>
      <c r="BZ693" t="str">
        <f>""</f>
        <v/>
      </c>
      <c r="CA693" t="str">
        <f>""</f>
        <v/>
      </c>
      <c r="CB693" t="str">
        <f>""</f>
        <v/>
      </c>
      <c r="CC693" t="str">
        <f>""</f>
        <v/>
      </c>
      <c r="CD693" t="str">
        <f>""</f>
        <v/>
      </c>
      <c r="CE693" t="str">
        <f>""</f>
        <v/>
      </c>
      <c r="CF693" t="str">
        <f>""</f>
        <v/>
      </c>
      <c r="CG693" t="str">
        <f>""</f>
        <v/>
      </c>
      <c r="CH693" t="str">
        <f>""</f>
        <v/>
      </c>
    </row>
    <row r="694" spans="1:86" x14ac:dyDescent="0.25">
      <c r="A694" t="s">
        <v>6206</v>
      </c>
      <c r="B694" t="s">
        <v>6207</v>
      </c>
      <c r="C694" t="s">
        <v>1992</v>
      </c>
      <c r="D694" t="s">
        <v>2010</v>
      </c>
      <c r="E694" t="s">
        <v>6208</v>
      </c>
      <c r="H694" t="s">
        <v>6209</v>
      </c>
      <c r="I694" t="s">
        <v>2170</v>
      </c>
      <c r="J694" t="str">
        <f>"55066"</f>
        <v>55066</v>
      </c>
      <c r="K694" t="s">
        <v>1998</v>
      </c>
      <c r="L694" t="s">
        <v>1999</v>
      </c>
      <c r="M694" t="s">
        <v>6210</v>
      </c>
      <c r="N694" t="s">
        <v>1992</v>
      </c>
      <c r="O694" t="s">
        <v>1992</v>
      </c>
      <c r="P694" t="s">
        <v>1992</v>
      </c>
      <c r="Q694" t="s">
        <v>1992</v>
      </c>
      <c r="R694" t="s">
        <v>1992</v>
      </c>
      <c r="S694" t="s">
        <v>1992</v>
      </c>
      <c r="T694" t="s">
        <v>1992</v>
      </c>
      <c r="U694" t="s">
        <v>1992</v>
      </c>
      <c r="V694" t="s">
        <v>1991</v>
      </c>
      <c r="W694" t="s">
        <v>1991</v>
      </c>
      <c r="X694" t="s">
        <v>1992</v>
      </c>
      <c r="Y694" t="s">
        <v>1992</v>
      </c>
      <c r="Z694" t="s">
        <v>1992</v>
      </c>
      <c r="AF694" t="s">
        <v>2001</v>
      </c>
      <c r="AG694" t="s">
        <v>1991</v>
      </c>
      <c r="AH694">
        <v>30</v>
      </c>
      <c r="AI694">
        <v>30</v>
      </c>
      <c r="AJ694" t="s">
        <v>6211</v>
      </c>
      <c r="AK694">
        <v>687</v>
      </c>
      <c r="AL694">
        <v>15687</v>
      </c>
      <c r="AM694" t="s">
        <v>6212</v>
      </c>
      <c r="AN694" t="s">
        <v>6213</v>
      </c>
      <c r="AO694" t="s">
        <v>6214</v>
      </c>
      <c r="AQ694" t="s">
        <v>1053</v>
      </c>
      <c r="AU694" t="s">
        <v>6215</v>
      </c>
      <c r="AV694" t="s">
        <v>1053</v>
      </c>
      <c r="AX694" t="s">
        <v>1053</v>
      </c>
      <c r="BF694" t="s">
        <v>1053</v>
      </c>
      <c r="BG694" t="s">
        <v>703</v>
      </c>
      <c r="BH694" t="s">
        <v>2173</v>
      </c>
      <c r="BI694" t="s">
        <v>1053</v>
      </c>
      <c r="BJ694" t="s">
        <v>2069</v>
      </c>
      <c r="BK694" t="s">
        <v>1053</v>
      </c>
      <c r="BL694" t="s">
        <v>2069</v>
      </c>
      <c r="BM694" t="s">
        <v>287</v>
      </c>
      <c r="BN694" t="s">
        <v>288</v>
      </c>
      <c r="BO694" t="s">
        <v>1053</v>
      </c>
      <c r="BP694" t="s">
        <v>950</v>
      </c>
      <c r="BQ694" t="s">
        <v>1192</v>
      </c>
      <c r="BR694" t="s">
        <v>1053</v>
      </c>
      <c r="BS694" t="s">
        <v>1053</v>
      </c>
      <c r="BT694" t="s">
        <v>1053</v>
      </c>
      <c r="BU694" t="s">
        <v>1053</v>
      </c>
      <c r="BV694" t="s">
        <v>951</v>
      </c>
      <c r="BW694" t="s">
        <v>952</v>
      </c>
      <c r="BX694" t="str">
        <f>"SMTWTFS 0800-2145"</f>
        <v>SMTWTFS 0800-2145</v>
      </c>
      <c r="BY694" t="str">
        <f>""</f>
        <v/>
      </c>
      <c r="BZ694" t="str">
        <f>""</f>
        <v/>
      </c>
      <c r="CA694" t="str">
        <f>""</f>
        <v/>
      </c>
      <c r="CB694" t="str">
        <f>""</f>
        <v/>
      </c>
      <c r="CC694" t="str">
        <f>""</f>
        <v/>
      </c>
      <c r="CD694" t="str">
        <f>""</f>
        <v/>
      </c>
      <c r="CE694" t="str">
        <f>""</f>
        <v/>
      </c>
      <c r="CF694" t="str">
        <f>""</f>
        <v/>
      </c>
      <c r="CG694" t="str">
        <f>""</f>
        <v/>
      </c>
      <c r="CH694" t="str">
        <f>""</f>
        <v/>
      </c>
    </row>
    <row r="695" spans="1:86" x14ac:dyDescent="0.25">
      <c r="A695" t="s">
        <v>6216</v>
      </c>
      <c r="B695" t="s">
        <v>6217</v>
      </c>
      <c r="C695" t="s">
        <v>1992</v>
      </c>
      <c r="D695" t="s">
        <v>1993</v>
      </c>
      <c r="E695" t="s">
        <v>6218</v>
      </c>
      <c r="F695" t="s">
        <v>5098</v>
      </c>
      <c r="H695" t="s">
        <v>6219</v>
      </c>
      <c r="I695" t="s">
        <v>2352</v>
      </c>
      <c r="J695" t="str">
        <f>"49677-1119"</f>
        <v>49677-1119</v>
      </c>
      <c r="K695" t="s">
        <v>1998</v>
      </c>
      <c r="L695" t="s">
        <v>1999</v>
      </c>
      <c r="M695" t="s">
        <v>3520</v>
      </c>
      <c r="N695" t="s">
        <v>1992</v>
      </c>
      <c r="O695" t="s">
        <v>1992</v>
      </c>
      <c r="P695" t="s">
        <v>1992</v>
      </c>
      <c r="Q695" t="s">
        <v>1992</v>
      </c>
      <c r="R695" t="s">
        <v>1992</v>
      </c>
      <c r="S695" t="s">
        <v>1992</v>
      </c>
      <c r="T695" t="s">
        <v>1992</v>
      </c>
      <c r="U695" t="s">
        <v>1992</v>
      </c>
      <c r="V695" t="s">
        <v>1991</v>
      </c>
      <c r="W695" t="s">
        <v>1992</v>
      </c>
      <c r="X695" t="s">
        <v>1992</v>
      </c>
      <c r="Y695" t="s">
        <v>1992</v>
      </c>
      <c r="Z695" t="s">
        <v>1991</v>
      </c>
      <c r="AF695" t="s">
        <v>2016</v>
      </c>
      <c r="AG695" t="s">
        <v>1991</v>
      </c>
      <c r="AH695">
        <v>30</v>
      </c>
      <c r="AI695">
        <v>30</v>
      </c>
      <c r="AJ695" t="s">
        <v>6220</v>
      </c>
      <c r="AK695">
        <v>1080</v>
      </c>
      <c r="AL695">
        <v>2379</v>
      </c>
      <c r="AN695" t="s">
        <v>445</v>
      </c>
      <c r="AO695" t="s">
        <v>2311</v>
      </c>
      <c r="BF695" t="s">
        <v>1053</v>
      </c>
      <c r="BG695" t="s">
        <v>643</v>
      </c>
      <c r="BH695" t="s">
        <v>644</v>
      </c>
      <c r="BI695" t="s">
        <v>1053</v>
      </c>
      <c r="BK695" t="s">
        <v>1053</v>
      </c>
      <c r="BM695" t="s">
        <v>2313</v>
      </c>
      <c r="BN695" t="s">
        <v>2314</v>
      </c>
      <c r="BO695" t="s">
        <v>1053</v>
      </c>
      <c r="BP695" t="s">
        <v>2356</v>
      </c>
      <c r="BQ695" t="s">
        <v>2316</v>
      </c>
      <c r="BR695" t="s">
        <v>1053</v>
      </c>
      <c r="BT695" t="s">
        <v>1053</v>
      </c>
      <c r="BX695" t="str">
        <f>""</f>
        <v/>
      </c>
      <c r="BY695" t="str">
        <f>""</f>
        <v/>
      </c>
      <c r="BZ695" t="str">
        <f>""</f>
        <v/>
      </c>
      <c r="CA695" t="str">
        <f>""</f>
        <v/>
      </c>
      <c r="CB695" t="str">
        <f>""</f>
        <v/>
      </c>
      <c r="CC695" t="str">
        <f>""</f>
        <v/>
      </c>
      <c r="CD695" t="str">
        <f>""</f>
        <v/>
      </c>
      <c r="CE695" t="str">
        <f>""</f>
        <v/>
      </c>
      <c r="CF695" t="str">
        <f>""</f>
        <v/>
      </c>
      <c r="CG695" t="str">
        <f>""</f>
        <v/>
      </c>
      <c r="CH695" t="str">
        <f>""</f>
        <v/>
      </c>
    </row>
    <row r="696" spans="1:86" x14ac:dyDescent="0.25">
      <c r="A696" t="s">
        <v>6221</v>
      </c>
      <c r="B696" t="s">
        <v>6222</v>
      </c>
      <c r="D696" t="s">
        <v>2089</v>
      </c>
      <c r="V696" t="s">
        <v>1991</v>
      </c>
      <c r="AJ696" t="s">
        <v>2090</v>
      </c>
      <c r="BX696" t="str">
        <f>""</f>
        <v/>
      </c>
      <c r="BY696" t="str">
        <f>""</f>
        <v/>
      </c>
      <c r="BZ696" t="str">
        <f>""</f>
        <v/>
      </c>
      <c r="CA696" t="str">
        <f>""</f>
        <v/>
      </c>
      <c r="CB696" t="str">
        <f>""</f>
        <v/>
      </c>
      <c r="CC696" t="str">
        <f>""</f>
        <v/>
      </c>
      <c r="CD696" t="str">
        <f>""</f>
        <v/>
      </c>
      <c r="CE696" t="str">
        <f>""</f>
        <v/>
      </c>
      <c r="CF696" t="str">
        <f>""</f>
        <v/>
      </c>
      <c r="CG696" t="str">
        <f>""</f>
        <v/>
      </c>
      <c r="CH696" t="str">
        <f>""</f>
        <v/>
      </c>
    </row>
    <row r="697" spans="1:86" x14ac:dyDescent="0.25">
      <c r="A697" t="s">
        <v>6223</v>
      </c>
      <c r="B697" t="s">
        <v>6224</v>
      </c>
      <c r="C697" t="s">
        <v>1992</v>
      </c>
      <c r="D697" t="s">
        <v>2028</v>
      </c>
      <c r="E697" t="s">
        <v>6225</v>
      </c>
      <c r="H697" t="s">
        <v>2320</v>
      </c>
      <c r="I697" t="s">
        <v>3623</v>
      </c>
      <c r="J697" t="str">
        <f>"47978"</f>
        <v>47978</v>
      </c>
      <c r="K697" t="s">
        <v>1998</v>
      </c>
      <c r="L697" t="s">
        <v>1999</v>
      </c>
      <c r="M697" t="s">
        <v>2063</v>
      </c>
      <c r="N697" t="s">
        <v>1992</v>
      </c>
      <c r="O697" t="s">
        <v>1992</v>
      </c>
      <c r="P697" t="s">
        <v>1992</v>
      </c>
      <c r="Q697" t="s">
        <v>1992</v>
      </c>
      <c r="R697" t="s">
        <v>1992</v>
      </c>
      <c r="S697" t="s">
        <v>1992</v>
      </c>
      <c r="T697" t="s">
        <v>1992</v>
      </c>
      <c r="U697" t="s">
        <v>1992</v>
      </c>
      <c r="V697" t="s">
        <v>1991</v>
      </c>
      <c r="W697" t="s">
        <v>1991</v>
      </c>
      <c r="X697" t="s">
        <v>1992</v>
      </c>
      <c r="Y697" t="s">
        <v>1992</v>
      </c>
      <c r="Z697" t="s">
        <v>1992</v>
      </c>
      <c r="AA697" t="s">
        <v>1992</v>
      </c>
      <c r="AF697" t="s">
        <v>2001</v>
      </c>
      <c r="AG697" t="s">
        <v>1991</v>
      </c>
      <c r="AH697">
        <v>30</v>
      </c>
      <c r="AI697">
        <v>30</v>
      </c>
      <c r="AJ697" t="s">
        <v>6226</v>
      </c>
      <c r="AK697">
        <v>668</v>
      </c>
      <c r="AL697">
        <v>5045</v>
      </c>
      <c r="AN697" t="s">
        <v>3537</v>
      </c>
      <c r="AO697" t="s">
        <v>2311</v>
      </c>
      <c r="BF697" t="s">
        <v>1053</v>
      </c>
      <c r="BG697" t="s">
        <v>2097</v>
      </c>
      <c r="BH697" t="s">
        <v>2312</v>
      </c>
      <c r="BI697" t="s">
        <v>1053</v>
      </c>
      <c r="BJ697" t="s">
        <v>2069</v>
      </c>
      <c r="BK697" t="s">
        <v>1053</v>
      </c>
      <c r="BL697" t="s">
        <v>2069</v>
      </c>
      <c r="BM697" t="s">
        <v>2313</v>
      </c>
      <c r="BN697" t="s">
        <v>2314</v>
      </c>
      <c r="BO697" t="s">
        <v>1053</v>
      </c>
      <c r="BP697" t="s">
        <v>301</v>
      </c>
      <c r="BQ697" t="s">
        <v>2316</v>
      </c>
      <c r="BR697" t="s">
        <v>1053</v>
      </c>
      <c r="BT697" t="s">
        <v>1053</v>
      </c>
      <c r="BX697" t="str">
        <f>""</f>
        <v/>
      </c>
      <c r="BY697" t="str">
        <f>""</f>
        <v/>
      </c>
      <c r="BZ697" t="str">
        <f>""</f>
        <v/>
      </c>
      <c r="CA697" t="str">
        <f>""</f>
        <v/>
      </c>
      <c r="CB697" t="str">
        <f>""</f>
        <v/>
      </c>
      <c r="CC697" t="str">
        <f>""</f>
        <v/>
      </c>
      <c r="CD697" t="str">
        <f>""</f>
        <v/>
      </c>
      <c r="CE697" t="str">
        <f>""</f>
        <v/>
      </c>
      <c r="CF697" t="str">
        <f>""</f>
        <v/>
      </c>
      <c r="CG697" t="str">
        <f>""</f>
        <v/>
      </c>
      <c r="CH697" t="str">
        <f>""</f>
        <v/>
      </c>
    </row>
    <row r="698" spans="1:86" x14ac:dyDescent="0.25">
      <c r="A698" t="s">
        <v>6227</v>
      </c>
      <c r="B698" t="s">
        <v>1090</v>
      </c>
      <c r="C698" t="s">
        <v>1991</v>
      </c>
      <c r="D698" t="s">
        <v>2010</v>
      </c>
      <c r="E698" t="s">
        <v>6228</v>
      </c>
      <c r="H698" t="s">
        <v>6229</v>
      </c>
      <c r="I698" t="s">
        <v>700</v>
      </c>
      <c r="J698" t="str">
        <f>"27601"</f>
        <v>27601</v>
      </c>
      <c r="K698" t="s">
        <v>1998</v>
      </c>
      <c r="L698" t="s">
        <v>408</v>
      </c>
      <c r="M698" t="s">
        <v>6230</v>
      </c>
      <c r="N698" t="s">
        <v>1991</v>
      </c>
      <c r="O698" t="s">
        <v>1991</v>
      </c>
      <c r="P698" t="s">
        <v>1992</v>
      </c>
      <c r="Q698" t="s">
        <v>1991</v>
      </c>
      <c r="R698" t="s">
        <v>1991</v>
      </c>
      <c r="S698" t="s">
        <v>1992</v>
      </c>
      <c r="T698" t="s">
        <v>1991</v>
      </c>
      <c r="U698" t="s">
        <v>1991</v>
      </c>
      <c r="V698" t="s">
        <v>1991</v>
      </c>
      <c r="W698" t="s">
        <v>1991</v>
      </c>
      <c r="X698" t="s">
        <v>1992</v>
      </c>
      <c r="Y698" t="s">
        <v>1992</v>
      </c>
      <c r="Z698" t="s">
        <v>1992</v>
      </c>
      <c r="AE698" t="s">
        <v>2047</v>
      </c>
      <c r="AF698" t="s">
        <v>2016</v>
      </c>
      <c r="AG698" t="s">
        <v>1991</v>
      </c>
      <c r="AH698">
        <v>60</v>
      </c>
      <c r="AI698">
        <v>60</v>
      </c>
      <c r="AJ698" t="s">
        <v>6231</v>
      </c>
      <c r="AK698">
        <v>311</v>
      </c>
      <c r="AL698">
        <v>1200000</v>
      </c>
      <c r="AN698" t="s">
        <v>1053</v>
      </c>
      <c r="AO698" t="s">
        <v>1053</v>
      </c>
      <c r="AP698" t="s">
        <v>2069</v>
      </c>
      <c r="AQ698" t="s">
        <v>1053</v>
      </c>
      <c r="AR698" t="s">
        <v>2069</v>
      </c>
      <c r="AS698" t="s">
        <v>6227</v>
      </c>
      <c r="AT698" t="s">
        <v>1091</v>
      </c>
      <c r="AU698" t="s">
        <v>1053</v>
      </c>
      <c r="AV698" t="s">
        <v>1053</v>
      </c>
      <c r="AW698" t="s">
        <v>2069</v>
      </c>
      <c r="AX698" t="s">
        <v>1053</v>
      </c>
      <c r="AY698" t="s">
        <v>2069</v>
      </c>
      <c r="AZ698" t="s">
        <v>6227</v>
      </c>
      <c r="BA698" t="s">
        <v>1091</v>
      </c>
      <c r="BB698" t="s">
        <v>1053</v>
      </c>
      <c r="BC698" t="s">
        <v>2069</v>
      </c>
      <c r="BD698" t="s">
        <v>1053</v>
      </c>
      <c r="BE698" t="s">
        <v>2069</v>
      </c>
      <c r="BF698" t="s">
        <v>1053</v>
      </c>
      <c r="BG698" t="s">
        <v>703</v>
      </c>
      <c r="BH698" t="s">
        <v>704</v>
      </c>
      <c r="BI698" t="s">
        <v>1053</v>
      </c>
      <c r="BJ698" t="s">
        <v>1053</v>
      </c>
      <c r="BK698" t="s">
        <v>1053</v>
      </c>
      <c r="BL698" t="s">
        <v>1053</v>
      </c>
      <c r="BM698" t="s">
        <v>705</v>
      </c>
      <c r="BO698" t="s">
        <v>1053</v>
      </c>
      <c r="BP698" t="s">
        <v>2375</v>
      </c>
      <c r="BQ698" t="s">
        <v>427</v>
      </c>
      <c r="BR698" t="s">
        <v>1053</v>
      </c>
      <c r="BS698" t="s">
        <v>1053</v>
      </c>
      <c r="BT698" t="s">
        <v>1053</v>
      </c>
      <c r="BU698" t="s">
        <v>1053</v>
      </c>
      <c r="BV698" t="s">
        <v>416</v>
      </c>
      <c r="BW698" t="s">
        <v>417</v>
      </c>
      <c r="BX698" t="str">
        <f t="shared" ref="BX698:CC698" si="5">"SMTWTFS 0600-2230"</f>
        <v>SMTWTFS 0600-2230</v>
      </c>
      <c r="BY698" t="str">
        <f t="shared" si="5"/>
        <v>SMTWTFS 0600-2230</v>
      </c>
      <c r="BZ698" t="str">
        <f t="shared" si="5"/>
        <v>SMTWTFS 0600-2230</v>
      </c>
      <c r="CA698" t="str">
        <f t="shared" si="5"/>
        <v>SMTWTFS 0600-2230</v>
      </c>
      <c r="CB698" t="str">
        <f t="shared" si="5"/>
        <v>SMTWTFS 0600-2230</v>
      </c>
      <c r="CC698" t="str">
        <f t="shared" si="5"/>
        <v>SMTWTFS 0600-2230</v>
      </c>
      <c r="CD698" t="str">
        <f>""</f>
        <v/>
      </c>
      <c r="CE698" t="str">
        <f>"SMTWTFS 0600-2230"</f>
        <v>SMTWTFS 0600-2230</v>
      </c>
      <c r="CF698" t="str">
        <f>"SMTWTFS 0600-2230"</f>
        <v>SMTWTFS 0600-2230</v>
      </c>
      <c r="CG698" t="str">
        <f>""</f>
        <v/>
      </c>
      <c r="CH698" t="str">
        <f>"SMTWTFS 0000-2359"</f>
        <v>SMTWTFS 0000-2359</v>
      </c>
    </row>
    <row r="699" spans="1:86" x14ac:dyDescent="0.25">
      <c r="A699" t="s">
        <v>6232</v>
      </c>
      <c r="B699" t="s">
        <v>6233</v>
      </c>
      <c r="C699" t="s">
        <v>1991</v>
      </c>
      <c r="D699" t="s">
        <v>2010</v>
      </c>
      <c r="E699" t="s">
        <v>6234</v>
      </c>
      <c r="H699" t="s">
        <v>6235</v>
      </c>
      <c r="I699" t="s">
        <v>2321</v>
      </c>
      <c r="J699" t="str">
        <f>"12574"</f>
        <v>12574</v>
      </c>
      <c r="K699" t="s">
        <v>1998</v>
      </c>
      <c r="L699" t="s">
        <v>2033</v>
      </c>
      <c r="M699" t="s">
        <v>6236</v>
      </c>
      <c r="N699" t="s">
        <v>1991</v>
      </c>
      <c r="O699" t="s">
        <v>1991</v>
      </c>
      <c r="P699" t="s">
        <v>1992</v>
      </c>
      <c r="Q699" t="s">
        <v>1992</v>
      </c>
      <c r="R699" t="s">
        <v>1992</v>
      </c>
      <c r="S699" t="s">
        <v>1992</v>
      </c>
      <c r="T699" t="s">
        <v>1992</v>
      </c>
      <c r="U699" t="s">
        <v>1991</v>
      </c>
      <c r="V699" t="s">
        <v>1991</v>
      </c>
      <c r="W699" t="s">
        <v>1991</v>
      </c>
      <c r="X699" t="s">
        <v>1992</v>
      </c>
      <c r="Y699" t="s">
        <v>1992</v>
      </c>
      <c r="Z699" t="s">
        <v>1992</v>
      </c>
      <c r="AE699" t="s">
        <v>2047</v>
      </c>
      <c r="AF699" t="s">
        <v>2016</v>
      </c>
      <c r="AG699" t="s">
        <v>1991</v>
      </c>
      <c r="AH699">
        <v>45</v>
      </c>
      <c r="AI699">
        <v>30</v>
      </c>
      <c r="AJ699" t="s">
        <v>6237</v>
      </c>
      <c r="AK699">
        <v>39</v>
      </c>
      <c r="AL699">
        <v>2336</v>
      </c>
      <c r="AN699" t="s">
        <v>1053</v>
      </c>
      <c r="AO699" t="s">
        <v>1053</v>
      </c>
      <c r="AP699" t="s">
        <v>2069</v>
      </c>
      <c r="AQ699" t="s">
        <v>1053</v>
      </c>
      <c r="AR699" t="s">
        <v>2069</v>
      </c>
      <c r="AS699" t="s">
        <v>6232</v>
      </c>
      <c r="AT699" t="s">
        <v>6238</v>
      </c>
      <c r="AU699" t="s">
        <v>1053</v>
      </c>
      <c r="AV699" t="s">
        <v>1053</v>
      </c>
      <c r="AW699" t="s">
        <v>1053</v>
      </c>
      <c r="AX699" t="s">
        <v>1053</v>
      </c>
      <c r="AY699" t="s">
        <v>2069</v>
      </c>
      <c r="AZ699" t="s">
        <v>6232</v>
      </c>
      <c r="BA699" t="s">
        <v>6238</v>
      </c>
      <c r="BB699" t="s">
        <v>1053</v>
      </c>
      <c r="BC699" t="s">
        <v>2069</v>
      </c>
      <c r="BD699" t="s">
        <v>1053</v>
      </c>
      <c r="BE699" t="s">
        <v>2069</v>
      </c>
      <c r="BF699" t="s">
        <v>1053</v>
      </c>
      <c r="BG699" t="s">
        <v>6239</v>
      </c>
      <c r="BH699" t="s">
        <v>6240</v>
      </c>
      <c r="BI699" t="s">
        <v>1053</v>
      </c>
      <c r="BJ699" t="s">
        <v>1053</v>
      </c>
      <c r="BK699" t="s">
        <v>1053</v>
      </c>
      <c r="BL699" t="s">
        <v>1053</v>
      </c>
      <c r="BM699" t="s">
        <v>2324</v>
      </c>
      <c r="BN699" t="s">
        <v>2325</v>
      </c>
      <c r="BO699" t="s">
        <v>1053</v>
      </c>
      <c r="BP699" t="s">
        <v>2327</v>
      </c>
      <c r="BQ699" t="s">
        <v>2326</v>
      </c>
      <c r="BR699" t="s">
        <v>1053</v>
      </c>
      <c r="BS699" t="s">
        <v>1053</v>
      </c>
      <c r="BV699" t="s">
        <v>265</v>
      </c>
      <c r="BX699" t="str">
        <f>"SMTWTFS 0530-2230"</f>
        <v>SMTWTFS 0530-2230</v>
      </c>
      <c r="BY699" t="str">
        <f>""</f>
        <v/>
      </c>
      <c r="BZ699" t="str">
        <f>"SMTWTFS 0530-2230"</f>
        <v>SMTWTFS 0530-2230</v>
      </c>
      <c r="CA699" t="str">
        <f>"SMTWTFS 0530-2230"</f>
        <v>SMTWTFS 0530-2230</v>
      </c>
      <c r="CB699" t="str">
        <f>""</f>
        <v/>
      </c>
      <c r="CC699" t="str">
        <f>"SMTWTFS 0530-2230"</f>
        <v>SMTWTFS 0530-2230</v>
      </c>
      <c r="CD699" t="str">
        <f>""</f>
        <v/>
      </c>
      <c r="CE699" t="str">
        <f>""</f>
        <v/>
      </c>
      <c r="CF699" t="str">
        <f>""</f>
        <v/>
      </c>
      <c r="CG699" t="str">
        <f>""</f>
        <v/>
      </c>
      <c r="CH699" t="str">
        <f>""</f>
        <v/>
      </c>
    </row>
    <row r="700" spans="1:86" x14ac:dyDescent="0.25">
      <c r="A700" t="s">
        <v>6241</v>
      </c>
      <c r="B700" t="s">
        <v>6242</v>
      </c>
      <c r="C700" t="s">
        <v>1992</v>
      </c>
      <c r="D700" t="s">
        <v>2028</v>
      </c>
      <c r="E700" t="s">
        <v>6243</v>
      </c>
      <c r="F700" t="s">
        <v>6244</v>
      </c>
      <c r="G700" t="s">
        <v>6245</v>
      </c>
      <c r="H700" t="s">
        <v>6162</v>
      </c>
      <c r="I700" t="s">
        <v>2061</v>
      </c>
      <c r="J700" t="str">
        <f>"94802"</f>
        <v>94802</v>
      </c>
      <c r="K700" t="s">
        <v>1998</v>
      </c>
      <c r="L700" t="s">
        <v>2062</v>
      </c>
      <c r="M700" t="s">
        <v>2063</v>
      </c>
      <c r="N700" t="s">
        <v>1992</v>
      </c>
      <c r="O700" t="s">
        <v>1991</v>
      </c>
      <c r="P700" t="s">
        <v>1992</v>
      </c>
      <c r="Q700" t="s">
        <v>1992</v>
      </c>
      <c r="R700" t="s">
        <v>1992</v>
      </c>
      <c r="S700" t="s">
        <v>1992</v>
      </c>
      <c r="T700" t="s">
        <v>1992</v>
      </c>
      <c r="U700" t="s">
        <v>1992</v>
      </c>
      <c r="V700" t="s">
        <v>1991</v>
      </c>
      <c r="W700" t="s">
        <v>1991</v>
      </c>
      <c r="X700" t="s">
        <v>1992</v>
      </c>
      <c r="Y700" t="s">
        <v>1992</v>
      </c>
      <c r="Z700" t="s">
        <v>1992</v>
      </c>
      <c r="AA700" t="s">
        <v>1991</v>
      </c>
      <c r="AF700" t="s">
        <v>2064</v>
      </c>
      <c r="AG700" t="s">
        <v>1991</v>
      </c>
      <c r="AH700">
        <v>30</v>
      </c>
      <c r="AI700">
        <v>30</v>
      </c>
      <c r="AJ700" t="s">
        <v>6246</v>
      </c>
      <c r="AK700">
        <v>38</v>
      </c>
      <c r="AN700" t="s">
        <v>357</v>
      </c>
      <c r="AO700" t="s">
        <v>2063</v>
      </c>
      <c r="BF700" t="s">
        <v>1053</v>
      </c>
      <c r="BG700" t="s">
        <v>2067</v>
      </c>
      <c r="BH700" t="s">
        <v>348</v>
      </c>
      <c r="BI700" t="s">
        <v>1053</v>
      </c>
      <c r="BK700" t="s">
        <v>1053</v>
      </c>
      <c r="BO700" t="s">
        <v>1053</v>
      </c>
      <c r="BP700" t="s">
        <v>675</v>
      </c>
      <c r="BQ700" t="s">
        <v>2073</v>
      </c>
      <c r="BR700" t="s">
        <v>1053</v>
      </c>
      <c r="BS700" t="s">
        <v>1053</v>
      </c>
      <c r="BX700" t="str">
        <f>"S-----S 0700-2359; -MTWTF- 0400-2359"</f>
        <v>S-----S 0700-2359; -MTWTF- 0400-2359</v>
      </c>
      <c r="BY700" t="str">
        <f>""</f>
        <v/>
      </c>
      <c r="BZ700" t="str">
        <f>""</f>
        <v/>
      </c>
      <c r="CA700" t="str">
        <f>""</f>
        <v/>
      </c>
      <c r="CB700" t="str">
        <f>""</f>
        <v/>
      </c>
      <c r="CC700" t="str">
        <f>"S-----S 0700-2359; -MTWTF- 0400-2359"</f>
        <v>S-----S 0700-2359; -MTWTF- 0400-2359</v>
      </c>
      <c r="CD700" t="str">
        <f>""</f>
        <v/>
      </c>
      <c r="CE700" t="str">
        <f>""</f>
        <v/>
      </c>
      <c r="CF700" t="str">
        <f>""</f>
        <v/>
      </c>
      <c r="CG700" t="str">
        <f>""</f>
        <v/>
      </c>
      <c r="CH700" t="str">
        <f>"SMTWTFS 0001-2359"</f>
        <v>SMTWTFS 0001-2359</v>
      </c>
    </row>
    <row r="701" spans="1:86" x14ac:dyDescent="0.25">
      <c r="A701" t="s">
        <v>6247</v>
      </c>
      <c r="B701" t="s">
        <v>6248</v>
      </c>
      <c r="C701" t="s">
        <v>1992</v>
      </c>
      <c r="D701" t="s">
        <v>2028</v>
      </c>
      <c r="E701" t="s">
        <v>6249</v>
      </c>
      <c r="F701" t="s">
        <v>3548</v>
      </c>
      <c r="G701" t="s">
        <v>5561</v>
      </c>
      <c r="H701" t="s">
        <v>5163</v>
      </c>
      <c r="I701" t="s">
        <v>2061</v>
      </c>
      <c r="J701" t="str">
        <f>"92507-4223"</f>
        <v>92507-4223</v>
      </c>
      <c r="K701" t="s">
        <v>1998</v>
      </c>
      <c r="L701" t="s">
        <v>2045</v>
      </c>
      <c r="M701" t="s">
        <v>2000</v>
      </c>
      <c r="N701" t="s">
        <v>1992</v>
      </c>
      <c r="O701" t="s">
        <v>1992</v>
      </c>
      <c r="P701" t="s">
        <v>1991</v>
      </c>
      <c r="Q701" t="s">
        <v>1992</v>
      </c>
      <c r="R701" t="s">
        <v>1992</v>
      </c>
      <c r="S701" t="s">
        <v>1992</v>
      </c>
      <c r="T701" t="s">
        <v>1992</v>
      </c>
      <c r="U701" t="s">
        <v>1992</v>
      </c>
      <c r="V701" t="s">
        <v>1991</v>
      </c>
      <c r="W701" t="s">
        <v>1991</v>
      </c>
      <c r="X701" t="s">
        <v>1991</v>
      </c>
      <c r="Y701" t="s">
        <v>1991</v>
      </c>
      <c r="Z701" t="s">
        <v>1992</v>
      </c>
      <c r="AA701" t="s">
        <v>1992</v>
      </c>
      <c r="AF701" t="s">
        <v>2064</v>
      </c>
      <c r="AG701" t="s">
        <v>1991</v>
      </c>
      <c r="AH701">
        <v>45</v>
      </c>
      <c r="AI701">
        <v>45</v>
      </c>
      <c r="AJ701" t="s">
        <v>5562</v>
      </c>
      <c r="AK701">
        <v>873</v>
      </c>
      <c r="AL701">
        <v>240000</v>
      </c>
      <c r="AM701" t="s">
        <v>5563</v>
      </c>
      <c r="AN701" t="s">
        <v>2066</v>
      </c>
      <c r="BF701" t="s">
        <v>1053</v>
      </c>
      <c r="BG701" t="s">
        <v>2067</v>
      </c>
      <c r="BH701" t="s">
        <v>275</v>
      </c>
      <c r="BI701" t="s">
        <v>1053</v>
      </c>
      <c r="BK701" t="s">
        <v>1053</v>
      </c>
      <c r="BM701" t="s">
        <v>852</v>
      </c>
      <c r="BN701" t="s">
        <v>277</v>
      </c>
      <c r="BO701" t="s">
        <v>1053</v>
      </c>
      <c r="BP701" t="s">
        <v>2067</v>
      </c>
      <c r="BQ701" t="s">
        <v>275</v>
      </c>
      <c r="BR701" t="s">
        <v>1053</v>
      </c>
      <c r="BX701" t="str">
        <f>""</f>
        <v/>
      </c>
      <c r="BY701" t="str">
        <f>""</f>
        <v/>
      </c>
      <c r="BZ701" t="str">
        <f>""</f>
        <v/>
      </c>
      <c r="CA701" t="str">
        <f>""</f>
        <v/>
      </c>
      <c r="CB701" t="str">
        <f>""</f>
        <v/>
      </c>
      <c r="CC701" t="str">
        <f>""</f>
        <v/>
      </c>
      <c r="CD701" t="str">
        <f>"SMTWTFS 0000-2359"</f>
        <v>SMTWTFS 0000-2359</v>
      </c>
      <c r="CE701" t="str">
        <f>""</f>
        <v/>
      </c>
      <c r="CF701" t="str">
        <f>""</f>
        <v/>
      </c>
      <c r="CG701" t="str">
        <f>""</f>
        <v/>
      </c>
      <c r="CH701" t="str">
        <f>""</f>
        <v/>
      </c>
    </row>
    <row r="702" spans="1:86" x14ac:dyDescent="0.25">
      <c r="A702" t="s">
        <v>5564</v>
      </c>
      <c r="B702" t="s">
        <v>5565</v>
      </c>
      <c r="C702" t="s">
        <v>1992</v>
      </c>
      <c r="D702" t="s">
        <v>1993</v>
      </c>
      <c r="E702" t="s">
        <v>5566</v>
      </c>
      <c r="F702" t="s">
        <v>2662</v>
      </c>
      <c r="H702" t="s">
        <v>6176</v>
      </c>
      <c r="I702" t="s">
        <v>2352</v>
      </c>
      <c r="J702" t="str">
        <f>"49341"</f>
        <v>49341</v>
      </c>
      <c r="K702" t="s">
        <v>1998</v>
      </c>
      <c r="L702" t="s">
        <v>1999</v>
      </c>
      <c r="M702" t="s">
        <v>3520</v>
      </c>
      <c r="N702" t="s">
        <v>1992</v>
      </c>
      <c r="O702" t="s">
        <v>1992</v>
      </c>
      <c r="P702" t="s">
        <v>1992</v>
      </c>
      <c r="Q702" t="s">
        <v>1992</v>
      </c>
      <c r="R702" t="s">
        <v>1992</v>
      </c>
      <c r="S702" t="s">
        <v>1992</v>
      </c>
      <c r="T702" t="s">
        <v>1992</v>
      </c>
      <c r="U702" t="s">
        <v>1992</v>
      </c>
      <c r="V702" t="s">
        <v>1991</v>
      </c>
      <c r="W702" t="s">
        <v>1992</v>
      </c>
      <c r="X702" t="s">
        <v>1992</v>
      </c>
      <c r="Y702" t="s">
        <v>1992</v>
      </c>
      <c r="Z702" t="s">
        <v>1991</v>
      </c>
      <c r="AA702" t="s">
        <v>1991</v>
      </c>
      <c r="AF702" t="s">
        <v>2016</v>
      </c>
      <c r="AG702" t="s">
        <v>1991</v>
      </c>
      <c r="AH702">
        <v>30</v>
      </c>
      <c r="AI702">
        <v>30</v>
      </c>
      <c r="AJ702" t="s">
        <v>5567</v>
      </c>
      <c r="AK702">
        <v>871</v>
      </c>
      <c r="AL702">
        <v>3750</v>
      </c>
      <c r="AN702" t="s">
        <v>5568</v>
      </c>
      <c r="AO702" t="s">
        <v>2311</v>
      </c>
      <c r="BF702" t="s">
        <v>1053</v>
      </c>
      <c r="BG702" t="s">
        <v>643</v>
      </c>
      <c r="BH702" t="s">
        <v>644</v>
      </c>
      <c r="BI702" t="s">
        <v>1053</v>
      </c>
      <c r="BK702" t="s">
        <v>1053</v>
      </c>
      <c r="BM702" t="s">
        <v>5569</v>
      </c>
      <c r="BN702" t="s">
        <v>2314</v>
      </c>
      <c r="BO702" t="s">
        <v>1053</v>
      </c>
      <c r="BP702" t="s">
        <v>2356</v>
      </c>
      <c r="BQ702" t="s">
        <v>2316</v>
      </c>
      <c r="BR702" t="s">
        <v>1053</v>
      </c>
      <c r="BS702" t="s">
        <v>1053</v>
      </c>
      <c r="BT702" t="s">
        <v>1053</v>
      </c>
      <c r="BU702" t="s">
        <v>1053</v>
      </c>
      <c r="BX702" t="str">
        <f>""</f>
        <v/>
      </c>
      <c r="BY702" t="str">
        <f>""</f>
        <v/>
      </c>
      <c r="BZ702" t="str">
        <f>""</f>
        <v/>
      </c>
      <c r="CA702" t="str">
        <f>""</f>
        <v/>
      </c>
      <c r="CB702" t="str">
        <f>""</f>
        <v/>
      </c>
      <c r="CC702" t="str">
        <f>""</f>
        <v/>
      </c>
      <c r="CD702" t="str">
        <f>""</f>
        <v/>
      </c>
      <c r="CE702" t="str">
        <f>""</f>
        <v/>
      </c>
      <c r="CF702" t="str">
        <f>""</f>
        <v/>
      </c>
      <c r="CG702" t="str">
        <f>""</f>
        <v/>
      </c>
      <c r="CH702" t="str">
        <f>""</f>
        <v/>
      </c>
    </row>
    <row r="703" spans="1:86" x14ac:dyDescent="0.25">
      <c r="A703" t="s">
        <v>5570</v>
      </c>
      <c r="B703" t="s">
        <v>5571</v>
      </c>
      <c r="C703" t="s">
        <v>1992</v>
      </c>
      <c r="D703" t="s">
        <v>1993</v>
      </c>
      <c r="E703" t="s">
        <v>5572</v>
      </c>
      <c r="F703" t="s">
        <v>5573</v>
      </c>
      <c r="H703" t="s">
        <v>5574</v>
      </c>
      <c r="I703" t="s">
        <v>2367</v>
      </c>
      <c r="J703" t="str">
        <f>"61201"</f>
        <v>61201</v>
      </c>
      <c r="K703" t="s">
        <v>1998</v>
      </c>
      <c r="L703" t="s">
        <v>1999</v>
      </c>
      <c r="M703" t="s">
        <v>2000</v>
      </c>
      <c r="N703" t="s">
        <v>1992</v>
      </c>
      <c r="O703" t="s">
        <v>1992</v>
      </c>
      <c r="P703" t="s">
        <v>1992</v>
      </c>
      <c r="Q703" t="s">
        <v>1992</v>
      </c>
      <c r="R703" t="s">
        <v>1992</v>
      </c>
      <c r="S703" t="s">
        <v>1992</v>
      </c>
      <c r="T703" t="s">
        <v>1992</v>
      </c>
      <c r="U703" t="s">
        <v>1992</v>
      </c>
      <c r="V703" t="s">
        <v>1991</v>
      </c>
      <c r="Z703" t="s">
        <v>1991</v>
      </c>
      <c r="AF703" t="s">
        <v>2001</v>
      </c>
      <c r="AG703" t="s">
        <v>1991</v>
      </c>
      <c r="AH703">
        <v>15</v>
      </c>
      <c r="AI703">
        <v>15</v>
      </c>
      <c r="AJ703" t="s">
        <v>5575</v>
      </c>
      <c r="AK703">
        <v>591</v>
      </c>
      <c r="BX703" t="str">
        <f>""</f>
        <v/>
      </c>
      <c r="BY703" t="str">
        <f>""</f>
        <v/>
      </c>
      <c r="BZ703" t="str">
        <f>""</f>
        <v/>
      </c>
      <c r="CA703" t="str">
        <f>""</f>
        <v/>
      </c>
      <c r="CB703" t="str">
        <f>""</f>
        <v/>
      </c>
      <c r="CC703" t="str">
        <f>""</f>
        <v/>
      </c>
      <c r="CD703" t="str">
        <f>""</f>
        <v/>
      </c>
      <c r="CE703" t="str">
        <f>""</f>
        <v/>
      </c>
      <c r="CF703" t="str">
        <f>""</f>
        <v/>
      </c>
      <c r="CG703" t="str">
        <f>""</f>
        <v/>
      </c>
      <c r="CH703" t="str">
        <f>""</f>
        <v/>
      </c>
    </row>
    <row r="704" spans="1:86" x14ac:dyDescent="0.25">
      <c r="A704" t="s">
        <v>5576</v>
      </c>
      <c r="B704" t="s">
        <v>5577</v>
      </c>
      <c r="C704" t="s">
        <v>1992</v>
      </c>
      <c r="D704" t="s">
        <v>2028</v>
      </c>
      <c r="E704" t="s">
        <v>5578</v>
      </c>
      <c r="F704" t="s">
        <v>5299</v>
      </c>
      <c r="H704" t="s">
        <v>5300</v>
      </c>
      <c r="I704" t="s">
        <v>2014</v>
      </c>
      <c r="J704" t="str">
        <f>"20850"</f>
        <v>20850</v>
      </c>
      <c r="K704" t="s">
        <v>1998</v>
      </c>
      <c r="L704" t="s">
        <v>2015</v>
      </c>
      <c r="M704" t="s">
        <v>2000</v>
      </c>
      <c r="N704" t="s">
        <v>1992</v>
      </c>
      <c r="O704" t="s">
        <v>1991</v>
      </c>
      <c r="P704" t="s">
        <v>1992</v>
      </c>
      <c r="Q704" t="s">
        <v>1992</v>
      </c>
      <c r="R704" t="s">
        <v>1992</v>
      </c>
      <c r="S704" t="s">
        <v>1992</v>
      </c>
      <c r="T704" t="s">
        <v>1992</v>
      </c>
      <c r="U704" t="s">
        <v>1992</v>
      </c>
      <c r="V704" t="s">
        <v>1991</v>
      </c>
      <c r="W704" t="s">
        <v>1991</v>
      </c>
      <c r="X704" t="s">
        <v>1991</v>
      </c>
      <c r="Y704" t="s">
        <v>1992</v>
      </c>
      <c r="Z704" t="s">
        <v>1992</v>
      </c>
      <c r="AF704" t="s">
        <v>2016</v>
      </c>
      <c r="AG704" t="s">
        <v>1991</v>
      </c>
      <c r="AH704">
        <v>30</v>
      </c>
      <c r="AI704">
        <v>30</v>
      </c>
      <c r="AJ704" t="s">
        <v>5301</v>
      </c>
      <c r="AK704">
        <v>425</v>
      </c>
      <c r="AL704">
        <v>50000</v>
      </c>
      <c r="AM704" t="s">
        <v>5302</v>
      </c>
      <c r="AN704" t="s">
        <v>2066</v>
      </c>
      <c r="AO704" t="s">
        <v>2063</v>
      </c>
      <c r="BF704" t="s">
        <v>1053</v>
      </c>
      <c r="BG704" t="s">
        <v>5303</v>
      </c>
      <c r="BH704" t="s">
        <v>367</v>
      </c>
      <c r="BI704" t="s">
        <v>1053</v>
      </c>
      <c r="BJ704" t="s">
        <v>1053</v>
      </c>
      <c r="BK704" t="s">
        <v>1053</v>
      </c>
      <c r="BL704" t="s">
        <v>1053</v>
      </c>
      <c r="BO704" t="s">
        <v>1053</v>
      </c>
      <c r="BP704" t="s">
        <v>2514</v>
      </c>
      <c r="BQ704" t="s">
        <v>367</v>
      </c>
      <c r="BR704" t="s">
        <v>1053</v>
      </c>
      <c r="BS704" t="s">
        <v>1053</v>
      </c>
      <c r="BT704" t="s">
        <v>1053</v>
      </c>
      <c r="BU704" t="s">
        <v>1053</v>
      </c>
      <c r="BV704" t="s">
        <v>2347</v>
      </c>
      <c r="BX704" t="str">
        <f>"-MTWT-- 0500-0830 1530-2030; -----F- 0500-0830 1330-2030"</f>
        <v>-MTWT-- 0500-0830 1530-2030; -----F- 0500-0830 1330-2030</v>
      </c>
      <c r="BY704" t="str">
        <f>""</f>
        <v/>
      </c>
      <c r="BZ704" t="str">
        <f>""</f>
        <v/>
      </c>
      <c r="CA704" t="str">
        <f>""</f>
        <v/>
      </c>
      <c r="CB704" t="str">
        <f>""</f>
        <v/>
      </c>
      <c r="CC704" t="str">
        <f>"-MTWT-- 0500-0830 1530-2030; -----F- 0500-0830 1330-2030"</f>
        <v>-MTWT-- 0500-0830 1530-2030; -----F- 0500-0830 1330-2030</v>
      </c>
      <c r="CD704" t="str">
        <f>""</f>
        <v/>
      </c>
      <c r="CE704" t="str">
        <f>""</f>
        <v/>
      </c>
      <c r="CF704" t="str">
        <f>""</f>
        <v/>
      </c>
      <c r="CG704" t="str">
        <f>""</f>
        <v/>
      </c>
      <c r="CH704" t="str">
        <f>""</f>
        <v/>
      </c>
    </row>
    <row r="705" spans="1:86" x14ac:dyDescent="0.25">
      <c r="A705" t="s">
        <v>5304</v>
      </c>
      <c r="B705" t="s">
        <v>5305</v>
      </c>
      <c r="C705" t="s">
        <v>1992</v>
      </c>
      <c r="D705" t="s">
        <v>2010</v>
      </c>
      <c r="E705" t="s">
        <v>5306</v>
      </c>
      <c r="H705" t="s">
        <v>5307</v>
      </c>
      <c r="I705" t="s">
        <v>2061</v>
      </c>
      <c r="J705" t="str">
        <f>"95677"</f>
        <v>95677</v>
      </c>
      <c r="K705" t="s">
        <v>1998</v>
      </c>
      <c r="L705" t="s">
        <v>2062</v>
      </c>
      <c r="M705" t="s">
        <v>2000</v>
      </c>
      <c r="N705" t="s">
        <v>1992</v>
      </c>
      <c r="O705" t="s">
        <v>1991</v>
      </c>
      <c r="P705" t="s">
        <v>1992</v>
      </c>
      <c r="Q705" t="s">
        <v>1992</v>
      </c>
      <c r="R705" t="s">
        <v>1992</v>
      </c>
      <c r="S705" t="s">
        <v>1992</v>
      </c>
      <c r="T705" t="s">
        <v>1992</v>
      </c>
      <c r="U705" t="s">
        <v>1992</v>
      </c>
      <c r="V705" t="s">
        <v>1991</v>
      </c>
      <c r="W705" t="s">
        <v>1991</v>
      </c>
      <c r="X705" t="s">
        <v>1992</v>
      </c>
      <c r="Y705" t="s">
        <v>1991</v>
      </c>
      <c r="Z705" t="s">
        <v>1992</v>
      </c>
      <c r="AA705" t="s">
        <v>1992</v>
      </c>
      <c r="AF705" t="s">
        <v>2064</v>
      </c>
      <c r="AG705" t="s">
        <v>1991</v>
      </c>
      <c r="AH705">
        <v>30</v>
      </c>
      <c r="AI705">
        <v>30</v>
      </c>
      <c r="AJ705" t="s">
        <v>5308</v>
      </c>
      <c r="AK705">
        <v>254</v>
      </c>
      <c r="AM705" t="s">
        <v>2298</v>
      </c>
      <c r="AN705" t="s">
        <v>2066</v>
      </c>
      <c r="AO705" t="s">
        <v>2063</v>
      </c>
      <c r="BF705" t="s">
        <v>1053</v>
      </c>
      <c r="BG705" t="s">
        <v>347</v>
      </c>
      <c r="BH705" t="s">
        <v>348</v>
      </c>
      <c r="BI705" t="s">
        <v>1053</v>
      </c>
      <c r="BK705" t="s">
        <v>1053</v>
      </c>
      <c r="BO705" t="s">
        <v>1053</v>
      </c>
      <c r="BP705" t="s">
        <v>349</v>
      </c>
      <c r="BQ705" t="s">
        <v>348</v>
      </c>
      <c r="BR705" t="s">
        <v>1053</v>
      </c>
      <c r="BT705" t="s">
        <v>1053</v>
      </c>
      <c r="BX705" t="str">
        <f>"SMTWTFS 0600-2000"</f>
        <v>SMTWTFS 0600-2000</v>
      </c>
      <c r="BY705" t="str">
        <f>""</f>
        <v/>
      </c>
      <c r="BZ705" t="str">
        <f>""</f>
        <v/>
      </c>
      <c r="CA705" t="str">
        <f>""</f>
        <v/>
      </c>
      <c r="CB705" t="str">
        <f>""</f>
        <v/>
      </c>
      <c r="CC705" t="str">
        <f>"SMTWTFS 0600-2000"</f>
        <v>SMTWTFS 0600-2000</v>
      </c>
      <c r="CD705" t="str">
        <f>""</f>
        <v/>
      </c>
      <c r="CE705" t="str">
        <f>""</f>
        <v/>
      </c>
      <c r="CF705" t="str">
        <f>""</f>
        <v/>
      </c>
      <c r="CG705" t="str">
        <f>""</f>
        <v/>
      </c>
      <c r="CH705" t="str">
        <f>""</f>
        <v/>
      </c>
    </row>
    <row r="706" spans="1:86" x14ac:dyDescent="0.25">
      <c r="A706" t="s">
        <v>5309</v>
      </c>
      <c r="B706" t="s">
        <v>5310</v>
      </c>
      <c r="D706" t="s">
        <v>2089</v>
      </c>
      <c r="AJ706" t="s">
        <v>2090</v>
      </c>
      <c r="BX706" t="str">
        <f>""</f>
        <v/>
      </c>
      <c r="BY706" t="str">
        <f>""</f>
        <v/>
      </c>
      <c r="BZ706" t="str">
        <f>""</f>
        <v/>
      </c>
      <c r="CA706" t="str">
        <f>""</f>
        <v/>
      </c>
      <c r="CB706" t="str">
        <f>""</f>
        <v/>
      </c>
      <c r="CC706" t="str">
        <f>""</f>
        <v/>
      </c>
      <c r="CD706" t="str">
        <f>""</f>
        <v/>
      </c>
      <c r="CE706" t="str">
        <f>""</f>
        <v/>
      </c>
      <c r="CF706" t="str">
        <f>""</f>
        <v/>
      </c>
      <c r="CG706" t="str">
        <f>""</f>
        <v/>
      </c>
      <c r="CH706" t="str">
        <f>""</f>
        <v/>
      </c>
    </row>
    <row r="707" spans="1:86" x14ac:dyDescent="0.25">
      <c r="A707" t="s">
        <v>5311</v>
      </c>
      <c r="B707" t="s">
        <v>5312</v>
      </c>
      <c r="C707" t="s">
        <v>1991</v>
      </c>
      <c r="D707" t="s">
        <v>2010</v>
      </c>
      <c r="E707" t="s">
        <v>5313</v>
      </c>
      <c r="H707" t="s">
        <v>5314</v>
      </c>
      <c r="I707" t="s">
        <v>700</v>
      </c>
      <c r="J707" t="str">
        <f>"27804-5820"</f>
        <v>27804-5820</v>
      </c>
      <c r="K707" t="s">
        <v>1998</v>
      </c>
      <c r="L707" t="s">
        <v>408</v>
      </c>
      <c r="M707" t="s">
        <v>5315</v>
      </c>
      <c r="N707" t="s">
        <v>1991</v>
      </c>
      <c r="O707" t="s">
        <v>1991</v>
      </c>
      <c r="P707" t="s">
        <v>1992</v>
      </c>
      <c r="Q707" t="s">
        <v>1991</v>
      </c>
      <c r="R707" t="s">
        <v>1991</v>
      </c>
      <c r="S707" t="s">
        <v>1992</v>
      </c>
      <c r="T707" t="s">
        <v>1992</v>
      </c>
      <c r="U707" t="s">
        <v>1991</v>
      </c>
      <c r="V707" t="s">
        <v>1991</v>
      </c>
      <c r="W707" t="s">
        <v>1991</v>
      </c>
      <c r="X707" t="s">
        <v>1992</v>
      </c>
      <c r="Y707" t="s">
        <v>1992</v>
      </c>
      <c r="Z707" t="s">
        <v>1991</v>
      </c>
      <c r="AA707" t="s">
        <v>1992</v>
      </c>
      <c r="AE707" t="s">
        <v>2047</v>
      </c>
      <c r="AF707" t="s">
        <v>2016</v>
      </c>
      <c r="AG707" t="s">
        <v>1991</v>
      </c>
      <c r="AH707">
        <v>60</v>
      </c>
      <c r="AI707">
        <v>30</v>
      </c>
      <c r="AJ707" t="s">
        <v>5316</v>
      </c>
      <c r="AK707">
        <v>113</v>
      </c>
      <c r="AL707">
        <v>60000</v>
      </c>
      <c r="AM707" t="s">
        <v>5317</v>
      </c>
      <c r="AN707" t="s">
        <v>1053</v>
      </c>
      <c r="AO707" t="s">
        <v>1053</v>
      </c>
      <c r="AP707" t="s">
        <v>2069</v>
      </c>
      <c r="AQ707" t="s">
        <v>1053</v>
      </c>
      <c r="AR707" t="s">
        <v>2069</v>
      </c>
      <c r="AS707" t="s">
        <v>5311</v>
      </c>
      <c r="AT707" t="s">
        <v>5318</v>
      </c>
      <c r="AU707" t="s">
        <v>1053</v>
      </c>
      <c r="AV707" t="s">
        <v>1053</v>
      </c>
      <c r="AW707" t="s">
        <v>2069</v>
      </c>
      <c r="AX707" t="s">
        <v>1053</v>
      </c>
      <c r="AY707" t="s">
        <v>2069</v>
      </c>
      <c r="AZ707" t="s">
        <v>5311</v>
      </c>
      <c r="BA707" t="s">
        <v>5318</v>
      </c>
      <c r="BB707" t="s">
        <v>1053</v>
      </c>
      <c r="BC707" t="s">
        <v>2069</v>
      </c>
      <c r="BD707" t="s">
        <v>1053</v>
      </c>
      <c r="BE707" t="s">
        <v>2069</v>
      </c>
      <c r="BF707" t="s">
        <v>1053</v>
      </c>
      <c r="BG707" t="s">
        <v>703</v>
      </c>
      <c r="BH707" t="s">
        <v>704</v>
      </c>
      <c r="BI707" t="s">
        <v>1053</v>
      </c>
      <c r="BJ707" t="s">
        <v>1053</v>
      </c>
      <c r="BK707" t="s">
        <v>1053</v>
      </c>
      <c r="BL707" t="s">
        <v>1053</v>
      </c>
      <c r="BM707" t="s">
        <v>705</v>
      </c>
      <c r="BO707" t="s">
        <v>1053</v>
      </c>
      <c r="BP707" t="s">
        <v>2375</v>
      </c>
      <c r="BQ707" t="s">
        <v>427</v>
      </c>
      <c r="BR707" t="s">
        <v>1053</v>
      </c>
      <c r="BS707" t="s">
        <v>1053</v>
      </c>
      <c r="BT707" t="s">
        <v>1053</v>
      </c>
      <c r="BU707" t="s">
        <v>1053</v>
      </c>
      <c r="BV707" t="s">
        <v>416</v>
      </c>
      <c r="BW707" t="s">
        <v>417</v>
      </c>
      <c r="BX707" t="str">
        <f>"SMTWTFS 0000-2359"</f>
        <v>SMTWTFS 0000-2359</v>
      </c>
      <c r="BY707" t="str">
        <f>"SMTWTFS 0000-2359"</f>
        <v>SMTWTFS 0000-2359</v>
      </c>
      <c r="BZ707" t="str">
        <f>"SMTWTFS 0000-2359"</f>
        <v>SMTWTFS 0000-2359</v>
      </c>
      <c r="CA707" t="str">
        <f>"SMTWTFS 0000-2359"</f>
        <v>SMTWTFS 0000-2359</v>
      </c>
      <c r="CB707" t="str">
        <f>""</f>
        <v/>
      </c>
      <c r="CC707" t="str">
        <f>"SMTWTFS 0000-2359"</f>
        <v>SMTWTFS 0000-2359</v>
      </c>
      <c r="CD707" t="str">
        <f>""</f>
        <v/>
      </c>
      <c r="CE707" t="str">
        <f>""</f>
        <v/>
      </c>
      <c r="CF707" t="str">
        <f>"SMTWTFS 0000-2359"</f>
        <v>SMTWTFS 0000-2359</v>
      </c>
      <c r="CG707" t="str">
        <f>""</f>
        <v/>
      </c>
      <c r="CH707" t="str">
        <f>"SMTWTFS 0000-2359"</f>
        <v>SMTWTFS 0000-2359</v>
      </c>
    </row>
    <row r="708" spans="1:86" x14ac:dyDescent="0.25">
      <c r="A708" t="s">
        <v>5319</v>
      </c>
      <c r="B708" t="s">
        <v>5320</v>
      </c>
      <c r="C708" t="s">
        <v>1991</v>
      </c>
      <c r="D708" t="s">
        <v>2010</v>
      </c>
      <c r="E708" t="s">
        <v>5321</v>
      </c>
      <c r="F708" t="s">
        <v>5322</v>
      </c>
      <c r="G708" t="s">
        <v>5323</v>
      </c>
      <c r="H708" t="s">
        <v>5324</v>
      </c>
      <c r="I708" t="s">
        <v>1371</v>
      </c>
      <c r="J708" t="str">
        <f>"89501-1425"</f>
        <v>89501-1425</v>
      </c>
      <c r="K708" t="s">
        <v>1998</v>
      </c>
      <c r="L708" t="s">
        <v>2062</v>
      </c>
      <c r="M708" t="s">
        <v>5325</v>
      </c>
      <c r="N708" t="s">
        <v>1991</v>
      </c>
      <c r="O708" t="s">
        <v>1991</v>
      </c>
      <c r="P708" t="s">
        <v>1992</v>
      </c>
      <c r="Q708" t="s">
        <v>1991</v>
      </c>
      <c r="R708" t="s">
        <v>1991</v>
      </c>
      <c r="S708" t="s">
        <v>1992</v>
      </c>
      <c r="T708" t="s">
        <v>1992</v>
      </c>
      <c r="U708" t="s">
        <v>1991</v>
      </c>
      <c r="V708" t="s">
        <v>1991</v>
      </c>
      <c r="W708" t="s">
        <v>1991</v>
      </c>
      <c r="X708" t="s">
        <v>1992</v>
      </c>
      <c r="Y708" t="s">
        <v>1991</v>
      </c>
      <c r="Z708" t="s">
        <v>1992</v>
      </c>
      <c r="AA708" t="s">
        <v>1992</v>
      </c>
      <c r="AE708" t="s">
        <v>2047</v>
      </c>
      <c r="AF708" t="s">
        <v>2064</v>
      </c>
      <c r="AG708" t="s">
        <v>1991</v>
      </c>
      <c r="AH708">
        <v>60</v>
      </c>
      <c r="AI708">
        <v>20</v>
      </c>
      <c r="AJ708" t="s">
        <v>5326</v>
      </c>
      <c r="AK708">
        <v>4501</v>
      </c>
      <c r="AL708">
        <v>120000</v>
      </c>
      <c r="AN708" t="s">
        <v>1053</v>
      </c>
      <c r="AO708" t="s">
        <v>1053</v>
      </c>
      <c r="AP708" t="s">
        <v>2069</v>
      </c>
      <c r="AQ708" t="s">
        <v>1053</v>
      </c>
      <c r="AR708" t="s">
        <v>2069</v>
      </c>
      <c r="AS708" t="s">
        <v>5319</v>
      </c>
      <c r="AT708" t="s">
        <v>5327</v>
      </c>
      <c r="AU708" t="s">
        <v>1414</v>
      </c>
      <c r="AV708" t="s">
        <v>1053</v>
      </c>
      <c r="AW708" t="s">
        <v>2069</v>
      </c>
      <c r="AX708" t="s">
        <v>1053</v>
      </c>
      <c r="AY708" t="s">
        <v>2069</v>
      </c>
      <c r="AZ708" t="s">
        <v>5319</v>
      </c>
      <c r="BA708" t="s">
        <v>5327</v>
      </c>
      <c r="BB708" t="s">
        <v>1053</v>
      </c>
      <c r="BC708" t="s">
        <v>2069</v>
      </c>
      <c r="BD708" t="s">
        <v>1053</v>
      </c>
      <c r="BE708" t="s">
        <v>2069</v>
      </c>
      <c r="BF708" t="s">
        <v>1053</v>
      </c>
      <c r="BG708" t="s">
        <v>2067</v>
      </c>
      <c r="BH708" t="s">
        <v>5328</v>
      </c>
      <c r="BI708" t="s">
        <v>1053</v>
      </c>
      <c r="BO708" t="s">
        <v>1053</v>
      </c>
      <c r="BP708" t="s">
        <v>675</v>
      </c>
      <c r="BQ708" t="s">
        <v>2073</v>
      </c>
      <c r="BR708" t="s">
        <v>1053</v>
      </c>
      <c r="BS708" t="s">
        <v>1053</v>
      </c>
      <c r="BX708" t="str">
        <f>"SMTWTFS 0730-1700"</f>
        <v>SMTWTFS 0730-1700</v>
      </c>
      <c r="BY708" t="str">
        <f>"SMTWTFS 0730-1700"</f>
        <v>SMTWTFS 0730-1700</v>
      </c>
      <c r="BZ708" t="str">
        <f>"SMTWTFS 0730-1705"</f>
        <v>SMTWTFS 0730-1705</v>
      </c>
      <c r="CA708" t="str">
        <f>"SMTWTFS 0730-1700"</f>
        <v>SMTWTFS 0730-1700</v>
      </c>
      <c r="CB708" t="str">
        <f>""</f>
        <v/>
      </c>
      <c r="CC708" t="str">
        <f>"SMTWTFS 0730-1700"</f>
        <v>SMTWTFS 0730-1700</v>
      </c>
      <c r="CD708" t="str">
        <f>""</f>
        <v/>
      </c>
      <c r="CE708" t="str">
        <f>""</f>
        <v/>
      </c>
      <c r="CF708" t="str">
        <f>"SMTWTFS 0845-1500"</f>
        <v>SMTWTFS 0845-1500</v>
      </c>
      <c r="CG708" t="str">
        <f>""</f>
        <v/>
      </c>
      <c r="CH708" t="str">
        <f>""</f>
        <v/>
      </c>
    </row>
    <row r="709" spans="1:86" x14ac:dyDescent="0.25">
      <c r="A709" t="s">
        <v>5329</v>
      </c>
      <c r="B709" t="s">
        <v>5330</v>
      </c>
      <c r="C709" t="s">
        <v>1992</v>
      </c>
      <c r="D709" t="s">
        <v>1993</v>
      </c>
      <c r="E709" t="s">
        <v>5331</v>
      </c>
      <c r="F709" t="s">
        <v>5332</v>
      </c>
      <c r="H709" t="s">
        <v>123</v>
      </c>
      <c r="I709" t="s">
        <v>2295</v>
      </c>
      <c r="J709" t="str">
        <f>"97601"</f>
        <v>97601</v>
      </c>
      <c r="K709" t="s">
        <v>1998</v>
      </c>
      <c r="L709" t="s">
        <v>231</v>
      </c>
      <c r="M709" t="s">
        <v>2000</v>
      </c>
      <c r="N709" t="s">
        <v>1992</v>
      </c>
      <c r="O709" t="s">
        <v>1992</v>
      </c>
      <c r="P709" t="s">
        <v>1992</v>
      </c>
      <c r="Q709" t="s">
        <v>1992</v>
      </c>
      <c r="R709" t="s">
        <v>1992</v>
      </c>
      <c r="S709" t="s">
        <v>1992</v>
      </c>
      <c r="T709" t="s">
        <v>1992</v>
      </c>
      <c r="U709" t="s">
        <v>1992</v>
      </c>
      <c r="V709" t="s">
        <v>1991</v>
      </c>
      <c r="Z709" t="s">
        <v>1991</v>
      </c>
      <c r="AF709" t="s">
        <v>2064</v>
      </c>
      <c r="AG709" t="s">
        <v>1991</v>
      </c>
      <c r="AH709">
        <v>15</v>
      </c>
      <c r="AI709">
        <v>15</v>
      </c>
      <c r="AJ709" t="s">
        <v>5333</v>
      </c>
      <c r="AK709">
        <v>4220</v>
      </c>
      <c r="AM709" t="s">
        <v>3544</v>
      </c>
      <c r="BX709" t="str">
        <f>""</f>
        <v/>
      </c>
      <c r="BY709" t="str">
        <f>""</f>
        <v/>
      </c>
      <c r="BZ709" t="str">
        <f>""</f>
        <v/>
      </c>
      <c r="CA709" t="str">
        <f>""</f>
        <v/>
      </c>
      <c r="CB709" t="str">
        <f>""</f>
        <v/>
      </c>
      <c r="CC709" t="str">
        <f>""</f>
        <v/>
      </c>
      <c r="CD709" t="str">
        <f>""</f>
        <v/>
      </c>
      <c r="CE709" t="str">
        <f>""</f>
        <v/>
      </c>
      <c r="CF709" t="str">
        <f>""</f>
        <v/>
      </c>
      <c r="CG709" t="str">
        <f>""</f>
        <v/>
      </c>
      <c r="CH709" t="str">
        <f>""</f>
        <v/>
      </c>
    </row>
    <row r="710" spans="1:86" x14ac:dyDescent="0.25">
      <c r="A710" t="s">
        <v>5334</v>
      </c>
      <c r="B710" t="s">
        <v>5335</v>
      </c>
      <c r="C710" t="s">
        <v>1991</v>
      </c>
      <c r="D710" t="s">
        <v>2010</v>
      </c>
      <c r="E710" t="s">
        <v>5336</v>
      </c>
      <c r="H710" t="s">
        <v>5337</v>
      </c>
      <c r="I710" t="s">
        <v>2321</v>
      </c>
      <c r="J710" t="str">
        <f>"14605"</f>
        <v>14605</v>
      </c>
      <c r="K710" t="s">
        <v>1998</v>
      </c>
      <c r="L710" t="s">
        <v>2033</v>
      </c>
      <c r="M710" t="s">
        <v>5338</v>
      </c>
      <c r="N710" t="s">
        <v>1991</v>
      </c>
      <c r="O710" t="s">
        <v>1991</v>
      </c>
      <c r="P710" t="s">
        <v>1992</v>
      </c>
      <c r="Q710" t="s">
        <v>1991</v>
      </c>
      <c r="R710" t="s">
        <v>1991</v>
      </c>
      <c r="S710" t="s">
        <v>1992</v>
      </c>
      <c r="T710" t="s">
        <v>1992</v>
      </c>
      <c r="U710" t="s">
        <v>1991</v>
      </c>
      <c r="V710" t="s">
        <v>1991</v>
      </c>
      <c r="W710" t="s">
        <v>1991</v>
      </c>
      <c r="X710" t="s">
        <v>1992</v>
      </c>
      <c r="Y710" t="s">
        <v>1992</v>
      </c>
      <c r="Z710" t="s">
        <v>1992</v>
      </c>
      <c r="AA710" t="s">
        <v>1992</v>
      </c>
      <c r="AE710" t="s">
        <v>2047</v>
      </c>
      <c r="AF710" t="s">
        <v>2016</v>
      </c>
      <c r="AG710" t="s">
        <v>1991</v>
      </c>
      <c r="AH710">
        <v>60</v>
      </c>
      <c r="AI710">
        <v>30</v>
      </c>
      <c r="AJ710" t="s">
        <v>5339</v>
      </c>
      <c r="AK710">
        <v>518</v>
      </c>
      <c r="AL710">
        <v>230000</v>
      </c>
      <c r="AN710" t="s">
        <v>1053</v>
      </c>
      <c r="AO710" t="s">
        <v>1053</v>
      </c>
      <c r="AP710" t="s">
        <v>2069</v>
      </c>
      <c r="AQ710" t="s">
        <v>1053</v>
      </c>
      <c r="AR710" t="s">
        <v>2069</v>
      </c>
      <c r="AS710" t="s">
        <v>5334</v>
      </c>
      <c r="AT710" t="s">
        <v>5340</v>
      </c>
      <c r="AU710" t="s">
        <v>1053</v>
      </c>
      <c r="AV710" t="s">
        <v>1053</v>
      </c>
      <c r="AW710" t="s">
        <v>2069</v>
      </c>
      <c r="AX710" t="s">
        <v>1053</v>
      </c>
      <c r="AY710" t="s">
        <v>2069</v>
      </c>
      <c r="AZ710" t="s">
        <v>5334</v>
      </c>
      <c r="BA710" t="s">
        <v>5340</v>
      </c>
      <c r="BB710" t="s">
        <v>1053</v>
      </c>
      <c r="BC710" t="s">
        <v>2069</v>
      </c>
      <c r="BD710" t="s">
        <v>1053</v>
      </c>
      <c r="BE710" t="s">
        <v>2069</v>
      </c>
      <c r="BF710" t="s">
        <v>1053</v>
      </c>
      <c r="BG710" t="s">
        <v>2067</v>
      </c>
      <c r="BH710" t="s">
        <v>631</v>
      </c>
      <c r="BI710" t="s">
        <v>1053</v>
      </c>
      <c r="BJ710" t="s">
        <v>2069</v>
      </c>
      <c r="BK710" t="s">
        <v>1053</v>
      </c>
      <c r="BL710" t="s">
        <v>2069</v>
      </c>
      <c r="BM710" t="s">
        <v>632</v>
      </c>
      <c r="BN710" t="s">
        <v>633</v>
      </c>
      <c r="BO710" t="s">
        <v>1053</v>
      </c>
      <c r="BP710" t="s">
        <v>634</v>
      </c>
      <c r="BQ710" t="s">
        <v>635</v>
      </c>
      <c r="BR710" t="s">
        <v>1053</v>
      </c>
      <c r="BT710" t="s">
        <v>1053</v>
      </c>
      <c r="BV710" t="s">
        <v>2324</v>
      </c>
      <c r="BX710" t="str">
        <f>"SMTWTFS 0000-0100 0500-2359"</f>
        <v>SMTWTFS 0000-0100 0500-2359</v>
      </c>
      <c r="BY710" t="str">
        <f>"SMTWTFS 0000-0100 0500-2359"</f>
        <v>SMTWTFS 0000-0100 0500-2359</v>
      </c>
      <c r="BZ710" t="str">
        <f>"SMTWTFS 0000-0100 0500-2359"</f>
        <v>SMTWTFS 0000-0100 0500-2359</v>
      </c>
      <c r="CA710" t="str">
        <f>"SMTWTFS 0000-0030 0500-2359"</f>
        <v>SMTWTFS 0000-0030 0500-2359</v>
      </c>
      <c r="CB710" t="str">
        <f>""</f>
        <v/>
      </c>
      <c r="CC710" t="str">
        <f>"SMTWTFS 0000-0100 0500-2359"</f>
        <v>SMTWTFS 0000-0100 0500-2359</v>
      </c>
      <c r="CD710" t="str">
        <f>""</f>
        <v/>
      </c>
      <c r="CE710" t="str">
        <f>""</f>
        <v/>
      </c>
      <c r="CF710" t="str">
        <f>"SMTWTFS 0000-0100 0500-2359"</f>
        <v>SMTWTFS 0000-0100 0500-2359</v>
      </c>
      <c r="CG710" t="str">
        <f>""</f>
        <v/>
      </c>
      <c r="CH710" t="str">
        <f>""</f>
        <v/>
      </c>
    </row>
    <row r="711" spans="1:86" x14ac:dyDescent="0.25">
      <c r="A711" t="s">
        <v>5341</v>
      </c>
      <c r="B711" t="s">
        <v>5342</v>
      </c>
      <c r="C711" t="s">
        <v>1992</v>
      </c>
      <c r="D711" t="s">
        <v>2010</v>
      </c>
      <c r="E711" t="s">
        <v>5343</v>
      </c>
      <c r="F711" t="s">
        <v>5344</v>
      </c>
      <c r="H711" t="s">
        <v>5345</v>
      </c>
      <c r="I711" t="s">
        <v>2287</v>
      </c>
      <c r="J711" t="str">
        <f>"04841-3366"</f>
        <v>04841-3366</v>
      </c>
      <c r="K711" t="s">
        <v>1998</v>
      </c>
      <c r="L711" t="s">
        <v>2033</v>
      </c>
      <c r="M711" t="s">
        <v>5346</v>
      </c>
      <c r="N711" t="s">
        <v>1992</v>
      </c>
      <c r="O711" t="s">
        <v>1992</v>
      </c>
      <c r="P711" t="s">
        <v>1992</v>
      </c>
      <c r="Q711" t="s">
        <v>1992</v>
      </c>
      <c r="R711" t="s">
        <v>1992</v>
      </c>
      <c r="S711" t="s">
        <v>1992</v>
      </c>
      <c r="T711" t="s">
        <v>1992</v>
      </c>
      <c r="U711" t="s">
        <v>1992</v>
      </c>
      <c r="V711" t="s">
        <v>1991</v>
      </c>
      <c r="W711" t="s">
        <v>1992</v>
      </c>
      <c r="X711" t="s">
        <v>1992</v>
      </c>
      <c r="Y711" t="s">
        <v>1992</v>
      </c>
      <c r="Z711" t="s">
        <v>1991</v>
      </c>
      <c r="AE711" t="s">
        <v>473</v>
      </c>
      <c r="AF711" t="s">
        <v>2016</v>
      </c>
      <c r="AG711" t="s">
        <v>1991</v>
      </c>
      <c r="AH711">
        <v>30</v>
      </c>
      <c r="AI711">
        <v>30</v>
      </c>
      <c r="AJ711" t="s">
        <v>5347</v>
      </c>
      <c r="AK711">
        <v>2</v>
      </c>
      <c r="AM711" t="s">
        <v>5348</v>
      </c>
      <c r="AN711" t="s">
        <v>5349</v>
      </c>
      <c r="AO711" t="s">
        <v>1053</v>
      </c>
      <c r="BF711" t="s">
        <v>1053</v>
      </c>
      <c r="BG711" t="s">
        <v>476</v>
      </c>
      <c r="BH711" t="s">
        <v>477</v>
      </c>
      <c r="BI711" t="s">
        <v>1053</v>
      </c>
      <c r="BK711" t="s">
        <v>1053</v>
      </c>
      <c r="BX711" t="str">
        <f>"SMTWTFS 0630-1700"</f>
        <v>SMTWTFS 0630-1700</v>
      </c>
      <c r="BY711" t="str">
        <f>""</f>
        <v/>
      </c>
      <c r="BZ711" t="str">
        <f>""</f>
        <v/>
      </c>
      <c r="CA711" t="str">
        <f>""</f>
        <v/>
      </c>
      <c r="CB711" t="str">
        <f>""</f>
        <v/>
      </c>
      <c r="CC711" t="str">
        <f>""</f>
        <v/>
      </c>
      <c r="CD711" t="str">
        <f>""</f>
        <v/>
      </c>
      <c r="CE711" t="str">
        <f>""</f>
        <v/>
      </c>
      <c r="CF711" t="str">
        <f>""</f>
        <v/>
      </c>
      <c r="CG711" t="str">
        <f>""</f>
        <v/>
      </c>
      <c r="CH711" t="str">
        <f>""</f>
        <v/>
      </c>
    </row>
    <row r="712" spans="1:86" x14ac:dyDescent="0.25">
      <c r="A712" t="s">
        <v>5350</v>
      </c>
      <c r="B712" t="s">
        <v>5351</v>
      </c>
      <c r="C712" t="s">
        <v>1992</v>
      </c>
      <c r="D712" t="s">
        <v>2010</v>
      </c>
      <c r="E712" t="s">
        <v>5352</v>
      </c>
      <c r="H712" t="s">
        <v>5353</v>
      </c>
      <c r="I712" t="s">
        <v>2321</v>
      </c>
      <c r="J712" t="str">
        <f>"13440"</f>
        <v>13440</v>
      </c>
      <c r="K712" t="s">
        <v>1998</v>
      </c>
      <c r="L712" t="s">
        <v>2033</v>
      </c>
      <c r="M712" t="s">
        <v>2063</v>
      </c>
      <c r="N712" t="s">
        <v>1992</v>
      </c>
      <c r="O712" t="s">
        <v>1992</v>
      </c>
      <c r="P712" t="s">
        <v>1992</v>
      </c>
      <c r="Q712" t="s">
        <v>1992</v>
      </c>
      <c r="R712" t="s">
        <v>1992</v>
      </c>
      <c r="S712" t="s">
        <v>1992</v>
      </c>
      <c r="T712" t="s">
        <v>1992</v>
      </c>
      <c r="U712" t="s">
        <v>1992</v>
      </c>
      <c r="V712" t="s">
        <v>1991</v>
      </c>
      <c r="W712" t="s">
        <v>1991</v>
      </c>
      <c r="X712" t="s">
        <v>1992</v>
      </c>
      <c r="Y712" t="s">
        <v>1992</v>
      </c>
      <c r="Z712" t="s">
        <v>1992</v>
      </c>
      <c r="AF712" t="s">
        <v>2016</v>
      </c>
      <c r="AG712" t="s">
        <v>1991</v>
      </c>
      <c r="AH712">
        <v>30</v>
      </c>
      <c r="AI712">
        <v>30</v>
      </c>
      <c r="AJ712" t="s">
        <v>5354</v>
      </c>
      <c r="AK712">
        <v>437</v>
      </c>
      <c r="AL712">
        <v>34220</v>
      </c>
      <c r="AN712" t="s">
        <v>2066</v>
      </c>
      <c r="AO712" t="s">
        <v>2063</v>
      </c>
      <c r="BF712" t="s">
        <v>1053</v>
      </c>
      <c r="BG712" t="s">
        <v>2067</v>
      </c>
      <c r="BH712" t="s">
        <v>5355</v>
      </c>
      <c r="BI712" t="s">
        <v>1053</v>
      </c>
      <c r="BJ712" t="s">
        <v>2069</v>
      </c>
      <c r="BK712" t="s">
        <v>1053</v>
      </c>
      <c r="BL712" t="s">
        <v>2069</v>
      </c>
      <c r="BM712" t="s">
        <v>632</v>
      </c>
      <c r="BN712" t="s">
        <v>633</v>
      </c>
      <c r="BO712" t="s">
        <v>1053</v>
      </c>
      <c r="BP712" t="s">
        <v>634</v>
      </c>
      <c r="BQ712" t="s">
        <v>635</v>
      </c>
      <c r="BR712" t="s">
        <v>1053</v>
      </c>
      <c r="BS712" t="s">
        <v>2069</v>
      </c>
      <c r="BT712" t="s">
        <v>1053</v>
      </c>
      <c r="BU712" t="s">
        <v>2069</v>
      </c>
      <c r="BV712" t="s">
        <v>2324</v>
      </c>
      <c r="BW712" t="s">
        <v>2325</v>
      </c>
      <c r="BX712" t="str">
        <f>"SMTWTFS 0700-2300"</f>
        <v>SMTWTFS 0700-2300</v>
      </c>
      <c r="BY712" t="str">
        <f>""</f>
        <v/>
      </c>
      <c r="BZ712" t="str">
        <f>""</f>
        <v/>
      </c>
      <c r="CA712" t="str">
        <f>""</f>
        <v/>
      </c>
      <c r="CB712" t="str">
        <f>""</f>
        <v/>
      </c>
      <c r="CC712" t="str">
        <f>""</f>
        <v/>
      </c>
      <c r="CD712" t="str">
        <f>""</f>
        <v/>
      </c>
      <c r="CE712" t="str">
        <f>""</f>
        <v/>
      </c>
      <c r="CF712" t="str">
        <f>""</f>
        <v/>
      </c>
      <c r="CG712" t="str">
        <f>""</f>
        <v/>
      </c>
      <c r="CH712" t="str">
        <f>""</f>
        <v/>
      </c>
    </row>
    <row r="713" spans="1:86" x14ac:dyDescent="0.25">
      <c r="A713" t="s">
        <v>5356</v>
      </c>
      <c r="B713" t="s">
        <v>5357</v>
      </c>
      <c r="C713" t="s">
        <v>1992</v>
      </c>
      <c r="D713" t="s">
        <v>2028</v>
      </c>
      <c r="E713" t="s">
        <v>5358</v>
      </c>
      <c r="H713" t="s">
        <v>5359</v>
      </c>
      <c r="I713" t="s">
        <v>2352</v>
      </c>
      <c r="J713" t="str">
        <f>"48069"</f>
        <v>48069</v>
      </c>
      <c r="K713" t="s">
        <v>1998</v>
      </c>
      <c r="L713" t="s">
        <v>1999</v>
      </c>
      <c r="M713" t="s">
        <v>2063</v>
      </c>
      <c r="N713" t="s">
        <v>1992</v>
      </c>
      <c r="O713" t="s">
        <v>1991</v>
      </c>
      <c r="P713" t="s">
        <v>1992</v>
      </c>
      <c r="Q713" t="s">
        <v>1992</v>
      </c>
      <c r="R713" t="s">
        <v>1992</v>
      </c>
      <c r="S713" t="s">
        <v>1992</v>
      </c>
      <c r="T713" t="s">
        <v>1992</v>
      </c>
      <c r="U713" t="s">
        <v>1992</v>
      </c>
      <c r="V713" t="s">
        <v>1991</v>
      </c>
      <c r="W713" t="s">
        <v>1991</v>
      </c>
      <c r="X713" t="s">
        <v>1992</v>
      </c>
      <c r="Y713" t="s">
        <v>1992</v>
      </c>
      <c r="Z713" t="s">
        <v>1992</v>
      </c>
      <c r="AA713" t="s">
        <v>1991</v>
      </c>
      <c r="AF713" t="s">
        <v>2016</v>
      </c>
      <c r="AG713" t="s">
        <v>1991</v>
      </c>
      <c r="AH713">
        <v>30</v>
      </c>
      <c r="AI713">
        <v>30</v>
      </c>
      <c r="AJ713" t="s">
        <v>5360</v>
      </c>
      <c r="AK713">
        <v>664</v>
      </c>
      <c r="AL713">
        <v>57984</v>
      </c>
      <c r="AM713" t="s">
        <v>5361</v>
      </c>
      <c r="AN713" t="s">
        <v>2066</v>
      </c>
      <c r="AO713" t="s">
        <v>2311</v>
      </c>
      <c r="BF713" t="s">
        <v>1053</v>
      </c>
      <c r="BG713" t="s">
        <v>643</v>
      </c>
      <c r="BH713" t="s">
        <v>644</v>
      </c>
      <c r="BI713" t="s">
        <v>1053</v>
      </c>
      <c r="BJ713" t="s">
        <v>2069</v>
      </c>
      <c r="BK713" t="s">
        <v>1053</v>
      </c>
      <c r="BL713" t="s">
        <v>2069</v>
      </c>
      <c r="BM713" t="s">
        <v>2313</v>
      </c>
      <c r="BN713" t="s">
        <v>2314</v>
      </c>
      <c r="BO713" t="s">
        <v>1053</v>
      </c>
      <c r="BP713" t="s">
        <v>301</v>
      </c>
      <c r="BQ713" t="s">
        <v>2316</v>
      </c>
      <c r="BR713" t="s">
        <v>1053</v>
      </c>
      <c r="BT713" t="s">
        <v>1053</v>
      </c>
      <c r="BX713" t="str">
        <f>""</f>
        <v/>
      </c>
      <c r="BY713" t="str">
        <f>""</f>
        <v/>
      </c>
      <c r="BZ713" t="str">
        <f>""</f>
        <v/>
      </c>
      <c r="CA713" t="str">
        <f>""</f>
        <v/>
      </c>
      <c r="CB713" t="str">
        <f>""</f>
        <v/>
      </c>
      <c r="CC713" t="str">
        <f>"-M-WTF- 0830-1730; --T---- 0830-1630; ------S 0900-1200"</f>
        <v>-M-WTF- 0830-1730; --T---- 0830-1630; ------S 0900-1200</v>
      </c>
      <c r="CD713" t="str">
        <f>""</f>
        <v/>
      </c>
      <c r="CE713" t="str">
        <f>""</f>
        <v/>
      </c>
      <c r="CF713" t="str">
        <f>""</f>
        <v/>
      </c>
      <c r="CG713" t="str">
        <f>""</f>
        <v/>
      </c>
      <c r="CH713" t="str">
        <f>""</f>
        <v/>
      </c>
    </row>
    <row r="714" spans="1:86" x14ac:dyDescent="0.25">
      <c r="A714" t="s">
        <v>5362</v>
      </c>
      <c r="B714" t="s">
        <v>5363</v>
      </c>
      <c r="D714" t="s">
        <v>2089</v>
      </c>
      <c r="AJ714" t="s">
        <v>2090</v>
      </c>
      <c r="BX714" t="str">
        <f>""</f>
        <v/>
      </c>
      <c r="BY714" t="str">
        <f>""</f>
        <v/>
      </c>
      <c r="BZ714" t="str">
        <f>""</f>
        <v/>
      </c>
      <c r="CA714" t="str">
        <f>""</f>
        <v/>
      </c>
      <c r="CB714" t="str">
        <f>""</f>
        <v/>
      </c>
      <c r="CC714" t="str">
        <f>""</f>
        <v/>
      </c>
      <c r="CD714" t="str">
        <f>""</f>
        <v/>
      </c>
      <c r="CE714" t="str">
        <f>""</f>
        <v/>
      </c>
      <c r="CF714" t="str">
        <f>""</f>
        <v/>
      </c>
      <c r="CG714" t="str">
        <f>""</f>
        <v/>
      </c>
      <c r="CH714" t="str">
        <f>""</f>
        <v/>
      </c>
    </row>
    <row r="715" spans="1:86" x14ac:dyDescent="0.25">
      <c r="A715" t="s">
        <v>5364</v>
      </c>
      <c r="B715" t="s">
        <v>5365</v>
      </c>
      <c r="C715" t="s">
        <v>1992</v>
      </c>
      <c r="D715" t="s">
        <v>1993</v>
      </c>
      <c r="E715" t="s">
        <v>5366</v>
      </c>
      <c r="F715" t="s">
        <v>5367</v>
      </c>
      <c r="G715" t="s">
        <v>5368</v>
      </c>
      <c r="H715" t="s">
        <v>5369</v>
      </c>
      <c r="I715" t="s">
        <v>2061</v>
      </c>
      <c r="J715" t="str">
        <f>"94928"</f>
        <v>94928</v>
      </c>
      <c r="K715" t="s">
        <v>1998</v>
      </c>
      <c r="L715" t="s">
        <v>2062</v>
      </c>
      <c r="M715" t="s">
        <v>2063</v>
      </c>
      <c r="N715" t="s">
        <v>1992</v>
      </c>
      <c r="O715" t="s">
        <v>1992</v>
      </c>
      <c r="P715" t="s">
        <v>1992</v>
      </c>
      <c r="Q715" t="s">
        <v>1992</v>
      </c>
      <c r="R715" t="s">
        <v>1992</v>
      </c>
      <c r="S715" t="s">
        <v>1992</v>
      </c>
      <c r="T715" t="s">
        <v>1992</v>
      </c>
      <c r="U715" t="s">
        <v>1992</v>
      </c>
      <c r="V715" t="s">
        <v>1991</v>
      </c>
      <c r="W715" t="s">
        <v>1992</v>
      </c>
      <c r="X715" t="s">
        <v>1992</v>
      </c>
      <c r="Y715" t="s">
        <v>1991</v>
      </c>
      <c r="Z715" t="s">
        <v>1992</v>
      </c>
      <c r="AF715" t="s">
        <v>2064</v>
      </c>
      <c r="AG715" t="s">
        <v>1991</v>
      </c>
      <c r="AH715">
        <v>30</v>
      </c>
      <c r="AI715">
        <v>30</v>
      </c>
      <c r="AJ715" t="s">
        <v>5370</v>
      </c>
      <c r="AK715">
        <v>99</v>
      </c>
      <c r="AL715">
        <v>22965</v>
      </c>
      <c r="AM715" t="s">
        <v>2298</v>
      </c>
      <c r="AN715" t="s">
        <v>308</v>
      </c>
      <c r="AO715" t="s">
        <v>2063</v>
      </c>
      <c r="BF715" t="s">
        <v>1053</v>
      </c>
      <c r="BG715" t="s">
        <v>309</v>
      </c>
      <c r="BH715" t="s">
        <v>2301</v>
      </c>
      <c r="BI715" t="s">
        <v>1053</v>
      </c>
      <c r="BK715" t="s">
        <v>1053</v>
      </c>
      <c r="BO715" t="s">
        <v>1053</v>
      </c>
      <c r="BP715" t="s">
        <v>5371</v>
      </c>
      <c r="BQ715" t="s">
        <v>4567</v>
      </c>
      <c r="BR715" t="s">
        <v>1053</v>
      </c>
      <c r="BX715" t="str">
        <f>""</f>
        <v/>
      </c>
      <c r="BY715" t="str">
        <f>""</f>
        <v/>
      </c>
      <c r="BZ715" t="str">
        <f>""</f>
        <v/>
      </c>
      <c r="CA715" t="str">
        <f>""</f>
        <v/>
      </c>
      <c r="CB715" t="str">
        <f>""</f>
        <v/>
      </c>
      <c r="CC715" t="str">
        <f>""</f>
        <v/>
      </c>
      <c r="CD715" t="str">
        <f>""</f>
        <v/>
      </c>
      <c r="CE715" t="str">
        <f>""</f>
        <v/>
      </c>
      <c r="CF715" t="str">
        <f>""</f>
        <v/>
      </c>
      <c r="CG715" t="str">
        <f>""</f>
        <v/>
      </c>
      <c r="CH715" t="str">
        <f>""</f>
        <v/>
      </c>
    </row>
    <row r="716" spans="1:86" x14ac:dyDescent="0.25">
      <c r="A716" t="s">
        <v>5372</v>
      </c>
      <c r="B716" t="s">
        <v>5373</v>
      </c>
      <c r="C716" t="s">
        <v>1992</v>
      </c>
      <c r="D716" t="s">
        <v>2331</v>
      </c>
      <c r="E716" t="s">
        <v>5374</v>
      </c>
      <c r="F716" t="s">
        <v>5375</v>
      </c>
      <c r="H716" t="s">
        <v>5376</v>
      </c>
      <c r="I716" t="s">
        <v>680</v>
      </c>
      <c r="J716" t="str">
        <f>"05060"</f>
        <v>05060</v>
      </c>
      <c r="K716" t="s">
        <v>1998</v>
      </c>
      <c r="L716" t="s">
        <v>2033</v>
      </c>
      <c r="M716" t="s">
        <v>2063</v>
      </c>
      <c r="N716" t="s">
        <v>1992</v>
      </c>
      <c r="O716" t="s">
        <v>1992</v>
      </c>
      <c r="P716" t="s">
        <v>1992</v>
      </c>
      <c r="Q716" t="s">
        <v>1992</v>
      </c>
      <c r="R716" t="s">
        <v>1992</v>
      </c>
      <c r="S716" t="s">
        <v>1992</v>
      </c>
      <c r="T716" t="s">
        <v>1992</v>
      </c>
      <c r="U716" t="s">
        <v>1992</v>
      </c>
      <c r="V716" t="s">
        <v>1991</v>
      </c>
      <c r="W716" t="s">
        <v>1991</v>
      </c>
      <c r="X716" t="s">
        <v>1992</v>
      </c>
      <c r="Y716" t="s">
        <v>1992</v>
      </c>
      <c r="Z716" t="s">
        <v>1992</v>
      </c>
      <c r="AF716" t="s">
        <v>2016</v>
      </c>
      <c r="AG716" t="s">
        <v>1991</v>
      </c>
      <c r="AH716">
        <v>30</v>
      </c>
      <c r="AI716">
        <v>30</v>
      </c>
      <c r="AJ716" t="s">
        <v>5377</v>
      </c>
      <c r="AK716">
        <v>705</v>
      </c>
      <c r="AL716">
        <v>5091</v>
      </c>
      <c r="AM716" t="s">
        <v>5378</v>
      </c>
      <c r="AN716" t="s">
        <v>2066</v>
      </c>
      <c r="AO716" t="s">
        <v>2063</v>
      </c>
      <c r="AU716" t="s">
        <v>1442</v>
      </c>
      <c r="AV716" t="s">
        <v>1053</v>
      </c>
      <c r="BF716" t="s">
        <v>1053</v>
      </c>
      <c r="BG716" t="s">
        <v>684</v>
      </c>
      <c r="BH716" t="s">
        <v>685</v>
      </c>
      <c r="BI716" t="s">
        <v>1053</v>
      </c>
      <c r="BJ716" t="s">
        <v>1053</v>
      </c>
      <c r="BK716" t="s">
        <v>1053</v>
      </c>
      <c r="BL716" t="s">
        <v>1053</v>
      </c>
      <c r="BM716" t="s">
        <v>251</v>
      </c>
      <c r="BN716" t="s">
        <v>252</v>
      </c>
      <c r="BO716" t="s">
        <v>1053</v>
      </c>
      <c r="BP716" t="s">
        <v>467</v>
      </c>
      <c r="BQ716" t="s">
        <v>254</v>
      </c>
      <c r="BR716" t="s">
        <v>1053</v>
      </c>
      <c r="BS716" t="s">
        <v>1053</v>
      </c>
      <c r="BT716" t="s">
        <v>1053</v>
      </c>
      <c r="BU716" t="s">
        <v>1053</v>
      </c>
      <c r="BV716" t="s">
        <v>255</v>
      </c>
      <c r="BW716" t="s">
        <v>256</v>
      </c>
      <c r="BX716" t="str">
        <f>""</f>
        <v/>
      </c>
      <c r="BY716" t="str">
        <f>""</f>
        <v/>
      </c>
      <c r="BZ716" t="str">
        <f>""</f>
        <v/>
      </c>
      <c r="CA716" t="str">
        <f>""</f>
        <v/>
      </c>
      <c r="CB716" t="str">
        <f>""</f>
        <v/>
      </c>
      <c r="CC716" t="str">
        <f>""</f>
        <v/>
      </c>
      <c r="CD716" t="str">
        <f>""</f>
        <v/>
      </c>
      <c r="CE716" t="str">
        <f>""</f>
        <v/>
      </c>
      <c r="CF716" t="str">
        <f>""</f>
        <v/>
      </c>
      <c r="CG716" t="str">
        <f>""</f>
        <v/>
      </c>
      <c r="CH716" t="str">
        <f>""</f>
        <v/>
      </c>
    </row>
    <row r="717" spans="1:86" x14ac:dyDescent="0.25">
      <c r="A717" t="s">
        <v>5379</v>
      </c>
      <c r="B717" t="s">
        <v>5380</v>
      </c>
      <c r="C717" t="s">
        <v>1992</v>
      </c>
      <c r="D717" t="s">
        <v>1993</v>
      </c>
      <c r="E717" t="s">
        <v>5381</v>
      </c>
      <c r="F717" t="s">
        <v>5382</v>
      </c>
      <c r="H717" t="s">
        <v>5383</v>
      </c>
      <c r="I717" t="s">
        <v>2295</v>
      </c>
      <c r="J717" t="str">
        <f>"97467-1605"</f>
        <v>97467-1605</v>
      </c>
      <c r="K717" t="s">
        <v>1998</v>
      </c>
      <c r="L717" t="s">
        <v>231</v>
      </c>
      <c r="M717" t="s">
        <v>2000</v>
      </c>
      <c r="N717" t="s">
        <v>1992</v>
      </c>
      <c r="O717" t="s">
        <v>1992</v>
      </c>
      <c r="P717" t="s">
        <v>1992</v>
      </c>
      <c r="Q717" t="s">
        <v>1992</v>
      </c>
      <c r="R717" t="s">
        <v>1992</v>
      </c>
      <c r="S717" t="s">
        <v>1992</v>
      </c>
      <c r="T717" t="s">
        <v>1992</v>
      </c>
      <c r="U717" t="s">
        <v>1992</v>
      </c>
      <c r="V717" t="s">
        <v>1991</v>
      </c>
      <c r="W717" t="s">
        <v>1992</v>
      </c>
      <c r="X717" t="s">
        <v>1992</v>
      </c>
      <c r="Y717" t="s">
        <v>1992</v>
      </c>
      <c r="Z717" t="s">
        <v>1991</v>
      </c>
      <c r="AE717" t="s">
        <v>5384</v>
      </c>
      <c r="AF717" t="s">
        <v>2064</v>
      </c>
      <c r="AG717" t="s">
        <v>1991</v>
      </c>
      <c r="AH717">
        <v>30</v>
      </c>
      <c r="AI717">
        <v>30</v>
      </c>
      <c r="AJ717" t="s">
        <v>5385</v>
      </c>
      <c r="AK717">
        <v>60</v>
      </c>
      <c r="AM717" t="s">
        <v>2298</v>
      </c>
      <c r="AN717" t="s">
        <v>450</v>
      </c>
      <c r="AO717" t="s">
        <v>2063</v>
      </c>
      <c r="BF717" t="s">
        <v>1053</v>
      </c>
      <c r="BG717" t="s">
        <v>394</v>
      </c>
      <c r="BH717" t="s">
        <v>311</v>
      </c>
      <c r="BI717" t="s">
        <v>1053</v>
      </c>
      <c r="BJ717" t="s">
        <v>1053</v>
      </c>
      <c r="BK717" t="s">
        <v>1053</v>
      </c>
      <c r="BL717" t="s">
        <v>1053</v>
      </c>
      <c r="BX717" t="str">
        <f>""</f>
        <v/>
      </c>
      <c r="BY717" t="str">
        <f>""</f>
        <v/>
      </c>
      <c r="BZ717" t="str">
        <f>""</f>
        <v/>
      </c>
      <c r="CA717" t="str">
        <f>""</f>
        <v/>
      </c>
      <c r="CB717" t="str">
        <f>""</f>
        <v/>
      </c>
      <c r="CC717" t="str">
        <f>""</f>
        <v/>
      </c>
      <c r="CD717" t="str">
        <f>""</f>
        <v/>
      </c>
      <c r="CE717" t="str">
        <f>""</f>
        <v/>
      </c>
      <c r="CF717" t="str">
        <f>""</f>
        <v/>
      </c>
      <c r="CG717" t="str">
        <f>""</f>
        <v/>
      </c>
      <c r="CH717" t="str">
        <f>""</f>
        <v/>
      </c>
    </row>
    <row r="718" spans="1:86" x14ac:dyDescent="0.25">
      <c r="A718" t="s">
        <v>5386</v>
      </c>
      <c r="B718" t="s">
        <v>5387</v>
      </c>
      <c r="C718" t="s">
        <v>1992</v>
      </c>
      <c r="D718" t="s">
        <v>2331</v>
      </c>
      <c r="E718" t="s">
        <v>5388</v>
      </c>
      <c r="H718" t="s">
        <v>5389</v>
      </c>
      <c r="I718" t="s">
        <v>2321</v>
      </c>
      <c r="J718" t="str">
        <f>"12979"</f>
        <v>12979</v>
      </c>
      <c r="K718" t="s">
        <v>1998</v>
      </c>
      <c r="L718" t="s">
        <v>2033</v>
      </c>
      <c r="M718" t="s">
        <v>2063</v>
      </c>
      <c r="N718" t="s">
        <v>1992</v>
      </c>
      <c r="O718" t="s">
        <v>1992</v>
      </c>
      <c r="P718" t="s">
        <v>1992</v>
      </c>
      <c r="Q718" t="s">
        <v>1992</v>
      </c>
      <c r="R718" t="s">
        <v>1992</v>
      </c>
      <c r="S718" t="s">
        <v>1992</v>
      </c>
      <c r="T718" t="s">
        <v>1992</v>
      </c>
      <c r="U718" t="s">
        <v>1992</v>
      </c>
      <c r="V718" t="s">
        <v>1991</v>
      </c>
      <c r="W718" t="s">
        <v>1991</v>
      </c>
      <c r="X718" t="s">
        <v>1992</v>
      </c>
      <c r="Y718" t="s">
        <v>1992</v>
      </c>
      <c r="Z718" t="s">
        <v>1992</v>
      </c>
      <c r="AF718" t="s">
        <v>2016</v>
      </c>
      <c r="AG718" t="s">
        <v>1991</v>
      </c>
      <c r="AH718">
        <v>30</v>
      </c>
      <c r="AI718">
        <v>30</v>
      </c>
      <c r="AJ718" t="s">
        <v>5390</v>
      </c>
      <c r="AK718">
        <v>119</v>
      </c>
      <c r="AL718">
        <v>2250</v>
      </c>
      <c r="AN718" t="s">
        <v>5391</v>
      </c>
      <c r="AO718" t="s">
        <v>1053</v>
      </c>
      <c r="AU718" t="s">
        <v>1053</v>
      </c>
      <c r="AV718" t="s">
        <v>1053</v>
      </c>
      <c r="AW718" t="s">
        <v>1053</v>
      </c>
      <c r="AX718" t="s">
        <v>1053</v>
      </c>
      <c r="BF718" t="s">
        <v>1053</v>
      </c>
      <c r="BG718" t="s">
        <v>2019</v>
      </c>
      <c r="BH718" t="s">
        <v>264</v>
      </c>
      <c r="BI718" t="s">
        <v>1053</v>
      </c>
      <c r="BJ718" t="s">
        <v>1053</v>
      </c>
      <c r="BK718" t="s">
        <v>1053</v>
      </c>
      <c r="BL718" t="s">
        <v>1053</v>
      </c>
      <c r="BM718" t="s">
        <v>2324</v>
      </c>
      <c r="BN718" t="s">
        <v>2325</v>
      </c>
      <c r="BO718" t="s">
        <v>1053</v>
      </c>
      <c r="BP718" t="s">
        <v>2327</v>
      </c>
      <c r="BQ718" t="s">
        <v>1582</v>
      </c>
      <c r="BR718" t="s">
        <v>1053</v>
      </c>
      <c r="BS718" t="s">
        <v>1053</v>
      </c>
      <c r="BV718" t="s">
        <v>1444</v>
      </c>
      <c r="BX718" t="str">
        <f>"SMTWTF- 0700-2359"</f>
        <v>SMTWTF- 0700-2359</v>
      </c>
      <c r="BY718" t="str">
        <f>""</f>
        <v/>
      </c>
      <c r="BZ718" t="str">
        <f>""</f>
        <v/>
      </c>
      <c r="CA718" t="str">
        <f>""</f>
        <v/>
      </c>
      <c r="CB718" t="str">
        <f>""</f>
        <v/>
      </c>
      <c r="CC718" t="str">
        <f>""</f>
        <v/>
      </c>
      <c r="CD718" t="str">
        <f>""</f>
        <v/>
      </c>
      <c r="CE718" t="str">
        <f>""</f>
        <v/>
      </c>
      <c r="CF718" t="str">
        <f>""</f>
        <v/>
      </c>
      <c r="CG718" t="str">
        <f>""</f>
        <v/>
      </c>
      <c r="CH718" t="str">
        <f>""</f>
        <v/>
      </c>
    </row>
    <row r="719" spans="1:86" x14ac:dyDescent="0.25">
      <c r="A719" t="s">
        <v>5392</v>
      </c>
      <c r="B719" t="s">
        <v>5393</v>
      </c>
      <c r="C719" t="s">
        <v>1992</v>
      </c>
      <c r="D719" t="s">
        <v>2028</v>
      </c>
      <c r="E719" t="s">
        <v>5394</v>
      </c>
      <c r="H719" t="s">
        <v>5395</v>
      </c>
      <c r="I719" t="s">
        <v>2061</v>
      </c>
      <c r="J719" t="str">
        <f>"95678-2242"</f>
        <v>95678-2242</v>
      </c>
      <c r="K719" t="s">
        <v>1998</v>
      </c>
      <c r="L719" t="s">
        <v>2062</v>
      </c>
      <c r="M719" t="s">
        <v>2063</v>
      </c>
      <c r="N719" t="s">
        <v>1992</v>
      </c>
      <c r="O719" t="s">
        <v>1991</v>
      </c>
      <c r="P719" t="s">
        <v>1992</v>
      </c>
      <c r="Q719" t="s">
        <v>1992</v>
      </c>
      <c r="R719" t="s">
        <v>1992</v>
      </c>
      <c r="S719" t="s">
        <v>1992</v>
      </c>
      <c r="T719" t="s">
        <v>1992</v>
      </c>
      <c r="U719" t="s">
        <v>1992</v>
      </c>
      <c r="V719" t="s">
        <v>1991</v>
      </c>
      <c r="W719" t="s">
        <v>1991</v>
      </c>
      <c r="X719" t="s">
        <v>1992</v>
      </c>
      <c r="Y719" t="s">
        <v>1991</v>
      </c>
      <c r="Z719" t="s">
        <v>1992</v>
      </c>
      <c r="AA719" t="s">
        <v>1992</v>
      </c>
      <c r="AF719" t="s">
        <v>2064</v>
      </c>
      <c r="AG719" t="s">
        <v>1991</v>
      </c>
      <c r="AH719">
        <v>30</v>
      </c>
      <c r="AI719">
        <v>30</v>
      </c>
      <c r="AJ719" t="s">
        <v>5396</v>
      </c>
      <c r="AK719">
        <v>156</v>
      </c>
      <c r="AL719">
        <v>32700</v>
      </c>
      <c r="BF719" t="s">
        <v>1053</v>
      </c>
      <c r="BG719" t="s">
        <v>317</v>
      </c>
      <c r="BH719" t="s">
        <v>348</v>
      </c>
      <c r="BI719" t="s">
        <v>1053</v>
      </c>
      <c r="BK719" t="s">
        <v>1053</v>
      </c>
      <c r="BO719" t="s">
        <v>1053</v>
      </c>
      <c r="BP719" t="s">
        <v>5397</v>
      </c>
      <c r="BQ719" t="s">
        <v>348</v>
      </c>
      <c r="BR719" t="s">
        <v>1053</v>
      </c>
      <c r="BT719" t="s">
        <v>1053</v>
      </c>
      <c r="BX719" t="str">
        <f>""</f>
        <v/>
      </c>
      <c r="BY719" t="str">
        <f>""</f>
        <v/>
      </c>
      <c r="BZ719" t="str">
        <f>""</f>
        <v/>
      </c>
      <c r="CA719" t="str">
        <f>""</f>
        <v/>
      </c>
      <c r="CB719" t="str">
        <f>""</f>
        <v/>
      </c>
      <c r="CC719" t="str">
        <f>"SMTWTFS 0000-2359"</f>
        <v>SMTWTFS 0000-2359</v>
      </c>
      <c r="CD719" t="str">
        <f>""</f>
        <v/>
      </c>
      <c r="CE719" t="str">
        <f>""</f>
        <v/>
      </c>
      <c r="CF719" t="str">
        <f>""</f>
        <v/>
      </c>
      <c r="CG719" t="str">
        <f>""</f>
        <v/>
      </c>
      <c r="CH719" t="str">
        <f>"SMTWTFS 0000-2359"</f>
        <v>SMTWTFS 0000-2359</v>
      </c>
    </row>
    <row r="720" spans="1:86" x14ac:dyDescent="0.25">
      <c r="A720" t="s">
        <v>5398</v>
      </c>
      <c r="B720" t="s">
        <v>5399</v>
      </c>
      <c r="C720" t="s">
        <v>1991</v>
      </c>
      <c r="D720" t="s">
        <v>2010</v>
      </c>
      <c r="E720" t="s">
        <v>5400</v>
      </c>
      <c r="H720" t="s">
        <v>5401</v>
      </c>
      <c r="I720" t="s">
        <v>247</v>
      </c>
      <c r="J720" t="str">
        <f>"02090-2307"</f>
        <v>02090-2307</v>
      </c>
      <c r="K720" t="s">
        <v>1998</v>
      </c>
      <c r="L720" t="s">
        <v>2033</v>
      </c>
      <c r="M720" t="s">
        <v>5402</v>
      </c>
      <c r="N720" t="s">
        <v>1991</v>
      </c>
      <c r="O720" t="s">
        <v>1991</v>
      </c>
      <c r="P720" t="s">
        <v>1992</v>
      </c>
      <c r="Q720" t="s">
        <v>1992</v>
      </c>
      <c r="R720" t="s">
        <v>1992</v>
      </c>
      <c r="S720" t="s">
        <v>1992</v>
      </c>
      <c r="T720" t="s">
        <v>1992</v>
      </c>
      <c r="U720" t="s">
        <v>1991</v>
      </c>
      <c r="V720" t="s">
        <v>1991</v>
      </c>
      <c r="W720" t="s">
        <v>1991</v>
      </c>
      <c r="X720" t="s">
        <v>1991</v>
      </c>
      <c r="Y720" t="s">
        <v>1992</v>
      </c>
      <c r="Z720" t="s">
        <v>1992</v>
      </c>
      <c r="AA720" t="s">
        <v>1992</v>
      </c>
      <c r="AE720" t="s">
        <v>2047</v>
      </c>
      <c r="AF720" t="s">
        <v>2016</v>
      </c>
      <c r="AG720" t="s">
        <v>1991</v>
      </c>
      <c r="AH720">
        <v>30</v>
      </c>
      <c r="AI720">
        <v>30</v>
      </c>
      <c r="AJ720" t="s">
        <v>5403</v>
      </c>
      <c r="AK720">
        <v>53</v>
      </c>
      <c r="AL720">
        <v>12750</v>
      </c>
      <c r="AM720" t="s">
        <v>5404</v>
      </c>
      <c r="AN720" t="s">
        <v>1053</v>
      </c>
      <c r="AO720" t="s">
        <v>1053</v>
      </c>
      <c r="AP720" t="s">
        <v>1053</v>
      </c>
      <c r="AQ720" t="s">
        <v>1053</v>
      </c>
      <c r="AR720" t="s">
        <v>1053</v>
      </c>
      <c r="AS720" t="s">
        <v>5398</v>
      </c>
      <c r="AT720" t="s">
        <v>5405</v>
      </c>
      <c r="AU720" t="s">
        <v>1053</v>
      </c>
      <c r="AV720" t="s">
        <v>1053</v>
      </c>
      <c r="AW720" t="s">
        <v>1053</v>
      </c>
      <c r="AX720" t="s">
        <v>1053</v>
      </c>
      <c r="AY720" t="s">
        <v>1053</v>
      </c>
      <c r="AZ720" t="s">
        <v>516</v>
      </c>
      <c r="BA720" t="s">
        <v>517</v>
      </c>
      <c r="BB720" t="s">
        <v>1053</v>
      </c>
      <c r="BC720" t="s">
        <v>1053</v>
      </c>
      <c r="BD720" t="s">
        <v>1053</v>
      </c>
      <c r="BE720" t="s">
        <v>1053</v>
      </c>
      <c r="BF720" t="s">
        <v>1053</v>
      </c>
      <c r="BG720" t="s">
        <v>518</v>
      </c>
      <c r="BH720" t="s">
        <v>522</v>
      </c>
      <c r="BI720" t="s">
        <v>1053</v>
      </c>
      <c r="BJ720" t="s">
        <v>1053</v>
      </c>
      <c r="BK720" t="s">
        <v>1053</v>
      </c>
      <c r="BL720" t="s">
        <v>1053</v>
      </c>
      <c r="BM720" t="s">
        <v>520</v>
      </c>
      <c r="BN720" t="s">
        <v>517</v>
      </c>
      <c r="BO720" t="s">
        <v>1053</v>
      </c>
      <c r="BP720" t="s">
        <v>521</v>
      </c>
      <c r="BQ720" t="s">
        <v>522</v>
      </c>
      <c r="BR720" t="s">
        <v>1053</v>
      </c>
      <c r="BS720" t="s">
        <v>1053</v>
      </c>
      <c r="BT720" t="s">
        <v>1053</v>
      </c>
      <c r="BU720" t="s">
        <v>1053</v>
      </c>
      <c r="BV720" t="s">
        <v>520</v>
      </c>
      <c r="BW720" t="s">
        <v>523</v>
      </c>
      <c r="BX720" t="str">
        <f>"S------ 0000-0100 0545-2359; -MTWTF- 0000-0100 0445-2359; ------S 0000-0100 0515-2359"</f>
        <v>S------ 0000-0100 0545-2359; -MTWTF- 0000-0100 0445-2359; ------S 0000-0100 0515-2359</v>
      </c>
      <c r="BY720" t="str">
        <f>""</f>
        <v/>
      </c>
      <c r="BZ720" t="str">
        <f>"SMTWTFS 0500-2359"</f>
        <v>SMTWTFS 0500-2359</v>
      </c>
      <c r="CA720" t="str">
        <f>"S------ 0600-2200; -MTWTF- 0500-2200; ------S 0530-2200"</f>
        <v>S------ 0600-2200; -MTWTF- 0500-2200; ------S 0530-2200</v>
      </c>
      <c r="CB720" t="str">
        <f>""</f>
        <v/>
      </c>
      <c r="CC720" t="str">
        <f>"S-----S 0600-2200; -MTWTF- 0000-0100 0445-2359"</f>
        <v>S-----S 0600-2200; -MTWTF- 0000-0100 0445-2359</v>
      </c>
      <c r="CD720" t="str">
        <f>""</f>
        <v/>
      </c>
      <c r="CE720" t="str">
        <f>""</f>
        <v/>
      </c>
      <c r="CF720" t="str">
        <f>""</f>
        <v/>
      </c>
      <c r="CG720" t="str">
        <f>""</f>
        <v/>
      </c>
      <c r="CH720" t="str">
        <f>"SMTWTFS 0001-2359"</f>
        <v>SMTWTFS 0001-2359</v>
      </c>
    </row>
    <row r="721" spans="1:86" x14ac:dyDescent="0.25">
      <c r="A721" t="s">
        <v>5406</v>
      </c>
      <c r="B721" t="s">
        <v>5407</v>
      </c>
      <c r="C721" t="s">
        <v>1992</v>
      </c>
      <c r="D721" t="s">
        <v>2028</v>
      </c>
      <c r="E721" t="s">
        <v>5408</v>
      </c>
      <c r="H721" t="s">
        <v>5409</v>
      </c>
      <c r="I721" t="s">
        <v>2367</v>
      </c>
      <c r="J721" t="str">
        <f>"61866"</f>
        <v>61866</v>
      </c>
      <c r="K721" t="s">
        <v>1998</v>
      </c>
      <c r="L721" t="s">
        <v>1999</v>
      </c>
      <c r="M721" t="s">
        <v>2063</v>
      </c>
      <c r="N721" t="s">
        <v>1992</v>
      </c>
      <c r="O721" t="s">
        <v>1992</v>
      </c>
      <c r="P721" t="s">
        <v>1992</v>
      </c>
      <c r="Q721" t="s">
        <v>1992</v>
      </c>
      <c r="R721" t="s">
        <v>1992</v>
      </c>
      <c r="S721" t="s">
        <v>1992</v>
      </c>
      <c r="T721" t="s">
        <v>1992</v>
      </c>
      <c r="U721" t="s">
        <v>1992</v>
      </c>
      <c r="V721" t="s">
        <v>1991</v>
      </c>
      <c r="W721" t="s">
        <v>1991</v>
      </c>
      <c r="X721" t="s">
        <v>1992</v>
      </c>
      <c r="Y721" t="s">
        <v>1992</v>
      </c>
      <c r="Z721" t="s">
        <v>1992</v>
      </c>
      <c r="AA721" t="s">
        <v>1992</v>
      </c>
      <c r="AF721" t="s">
        <v>2001</v>
      </c>
      <c r="AG721" t="s">
        <v>1991</v>
      </c>
      <c r="AH721">
        <v>30</v>
      </c>
      <c r="AI721">
        <v>30</v>
      </c>
      <c r="AJ721" t="s">
        <v>5410</v>
      </c>
      <c r="AK721">
        <v>755</v>
      </c>
      <c r="AL721">
        <v>20641</v>
      </c>
      <c r="AN721" t="s">
        <v>2066</v>
      </c>
      <c r="AO721" t="s">
        <v>2063</v>
      </c>
      <c r="BF721" t="s">
        <v>1053</v>
      </c>
      <c r="BG721" t="s">
        <v>2371</v>
      </c>
      <c r="BH721" t="s">
        <v>3669</v>
      </c>
      <c r="BI721" t="s">
        <v>1053</v>
      </c>
      <c r="BJ721" t="s">
        <v>1053</v>
      </c>
      <c r="BK721" t="s">
        <v>1053</v>
      </c>
      <c r="BL721" t="s">
        <v>1053</v>
      </c>
      <c r="BM721" t="s">
        <v>2373</v>
      </c>
      <c r="BN721" t="s">
        <v>2374</v>
      </c>
      <c r="BO721" t="s">
        <v>1053</v>
      </c>
      <c r="BP721" t="s">
        <v>2023</v>
      </c>
      <c r="BQ721" t="s">
        <v>1032</v>
      </c>
      <c r="BR721" t="s">
        <v>1053</v>
      </c>
      <c r="BS721" t="s">
        <v>2069</v>
      </c>
      <c r="BT721" t="s">
        <v>1053</v>
      </c>
      <c r="BU721" t="s">
        <v>2069</v>
      </c>
      <c r="BV721" t="s">
        <v>987</v>
      </c>
      <c r="BX721" t="str">
        <f>""</f>
        <v/>
      </c>
      <c r="BY721" t="str">
        <f>""</f>
        <v/>
      </c>
      <c r="BZ721" t="str">
        <f>""</f>
        <v/>
      </c>
      <c r="CA721" t="str">
        <f>""</f>
        <v/>
      </c>
      <c r="CB721" t="str">
        <f>""</f>
        <v/>
      </c>
      <c r="CC721" t="str">
        <f>""</f>
        <v/>
      </c>
      <c r="CD721" t="str">
        <f>""</f>
        <v/>
      </c>
      <c r="CE721" t="str">
        <f>""</f>
        <v/>
      </c>
      <c r="CF721" t="str">
        <f>""</f>
        <v/>
      </c>
      <c r="CG721" t="str">
        <f>""</f>
        <v/>
      </c>
      <c r="CH721" t="str">
        <f>""</f>
        <v/>
      </c>
    </row>
    <row r="722" spans="1:86" x14ac:dyDescent="0.25">
      <c r="A722" t="s">
        <v>5411</v>
      </c>
      <c r="B722" t="s">
        <v>5412</v>
      </c>
      <c r="C722" t="s">
        <v>1992</v>
      </c>
      <c r="D722" t="s">
        <v>1993</v>
      </c>
      <c r="E722" t="s">
        <v>5413</v>
      </c>
      <c r="F722" t="s">
        <v>5414</v>
      </c>
      <c r="H722" t="s">
        <v>5415</v>
      </c>
      <c r="I722" t="s">
        <v>576</v>
      </c>
      <c r="J722" t="str">
        <f>"99169"</f>
        <v>99169</v>
      </c>
      <c r="K722" t="s">
        <v>1998</v>
      </c>
      <c r="L722" t="s">
        <v>231</v>
      </c>
      <c r="M722" t="s">
        <v>2000</v>
      </c>
      <c r="N722" t="s">
        <v>1992</v>
      </c>
      <c r="O722" t="s">
        <v>1992</v>
      </c>
      <c r="P722" t="s">
        <v>1992</v>
      </c>
      <c r="Q722" t="s">
        <v>1992</v>
      </c>
      <c r="R722" t="s">
        <v>1992</v>
      </c>
      <c r="S722" t="s">
        <v>1992</v>
      </c>
      <c r="T722" t="s">
        <v>1992</v>
      </c>
      <c r="U722" t="s">
        <v>1992</v>
      </c>
      <c r="V722" t="s">
        <v>1991</v>
      </c>
      <c r="W722" t="s">
        <v>1992</v>
      </c>
      <c r="X722" t="s">
        <v>1992</v>
      </c>
      <c r="Y722" t="s">
        <v>1992</v>
      </c>
      <c r="Z722" t="s">
        <v>1991</v>
      </c>
      <c r="AA722" t="s">
        <v>1992</v>
      </c>
      <c r="AF722" t="s">
        <v>2064</v>
      </c>
      <c r="AG722" t="s">
        <v>1991</v>
      </c>
      <c r="AH722">
        <v>30</v>
      </c>
      <c r="AI722">
        <v>30</v>
      </c>
      <c r="AJ722" t="s">
        <v>5416</v>
      </c>
      <c r="AK722">
        <v>1885</v>
      </c>
      <c r="BX722" t="str">
        <f>""</f>
        <v/>
      </c>
      <c r="BY722" t="str">
        <f>""</f>
        <v/>
      </c>
      <c r="BZ722" t="str">
        <f>""</f>
        <v/>
      </c>
      <c r="CA722" t="str">
        <f>""</f>
        <v/>
      </c>
      <c r="CB722" t="str">
        <f>""</f>
        <v/>
      </c>
      <c r="CC722" t="str">
        <f>""</f>
        <v/>
      </c>
      <c r="CD722" t="str">
        <f>""</f>
        <v/>
      </c>
      <c r="CE722" t="str">
        <f>""</f>
        <v/>
      </c>
      <c r="CF722" t="str">
        <f>""</f>
        <v/>
      </c>
      <c r="CG722" t="str">
        <f>""</f>
        <v/>
      </c>
      <c r="CH722" t="str">
        <f>""</f>
        <v/>
      </c>
    </row>
    <row r="723" spans="1:86" x14ac:dyDescent="0.25">
      <c r="A723" t="s">
        <v>5417</v>
      </c>
      <c r="B723" t="s">
        <v>5418</v>
      </c>
      <c r="C723" t="s">
        <v>1992</v>
      </c>
      <c r="D723" t="s">
        <v>2010</v>
      </c>
      <c r="E723" t="s">
        <v>5419</v>
      </c>
      <c r="H723" t="s">
        <v>5420</v>
      </c>
      <c r="I723" t="s">
        <v>680</v>
      </c>
      <c r="J723" t="str">
        <f>"05701"</f>
        <v>05701</v>
      </c>
      <c r="K723" t="s">
        <v>1998</v>
      </c>
      <c r="L723" t="s">
        <v>2033</v>
      </c>
      <c r="M723" t="s">
        <v>2063</v>
      </c>
      <c r="N723" t="s">
        <v>1992</v>
      </c>
      <c r="O723" t="s">
        <v>1992</v>
      </c>
      <c r="P723" t="s">
        <v>1992</v>
      </c>
      <c r="Q723" t="s">
        <v>1992</v>
      </c>
      <c r="R723" t="s">
        <v>1992</v>
      </c>
      <c r="S723" t="s">
        <v>1992</v>
      </c>
      <c r="T723" t="s">
        <v>1992</v>
      </c>
      <c r="U723" t="s">
        <v>1992</v>
      </c>
      <c r="V723" t="s">
        <v>1991</v>
      </c>
      <c r="W723" t="s">
        <v>1991</v>
      </c>
      <c r="X723" t="s">
        <v>1992</v>
      </c>
      <c r="Y723" t="s">
        <v>1992</v>
      </c>
      <c r="Z723" t="s">
        <v>1992</v>
      </c>
      <c r="AA723" t="s">
        <v>1992</v>
      </c>
      <c r="AF723" t="s">
        <v>2016</v>
      </c>
      <c r="AG723" t="s">
        <v>1991</v>
      </c>
      <c r="AH723">
        <v>30</v>
      </c>
      <c r="AI723">
        <v>30</v>
      </c>
      <c r="AJ723" t="s">
        <v>5421</v>
      </c>
      <c r="AK723">
        <v>547</v>
      </c>
      <c r="AL723">
        <v>18001</v>
      </c>
      <c r="AN723" t="s">
        <v>2066</v>
      </c>
      <c r="AO723" t="s">
        <v>2063</v>
      </c>
      <c r="AU723" t="s">
        <v>1442</v>
      </c>
      <c r="AV723" t="s">
        <v>1053</v>
      </c>
      <c r="BF723" t="s">
        <v>1053</v>
      </c>
      <c r="BG723" t="s">
        <v>2019</v>
      </c>
      <c r="BH723" t="s">
        <v>1581</v>
      </c>
      <c r="BI723" t="s">
        <v>1053</v>
      </c>
      <c r="BJ723" t="s">
        <v>1053</v>
      </c>
      <c r="BK723" t="s">
        <v>1053</v>
      </c>
      <c r="BL723" t="s">
        <v>1053</v>
      </c>
      <c r="BM723" t="s">
        <v>2324</v>
      </c>
      <c r="BN723" t="s">
        <v>2325</v>
      </c>
      <c r="BO723" t="s">
        <v>1053</v>
      </c>
      <c r="BP723" t="s">
        <v>5422</v>
      </c>
      <c r="BQ723" t="s">
        <v>5423</v>
      </c>
      <c r="BR723" t="s">
        <v>1053</v>
      </c>
      <c r="BS723" t="s">
        <v>1053</v>
      </c>
      <c r="BV723" t="s">
        <v>1444</v>
      </c>
      <c r="BX723" t="str">
        <f>"S------ 1545-1730 2000-2200; -MTWT-- 0645-0830 2000-2200; -----F- 0645-0830 2230-2330; ------S 0930-1100 2000-2200"</f>
        <v>S------ 1545-1730 2000-2200; -MTWT-- 0645-0830 2000-2200; -----F- 0645-0830 2230-2330; ------S 0930-1100 2000-2200</v>
      </c>
      <c r="BY723" t="str">
        <f>""</f>
        <v/>
      </c>
      <c r="BZ723" t="str">
        <f>""</f>
        <v/>
      </c>
      <c r="CA723" t="str">
        <f>""</f>
        <v/>
      </c>
      <c r="CB723" t="str">
        <f>""</f>
        <v/>
      </c>
      <c r="CC723" t="str">
        <f>""</f>
        <v/>
      </c>
      <c r="CD723" t="str">
        <f>""</f>
        <v/>
      </c>
      <c r="CE723" t="str">
        <f>""</f>
        <v/>
      </c>
      <c r="CF723" t="str">
        <f>""</f>
        <v/>
      </c>
      <c r="CG723" t="str">
        <f>""</f>
        <v/>
      </c>
      <c r="CH723" t="str">
        <f>""</f>
        <v/>
      </c>
    </row>
    <row r="724" spans="1:86" x14ac:dyDescent="0.25">
      <c r="A724" t="s">
        <v>5424</v>
      </c>
      <c r="B724" t="s">
        <v>5425</v>
      </c>
      <c r="C724" t="s">
        <v>1991</v>
      </c>
      <c r="D724" t="s">
        <v>2010</v>
      </c>
      <c r="E724" t="s">
        <v>5426</v>
      </c>
      <c r="H724" t="s">
        <v>5427</v>
      </c>
      <c r="I724" t="s">
        <v>2528</v>
      </c>
      <c r="J724" t="str">
        <f>"58368"</f>
        <v>58368</v>
      </c>
      <c r="K724" t="s">
        <v>1998</v>
      </c>
      <c r="L724" t="s">
        <v>1999</v>
      </c>
      <c r="M724" t="s">
        <v>5428</v>
      </c>
      <c r="N724" t="s">
        <v>1991</v>
      </c>
      <c r="O724" t="s">
        <v>1992</v>
      </c>
      <c r="P724" t="s">
        <v>1992</v>
      </c>
      <c r="Q724" t="s">
        <v>1992</v>
      </c>
      <c r="R724" t="s">
        <v>1992</v>
      </c>
      <c r="S724" t="s">
        <v>1992</v>
      </c>
      <c r="T724" t="s">
        <v>1992</v>
      </c>
      <c r="U724" t="s">
        <v>1992</v>
      </c>
      <c r="V724" t="s">
        <v>1991</v>
      </c>
      <c r="W724" t="s">
        <v>1991</v>
      </c>
      <c r="X724" t="s">
        <v>1992</v>
      </c>
      <c r="Y724" t="s">
        <v>1992</v>
      </c>
      <c r="Z724" t="s">
        <v>1992</v>
      </c>
      <c r="AE724" t="s">
        <v>2047</v>
      </c>
      <c r="AF724" t="s">
        <v>2001</v>
      </c>
      <c r="AG724" t="s">
        <v>1991</v>
      </c>
      <c r="AH724">
        <v>60</v>
      </c>
      <c r="AI724">
        <v>30</v>
      </c>
      <c r="AJ724" t="s">
        <v>5429</v>
      </c>
      <c r="AK724">
        <v>1560</v>
      </c>
      <c r="AL724">
        <v>2574</v>
      </c>
      <c r="AN724" t="s">
        <v>1053</v>
      </c>
      <c r="AO724" t="s">
        <v>1053</v>
      </c>
      <c r="AP724" t="s">
        <v>2069</v>
      </c>
      <c r="AQ724" t="s">
        <v>1053</v>
      </c>
      <c r="AR724" t="s">
        <v>2069</v>
      </c>
      <c r="AS724" t="s">
        <v>5424</v>
      </c>
      <c r="AT724" t="s">
        <v>5430</v>
      </c>
      <c r="AU724" t="s">
        <v>1053</v>
      </c>
      <c r="AV724" t="s">
        <v>1053</v>
      </c>
      <c r="AW724" t="s">
        <v>2069</v>
      </c>
      <c r="AX724" t="s">
        <v>1053</v>
      </c>
      <c r="AY724" t="s">
        <v>2069</v>
      </c>
      <c r="AZ724" t="s">
        <v>5424</v>
      </c>
      <c r="BA724" t="s">
        <v>5430</v>
      </c>
      <c r="BB724" t="s">
        <v>1053</v>
      </c>
      <c r="BC724" t="s">
        <v>2069</v>
      </c>
      <c r="BD724" t="s">
        <v>1053</v>
      </c>
      <c r="BE724" t="s">
        <v>2069</v>
      </c>
      <c r="BF724" t="s">
        <v>1053</v>
      </c>
      <c r="BG724" t="s">
        <v>703</v>
      </c>
      <c r="BH724" t="s">
        <v>2173</v>
      </c>
      <c r="BI724" t="s">
        <v>1053</v>
      </c>
      <c r="BJ724" t="s">
        <v>2069</v>
      </c>
      <c r="BK724" t="s">
        <v>1053</v>
      </c>
      <c r="BL724" t="s">
        <v>2069</v>
      </c>
      <c r="BM724" t="s">
        <v>287</v>
      </c>
      <c r="BN724" t="s">
        <v>288</v>
      </c>
      <c r="BO724" t="s">
        <v>1053</v>
      </c>
      <c r="BP724" t="s">
        <v>950</v>
      </c>
      <c r="BQ724" t="s">
        <v>2006</v>
      </c>
      <c r="BR724" t="s">
        <v>1053</v>
      </c>
      <c r="BS724" t="s">
        <v>1053</v>
      </c>
      <c r="BT724" t="s">
        <v>1053</v>
      </c>
      <c r="BU724" t="s">
        <v>1053</v>
      </c>
      <c r="BV724" t="s">
        <v>951</v>
      </c>
      <c r="BW724" t="s">
        <v>952</v>
      </c>
      <c r="BX724" t="str">
        <f>"S-----S 0615-0815 2130-2330; -MTWTF- 0600-1430 2130-2330"</f>
        <v>S-----S 0615-0815 2130-2330; -MTWTF- 0600-1430 2130-2330</v>
      </c>
      <c r="BY724" t="str">
        <f>""</f>
        <v/>
      </c>
      <c r="BZ724" t="str">
        <f>""</f>
        <v/>
      </c>
      <c r="CA724" t="str">
        <f>"-MTWTF- 0600-1430"</f>
        <v>-MTWTF- 0600-1430</v>
      </c>
      <c r="CB724" t="str">
        <f>""</f>
        <v/>
      </c>
      <c r="CC724" t="str">
        <f>""</f>
        <v/>
      </c>
      <c r="CD724" t="str">
        <f>""</f>
        <v/>
      </c>
      <c r="CE724" t="str">
        <f>""</f>
        <v/>
      </c>
      <c r="CF724" t="str">
        <f>""</f>
        <v/>
      </c>
      <c r="CG724" t="str">
        <f>""</f>
        <v/>
      </c>
      <c r="CH724" t="str">
        <f>""</f>
        <v/>
      </c>
    </row>
    <row r="725" spans="1:86" x14ac:dyDescent="0.25">
      <c r="A725" t="s">
        <v>5431</v>
      </c>
      <c r="B725" t="s">
        <v>5432</v>
      </c>
      <c r="D725" t="s">
        <v>2089</v>
      </c>
      <c r="E725" t="s">
        <v>5433</v>
      </c>
      <c r="F725" t="s">
        <v>497</v>
      </c>
      <c r="H725" t="s">
        <v>5434</v>
      </c>
      <c r="I725" t="s">
        <v>2014</v>
      </c>
      <c r="J725" t="str">
        <f>"20737"</f>
        <v>20737</v>
      </c>
      <c r="K725" t="s">
        <v>1998</v>
      </c>
      <c r="L725" t="s">
        <v>499</v>
      </c>
      <c r="M725" t="s">
        <v>500</v>
      </c>
      <c r="O725" t="s">
        <v>1992</v>
      </c>
      <c r="AF725" t="s">
        <v>2016</v>
      </c>
      <c r="AG725" t="s">
        <v>1991</v>
      </c>
      <c r="AJ725" t="s">
        <v>2090</v>
      </c>
      <c r="AM725" t="s">
        <v>501</v>
      </c>
      <c r="BX725" t="str">
        <f>""</f>
        <v/>
      </c>
      <c r="BY725" t="str">
        <f>""</f>
        <v/>
      </c>
      <c r="BZ725" t="str">
        <f>""</f>
        <v/>
      </c>
      <c r="CA725" t="str">
        <f>""</f>
        <v/>
      </c>
      <c r="CB725" t="str">
        <f>""</f>
        <v/>
      </c>
      <c r="CC725" t="str">
        <f>""</f>
        <v/>
      </c>
      <c r="CD725" t="str">
        <f>""</f>
        <v/>
      </c>
      <c r="CE725" t="str">
        <f>""</f>
        <v/>
      </c>
      <c r="CF725" t="str">
        <f>""</f>
        <v/>
      </c>
      <c r="CG725" t="str">
        <f>""</f>
        <v/>
      </c>
      <c r="CH725" t="str">
        <f>""</f>
        <v/>
      </c>
    </row>
    <row r="726" spans="1:86" x14ac:dyDescent="0.25">
      <c r="A726" t="s">
        <v>5435</v>
      </c>
      <c r="B726" t="s">
        <v>5436</v>
      </c>
      <c r="C726" t="s">
        <v>1992</v>
      </c>
      <c r="D726" t="s">
        <v>2010</v>
      </c>
      <c r="E726" t="s">
        <v>5437</v>
      </c>
      <c r="H726" t="s">
        <v>6162</v>
      </c>
      <c r="I726" t="s">
        <v>2405</v>
      </c>
      <c r="J726" t="str">
        <f>"23219"</f>
        <v>23219</v>
      </c>
      <c r="K726" t="s">
        <v>1998</v>
      </c>
      <c r="L726" t="s">
        <v>2015</v>
      </c>
      <c r="M726" t="s">
        <v>5438</v>
      </c>
      <c r="N726" t="s">
        <v>1992</v>
      </c>
      <c r="O726" t="s">
        <v>1991</v>
      </c>
      <c r="P726" t="s">
        <v>1992</v>
      </c>
      <c r="Q726" t="s">
        <v>1992</v>
      </c>
      <c r="R726" t="s">
        <v>1992</v>
      </c>
      <c r="S726" t="s">
        <v>1992</v>
      </c>
      <c r="T726" t="s">
        <v>1992</v>
      </c>
      <c r="U726" t="s">
        <v>1992</v>
      </c>
      <c r="V726" t="s">
        <v>1991</v>
      </c>
      <c r="W726" t="s">
        <v>1991</v>
      </c>
      <c r="X726" t="s">
        <v>1992</v>
      </c>
      <c r="Y726" t="s">
        <v>1992</v>
      </c>
      <c r="Z726" t="s">
        <v>1992</v>
      </c>
      <c r="AA726" t="s">
        <v>1991</v>
      </c>
      <c r="AB726" t="s">
        <v>5439</v>
      </c>
      <c r="AF726" t="s">
        <v>2016</v>
      </c>
      <c r="AG726" t="s">
        <v>1991</v>
      </c>
      <c r="AH726">
        <v>30</v>
      </c>
      <c r="AI726">
        <v>30</v>
      </c>
      <c r="AJ726" t="s">
        <v>5440</v>
      </c>
      <c r="AK726">
        <v>26</v>
      </c>
      <c r="AL726">
        <v>100000</v>
      </c>
      <c r="AM726" t="s">
        <v>5441</v>
      </c>
      <c r="AN726" t="s">
        <v>5442</v>
      </c>
      <c r="AU726" t="s">
        <v>5443</v>
      </c>
      <c r="BF726" t="s">
        <v>1053</v>
      </c>
      <c r="BG726" t="s">
        <v>1054</v>
      </c>
      <c r="BH726" t="s">
        <v>5444</v>
      </c>
      <c r="BI726" t="s">
        <v>1053</v>
      </c>
      <c r="BJ726" t="s">
        <v>1053</v>
      </c>
      <c r="BK726" t="s">
        <v>1053</v>
      </c>
      <c r="BL726" t="s">
        <v>1053</v>
      </c>
      <c r="BM726" t="s">
        <v>2343</v>
      </c>
      <c r="BN726" t="s">
        <v>2344</v>
      </c>
      <c r="BO726" t="s">
        <v>1053</v>
      </c>
      <c r="BP726" t="s">
        <v>2345</v>
      </c>
      <c r="BQ726" t="s">
        <v>2346</v>
      </c>
      <c r="BR726" t="s">
        <v>1053</v>
      </c>
      <c r="BS726" t="s">
        <v>1053</v>
      </c>
      <c r="BX726" t="str">
        <f>"S-----S 0830-2030; -MTWT-- 0930-1830; -----F- 0930-2100"</f>
        <v>S-----S 0830-2030; -MTWT-- 0930-1830; -----F- 0930-2100</v>
      </c>
      <c r="BY726" t="str">
        <f>""</f>
        <v/>
      </c>
      <c r="BZ726" t="str">
        <f>"S-----S 0830-2030; -MTWT-- 0930-1830; -----F- 0930-2100"</f>
        <v>S-----S 0830-2030; -MTWT-- 0930-1830; -----F- 0930-2100</v>
      </c>
      <c r="CA726" t="str">
        <f>""</f>
        <v/>
      </c>
      <c r="CB726" t="str">
        <f>""</f>
        <v/>
      </c>
      <c r="CC726" t="str">
        <f>"S-----S 0830-2030; -MTWT-- 0930-1830; -----F- 0930-2100"</f>
        <v>S-----S 0830-2030; -MTWT-- 0930-1830; -----F- 0930-2100</v>
      </c>
      <c r="CD726" t="str">
        <f>""</f>
        <v/>
      </c>
      <c r="CE726" t="str">
        <f>""</f>
        <v/>
      </c>
      <c r="CF726" t="str">
        <f>""</f>
        <v/>
      </c>
      <c r="CG726" t="str">
        <f>""</f>
        <v/>
      </c>
      <c r="CH726" t="str">
        <f>""</f>
        <v/>
      </c>
    </row>
    <row r="727" spans="1:86" x14ac:dyDescent="0.25">
      <c r="A727" t="s">
        <v>5445</v>
      </c>
      <c r="B727" t="s">
        <v>5446</v>
      </c>
      <c r="C727" t="s">
        <v>1991</v>
      </c>
      <c r="D727" t="s">
        <v>2010</v>
      </c>
      <c r="E727" t="s">
        <v>5447</v>
      </c>
      <c r="H727" t="s">
        <v>6162</v>
      </c>
      <c r="I727" t="s">
        <v>2405</v>
      </c>
      <c r="J727" t="str">
        <f>"23228"</f>
        <v>23228</v>
      </c>
      <c r="K727" t="s">
        <v>1998</v>
      </c>
      <c r="L727" t="s">
        <v>2015</v>
      </c>
      <c r="M727" t="s">
        <v>5448</v>
      </c>
      <c r="N727" t="s">
        <v>1991</v>
      </c>
      <c r="O727" t="s">
        <v>1991</v>
      </c>
      <c r="P727" t="s">
        <v>1992</v>
      </c>
      <c r="Q727" t="s">
        <v>1991</v>
      </c>
      <c r="R727" t="s">
        <v>1991</v>
      </c>
      <c r="S727" t="s">
        <v>1992</v>
      </c>
      <c r="T727" t="s">
        <v>1992</v>
      </c>
      <c r="U727" t="s">
        <v>1991</v>
      </c>
      <c r="V727" t="s">
        <v>1991</v>
      </c>
      <c r="W727" t="s">
        <v>1991</v>
      </c>
      <c r="X727" t="s">
        <v>1992</v>
      </c>
      <c r="Y727" t="s">
        <v>1991</v>
      </c>
      <c r="Z727" t="s">
        <v>1992</v>
      </c>
      <c r="AB727" t="s">
        <v>5439</v>
      </c>
      <c r="AE727" t="s">
        <v>2047</v>
      </c>
      <c r="AF727" t="s">
        <v>2016</v>
      </c>
      <c r="AG727" t="s">
        <v>1991</v>
      </c>
      <c r="AH727">
        <v>60</v>
      </c>
      <c r="AI727">
        <v>30</v>
      </c>
      <c r="AJ727" t="s">
        <v>5449</v>
      </c>
      <c r="AK727">
        <v>208</v>
      </c>
      <c r="AL727">
        <v>200000</v>
      </c>
      <c r="AN727" t="s">
        <v>1053</v>
      </c>
      <c r="AO727" t="s">
        <v>1053</v>
      </c>
      <c r="AP727" t="s">
        <v>1053</v>
      </c>
      <c r="AQ727" t="s">
        <v>1053</v>
      </c>
      <c r="AR727" t="s">
        <v>2069</v>
      </c>
      <c r="AS727" t="s">
        <v>5445</v>
      </c>
      <c r="AT727" t="s">
        <v>5450</v>
      </c>
      <c r="AU727" t="s">
        <v>5451</v>
      </c>
      <c r="AV727" t="s">
        <v>1053</v>
      </c>
      <c r="AW727" t="s">
        <v>1053</v>
      </c>
      <c r="AX727" t="s">
        <v>1053</v>
      </c>
      <c r="AY727" t="s">
        <v>1053</v>
      </c>
      <c r="AZ727" t="s">
        <v>2343</v>
      </c>
      <c r="BA727" t="s">
        <v>2344</v>
      </c>
      <c r="BB727" t="s">
        <v>1053</v>
      </c>
      <c r="BC727" t="s">
        <v>1053</v>
      </c>
      <c r="BD727" t="s">
        <v>1053</v>
      </c>
      <c r="BE727" t="s">
        <v>1053</v>
      </c>
      <c r="BF727" t="s">
        <v>1053</v>
      </c>
      <c r="BG727" t="s">
        <v>1054</v>
      </c>
      <c r="BH727" t="s">
        <v>5452</v>
      </c>
      <c r="BI727" t="s">
        <v>1053</v>
      </c>
      <c r="BJ727" t="s">
        <v>1053</v>
      </c>
      <c r="BK727" t="s">
        <v>1053</v>
      </c>
      <c r="BL727" t="s">
        <v>1053</v>
      </c>
      <c r="BM727" t="s">
        <v>2343</v>
      </c>
      <c r="BN727" t="s">
        <v>2344</v>
      </c>
      <c r="BO727" t="s">
        <v>1053</v>
      </c>
      <c r="BP727" t="s">
        <v>5453</v>
      </c>
      <c r="BQ727" t="s">
        <v>2346</v>
      </c>
      <c r="BR727" t="s">
        <v>1053</v>
      </c>
      <c r="BS727" t="s">
        <v>1053</v>
      </c>
      <c r="BT727" t="s">
        <v>1053</v>
      </c>
      <c r="BU727" t="s">
        <v>1053</v>
      </c>
      <c r="BV727" t="s">
        <v>2347</v>
      </c>
      <c r="BW727" t="s">
        <v>226</v>
      </c>
      <c r="BX727" t="str">
        <f t="shared" ref="BX727:CC727" si="6">"SMTWTFS 0000-2359"</f>
        <v>SMTWTFS 0000-2359</v>
      </c>
      <c r="BY727" t="str">
        <f t="shared" si="6"/>
        <v>SMTWTFS 0000-2359</v>
      </c>
      <c r="BZ727" t="str">
        <f t="shared" si="6"/>
        <v>SMTWTFS 0000-2359</v>
      </c>
      <c r="CA727" t="str">
        <f t="shared" si="6"/>
        <v>SMTWTFS 0000-2359</v>
      </c>
      <c r="CB727" t="str">
        <f t="shared" si="6"/>
        <v>SMTWTFS 0000-2359</v>
      </c>
      <c r="CC727" t="str">
        <f t="shared" si="6"/>
        <v>SMTWTFS 0000-2359</v>
      </c>
      <c r="CD727" t="str">
        <f>""</f>
        <v/>
      </c>
      <c r="CE727" t="str">
        <f>""</f>
        <v/>
      </c>
      <c r="CF727" t="str">
        <f>"SMTWTFS 0530-2230"</f>
        <v>SMTWTFS 0530-2230</v>
      </c>
      <c r="CG727" t="str">
        <f>""</f>
        <v/>
      </c>
      <c r="CH727" t="str">
        <f>"SMTWTFS 0001-2359"</f>
        <v>SMTWTFS 0001-2359</v>
      </c>
    </row>
    <row r="728" spans="1:86" x14ac:dyDescent="0.25">
      <c r="A728" t="s">
        <v>5454</v>
      </c>
      <c r="B728" t="s">
        <v>5455</v>
      </c>
      <c r="C728" t="s">
        <v>1992</v>
      </c>
      <c r="D728" t="s">
        <v>1993</v>
      </c>
      <c r="E728" t="s">
        <v>5456</v>
      </c>
      <c r="F728" t="s">
        <v>5457</v>
      </c>
      <c r="H728" t="s">
        <v>5458</v>
      </c>
      <c r="I728" t="s">
        <v>2061</v>
      </c>
      <c r="J728" t="str">
        <f>"94571-1837"</f>
        <v>94571-1837</v>
      </c>
      <c r="K728" t="s">
        <v>1998</v>
      </c>
      <c r="L728" t="s">
        <v>2062</v>
      </c>
      <c r="M728" t="s">
        <v>2000</v>
      </c>
      <c r="N728" t="s">
        <v>1992</v>
      </c>
      <c r="O728" t="s">
        <v>1992</v>
      </c>
      <c r="P728" t="s">
        <v>1992</v>
      </c>
      <c r="Q728" t="s">
        <v>1992</v>
      </c>
      <c r="R728" t="s">
        <v>1992</v>
      </c>
      <c r="S728" t="s">
        <v>1992</v>
      </c>
      <c r="T728" t="s">
        <v>1992</v>
      </c>
      <c r="U728" t="s">
        <v>1992</v>
      </c>
      <c r="V728" t="s">
        <v>1991</v>
      </c>
      <c r="Z728" t="s">
        <v>1991</v>
      </c>
      <c r="AF728" t="s">
        <v>2064</v>
      </c>
      <c r="AG728" t="s">
        <v>1991</v>
      </c>
      <c r="AH728">
        <v>15</v>
      </c>
      <c r="AI728">
        <v>15</v>
      </c>
      <c r="AJ728" t="s">
        <v>5459</v>
      </c>
      <c r="AK728">
        <v>17</v>
      </c>
      <c r="BX728" t="str">
        <f>""</f>
        <v/>
      </c>
      <c r="BY728" t="str">
        <f>""</f>
        <v/>
      </c>
      <c r="BZ728" t="str">
        <f>""</f>
        <v/>
      </c>
      <c r="CA728" t="str">
        <f>""</f>
        <v/>
      </c>
      <c r="CB728" t="str">
        <f>""</f>
        <v/>
      </c>
      <c r="CC728" t="str">
        <f>""</f>
        <v/>
      </c>
      <c r="CD728" t="str">
        <f>""</f>
        <v/>
      </c>
      <c r="CE728" t="str">
        <f>""</f>
        <v/>
      </c>
      <c r="CF728" t="str">
        <f>""</f>
        <v/>
      </c>
      <c r="CG728" t="str">
        <f>""</f>
        <v/>
      </c>
      <c r="CH728" t="str">
        <f>""</f>
        <v/>
      </c>
    </row>
    <row r="729" spans="1:86" x14ac:dyDescent="0.25">
      <c r="A729" t="s">
        <v>5460</v>
      </c>
      <c r="B729" t="s">
        <v>5461</v>
      </c>
      <c r="C729" t="s">
        <v>1992</v>
      </c>
      <c r="D729" t="s">
        <v>2010</v>
      </c>
      <c r="E729" t="s">
        <v>5462</v>
      </c>
      <c r="H729" t="s">
        <v>5463</v>
      </c>
      <c r="I729" t="s">
        <v>680</v>
      </c>
      <c r="J729" t="str">
        <f>"05478"</f>
        <v>05478</v>
      </c>
      <c r="K729" t="s">
        <v>1998</v>
      </c>
      <c r="L729" t="s">
        <v>2033</v>
      </c>
      <c r="M729" t="s">
        <v>5464</v>
      </c>
      <c r="N729" t="s">
        <v>1992</v>
      </c>
      <c r="O729" t="s">
        <v>1992</v>
      </c>
      <c r="P729" t="s">
        <v>1992</v>
      </c>
      <c r="Q729" t="s">
        <v>1992</v>
      </c>
      <c r="R729" t="s">
        <v>1992</v>
      </c>
      <c r="S729" t="s">
        <v>1992</v>
      </c>
      <c r="T729" t="s">
        <v>1992</v>
      </c>
      <c r="U729" t="s">
        <v>1992</v>
      </c>
      <c r="V729" t="s">
        <v>1991</v>
      </c>
      <c r="W729" t="s">
        <v>1991</v>
      </c>
      <c r="X729" t="s">
        <v>1992</v>
      </c>
      <c r="Y729" t="s">
        <v>1992</v>
      </c>
      <c r="Z729" t="s">
        <v>1992</v>
      </c>
      <c r="AA729" t="s">
        <v>1992</v>
      </c>
      <c r="AF729" t="s">
        <v>2016</v>
      </c>
      <c r="AG729" t="s">
        <v>1991</v>
      </c>
      <c r="AH729">
        <v>30</v>
      </c>
      <c r="AI729">
        <v>30</v>
      </c>
      <c r="AJ729" t="s">
        <v>5465</v>
      </c>
      <c r="AK729">
        <v>389</v>
      </c>
      <c r="AL729">
        <v>7409</v>
      </c>
      <c r="AM729" t="s">
        <v>5466</v>
      </c>
      <c r="AN729" t="s">
        <v>2066</v>
      </c>
      <c r="AO729" t="s">
        <v>2063</v>
      </c>
      <c r="BF729" t="s">
        <v>1053</v>
      </c>
      <c r="BG729" t="s">
        <v>597</v>
      </c>
      <c r="BH729" t="s">
        <v>250</v>
      </c>
      <c r="BI729" t="s">
        <v>1053</v>
      </c>
      <c r="BJ729" t="s">
        <v>1053</v>
      </c>
      <c r="BK729" t="s">
        <v>1053</v>
      </c>
      <c r="BL729" t="s">
        <v>1053</v>
      </c>
      <c r="BM729" t="s">
        <v>251</v>
      </c>
      <c r="BN729" t="s">
        <v>252</v>
      </c>
      <c r="BO729" t="s">
        <v>1053</v>
      </c>
      <c r="BP729" t="s">
        <v>5467</v>
      </c>
      <c r="BQ729" t="s">
        <v>254</v>
      </c>
      <c r="BR729" t="s">
        <v>1053</v>
      </c>
      <c r="BS729" t="s">
        <v>1053</v>
      </c>
      <c r="BT729" t="s">
        <v>1053</v>
      </c>
      <c r="BU729" t="s">
        <v>1053</v>
      </c>
      <c r="BV729" t="s">
        <v>255</v>
      </c>
      <c r="BW729" t="s">
        <v>256</v>
      </c>
      <c r="BX729" t="str">
        <f>"SMTWTFS 0730-0930 2030-2230"</f>
        <v>SMTWTFS 0730-0930 2030-2230</v>
      </c>
      <c r="BY729" t="str">
        <f>""</f>
        <v/>
      </c>
      <c r="BZ729" t="str">
        <f>""</f>
        <v/>
      </c>
      <c r="CA729" t="str">
        <f>""</f>
        <v/>
      </c>
      <c r="CB729" t="str">
        <f>""</f>
        <v/>
      </c>
      <c r="CC729" t="str">
        <f>""</f>
        <v/>
      </c>
      <c r="CD729" t="str">
        <f>""</f>
        <v/>
      </c>
      <c r="CE729" t="str">
        <f>""</f>
        <v/>
      </c>
      <c r="CF729" t="str">
        <f>""</f>
        <v/>
      </c>
      <c r="CG729" t="str">
        <f>""</f>
        <v/>
      </c>
      <c r="CH729" t="str">
        <f>""</f>
        <v/>
      </c>
    </row>
    <row r="730" spans="1:86" x14ac:dyDescent="0.25">
      <c r="A730" t="s">
        <v>5468</v>
      </c>
      <c r="B730" t="s">
        <v>5469</v>
      </c>
      <c r="C730" t="s">
        <v>1991</v>
      </c>
      <c r="D730" t="s">
        <v>2010</v>
      </c>
      <c r="E730" t="s">
        <v>5470</v>
      </c>
      <c r="H730" t="s">
        <v>5471</v>
      </c>
      <c r="I730" t="s">
        <v>2061</v>
      </c>
      <c r="J730" t="str">
        <f>"95814-2308"</f>
        <v>95814-2308</v>
      </c>
      <c r="K730" t="s">
        <v>1998</v>
      </c>
      <c r="L730" t="s">
        <v>2062</v>
      </c>
      <c r="M730" t="s">
        <v>5472</v>
      </c>
      <c r="N730" t="s">
        <v>1991</v>
      </c>
      <c r="O730" t="s">
        <v>1991</v>
      </c>
      <c r="P730" t="s">
        <v>1992</v>
      </c>
      <c r="Q730" t="s">
        <v>1991</v>
      </c>
      <c r="R730" t="s">
        <v>1991</v>
      </c>
      <c r="S730" t="s">
        <v>1992</v>
      </c>
      <c r="T730" t="s">
        <v>1992</v>
      </c>
      <c r="U730" t="s">
        <v>1991</v>
      </c>
      <c r="V730" t="s">
        <v>1991</v>
      </c>
      <c r="W730" t="s">
        <v>1991</v>
      </c>
      <c r="X730" t="s">
        <v>1992</v>
      </c>
      <c r="Y730" t="s">
        <v>1991</v>
      </c>
      <c r="Z730" t="s">
        <v>1991</v>
      </c>
      <c r="AA730" t="s">
        <v>1991</v>
      </c>
      <c r="AB730" t="s">
        <v>5473</v>
      </c>
      <c r="AE730" t="s">
        <v>2047</v>
      </c>
      <c r="AF730" t="s">
        <v>2064</v>
      </c>
      <c r="AG730" t="s">
        <v>1991</v>
      </c>
      <c r="AH730">
        <v>60</v>
      </c>
      <c r="AI730">
        <v>30</v>
      </c>
      <c r="AJ730" t="s">
        <v>5474</v>
      </c>
      <c r="AK730">
        <v>33</v>
      </c>
      <c r="AL730">
        <v>369305</v>
      </c>
      <c r="AM730" t="s">
        <v>5475</v>
      </c>
      <c r="AN730" t="s">
        <v>1053</v>
      </c>
      <c r="AO730" t="s">
        <v>1053</v>
      </c>
      <c r="AP730" t="s">
        <v>2069</v>
      </c>
      <c r="AQ730" t="s">
        <v>1053</v>
      </c>
      <c r="AR730" t="s">
        <v>2069</v>
      </c>
      <c r="AS730" t="s">
        <v>5468</v>
      </c>
      <c r="AT730" t="s">
        <v>5476</v>
      </c>
      <c r="AU730" t="s">
        <v>1053</v>
      </c>
      <c r="AV730" t="s">
        <v>1053</v>
      </c>
      <c r="AW730" t="s">
        <v>2069</v>
      </c>
      <c r="AX730" t="s">
        <v>1053</v>
      </c>
      <c r="AY730" t="s">
        <v>2069</v>
      </c>
      <c r="AZ730" t="s">
        <v>5468</v>
      </c>
      <c r="BA730" t="s">
        <v>5476</v>
      </c>
      <c r="BB730" t="s">
        <v>1053</v>
      </c>
      <c r="BC730" t="s">
        <v>2069</v>
      </c>
      <c r="BD730" t="s">
        <v>1053</v>
      </c>
      <c r="BE730" t="s">
        <v>2069</v>
      </c>
      <c r="BF730" t="s">
        <v>1053</v>
      </c>
      <c r="BG730" t="s">
        <v>317</v>
      </c>
      <c r="BH730" t="s">
        <v>348</v>
      </c>
      <c r="BI730" t="s">
        <v>1053</v>
      </c>
      <c r="BO730" t="s">
        <v>1053</v>
      </c>
      <c r="BP730" t="s">
        <v>2067</v>
      </c>
      <c r="BQ730" t="s">
        <v>348</v>
      </c>
      <c r="BR730" t="s">
        <v>1053</v>
      </c>
      <c r="BT730" t="s">
        <v>1053</v>
      </c>
      <c r="BX730" t="str">
        <f>"SMTWTFS 0415-2359"</f>
        <v>SMTWTFS 0415-2359</v>
      </c>
      <c r="BY730" t="str">
        <f>"SMTWTFS 0500-2350"</f>
        <v>SMTWTFS 0500-2350</v>
      </c>
      <c r="BZ730" t="str">
        <f>"SMTWTFS 0415-2359"</f>
        <v>SMTWTFS 0415-2359</v>
      </c>
      <c r="CA730" t="str">
        <f>"SMTWTFS 0415-2345"</f>
        <v>SMTWTFS 0415-2345</v>
      </c>
      <c r="CB730" t="str">
        <f>""</f>
        <v/>
      </c>
      <c r="CC730" t="str">
        <f>"SMTWTFS 0415-2359"</f>
        <v>SMTWTFS 0415-2359</v>
      </c>
      <c r="CD730" t="str">
        <f>""</f>
        <v/>
      </c>
      <c r="CE730" t="str">
        <f>""</f>
        <v/>
      </c>
      <c r="CF730" t="str">
        <f>"SMTWTFS 0700-1000 1200-1500 1845-2200"</f>
        <v>SMTWTFS 0700-1000 1200-1500 1845-2200</v>
      </c>
      <c r="CG730" t="str">
        <f>""</f>
        <v/>
      </c>
      <c r="CH730" t="str">
        <f>"SMTWTFS 0000-2359"</f>
        <v>SMTWTFS 0000-2359</v>
      </c>
    </row>
    <row r="731" spans="1:86" x14ac:dyDescent="0.25">
      <c r="A731" t="s">
        <v>5477</v>
      </c>
      <c r="B731" t="s">
        <v>5478</v>
      </c>
      <c r="C731" t="s">
        <v>1992</v>
      </c>
      <c r="D731" t="s">
        <v>1993</v>
      </c>
      <c r="E731" t="s">
        <v>5479</v>
      </c>
      <c r="F731" t="s">
        <v>5480</v>
      </c>
      <c r="G731" t="s">
        <v>5481</v>
      </c>
      <c r="H731" t="s">
        <v>5482</v>
      </c>
      <c r="I731" t="s">
        <v>2044</v>
      </c>
      <c r="J731" t="str">
        <f>"87501"</f>
        <v>87501</v>
      </c>
      <c r="K731" t="s">
        <v>1998</v>
      </c>
      <c r="L731" t="s">
        <v>2045</v>
      </c>
      <c r="M731" t="s">
        <v>5483</v>
      </c>
      <c r="N731" t="s">
        <v>1992</v>
      </c>
      <c r="O731" t="s">
        <v>1992</v>
      </c>
      <c r="P731" t="s">
        <v>1992</v>
      </c>
      <c r="Q731" t="s">
        <v>1992</v>
      </c>
      <c r="R731" t="s">
        <v>1992</v>
      </c>
      <c r="S731" t="s">
        <v>1992</v>
      </c>
      <c r="T731" t="s">
        <v>1992</v>
      </c>
      <c r="U731" t="s">
        <v>1992</v>
      </c>
      <c r="V731" t="s">
        <v>1991</v>
      </c>
      <c r="W731" t="s">
        <v>1992</v>
      </c>
      <c r="Z731" t="s">
        <v>1991</v>
      </c>
      <c r="AF731" t="s">
        <v>2048</v>
      </c>
      <c r="AG731" t="s">
        <v>1991</v>
      </c>
      <c r="AH731">
        <v>120</v>
      </c>
      <c r="AI731">
        <v>120</v>
      </c>
      <c r="AJ731" t="s">
        <v>2090</v>
      </c>
      <c r="AL731">
        <v>59200</v>
      </c>
      <c r="AM731" t="s">
        <v>5484</v>
      </c>
      <c r="AN731" t="s">
        <v>5485</v>
      </c>
      <c r="AO731" t="s">
        <v>1053</v>
      </c>
      <c r="BF731" t="s">
        <v>1053</v>
      </c>
      <c r="BG731" t="s">
        <v>6095</v>
      </c>
      <c r="BH731" t="s">
        <v>5486</v>
      </c>
      <c r="BI731" t="s">
        <v>1053</v>
      </c>
      <c r="BJ731" t="s">
        <v>1053</v>
      </c>
      <c r="BK731" t="s">
        <v>1053</v>
      </c>
      <c r="BL731" t="s">
        <v>1053</v>
      </c>
      <c r="BO731" t="s">
        <v>1053</v>
      </c>
      <c r="BP731" t="s">
        <v>6096</v>
      </c>
      <c r="BQ731" t="s">
        <v>2055</v>
      </c>
      <c r="BR731" t="s">
        <v>1053</v>
      </c>
      <c r="BS731" t="s">
        <v>1053</v>
      </c>
      <c r="BV731" t="s">
        <v>2056</v>
      </c>
      <c r="BX731" t="str">
        <f>""</f>
        <v/>
      </c>
      <c r="BY731" t="str">
        <f>""</f>
        <v/>
      </c>
      <c r="BZ731" t="str">
        <f>""</f>
        <v/>
      </c>
      <c r="CA731" t="str">
        <f>""</f>
        <v/>
      </c>
      <c r="CB731" t="str">
        <f>""</f>
        <v/>
      </c>
      <c r="CC731" t="str">
        <f>""</f>
        <v/>
      </c>
      <c r="CD731" t="str">
        <f>""</f>
        <v/>
      </c>
      <c r="CE731" t="str">
        <f>""</f>
        <v/>
      </c>
      <c r="CF731" t="str">
        <f>""</f>
        <v/>
      </c>
      <c r="CG731" t="str">
        <f>""</f>
        <v/>
      </c>
      <c r="CH731" t="str">
        <f>""</f>
        <v/>
      </c>
    </row>
    <row r="732" spans="1:86" x14ac:dyDescent="0.25">
      <c r="A732" t="s">
        <v>5487</v>
      </c>
      <c r="B732" t="s">
        <v>5488</v>
      </c>
      <c r="C732" t="s">
        <v>1992</v>
      </c>
      <c r="D732" t="s">
        <v>2010</v>
      </c>
      <c r="E732" t="s">
        <v>5489</v>
      </c>
      <c r="H732" t="s">
        <v>5490</v>
      </c>
      <c r="I732" t="s">
        <v>700</v>
      </c>
      <c r="J732" t="str">
        <f>"28144"</f>
        <v>28144</v>
      </c>
      <c r="K732" t="s">
        <v>1998</v>
      </c>
      <c r="L732" t="s">
        <v>408</v>
      </c>
      <c r="M732" t="s">
        <v>2000</v>
      </c>
      <c r="N732" t="s">
        <v>1992</v>
      </c>
      <c r="O732" t="s">
        <v>1991</v>
      </c>
      <c r="P732" t="s">
        <v>1992</v>
      </c>
      <c r="Q732" t="s">
        <v>1992</v>
      </c>
      <c r="R732" t="s">
        <v>1992</v>
      </c>
      <c r="S732" t="s">
        <v>1992</v>
      </c>
      <c r="T732" t="s">
        <v>1992</v>
      </c>
      <c r="U732" t="s">
        <v>1992</v>
      </c>
      <c r="V732" t="s">
        <v>1991</v>
      </c>
      <c r="W732" t="s">
        <v>1991</v>
      </c>
      <c r="X732" t="s">
        <v>1992</v>
      </c>
      <c r="Y732" t="s">
        <v>1992</v>
      </c>
      <c r="Z732" t="s">
        <v>1992</v>
      </c>
      <c r="AF732" t="s">
        <v>2016</v>
      </c>
      <c r="AG732" t="s">
        <v>1991</v>
      </c>
      <c r="AH732">
        <v>30</v>
      </c>
      <c r="AI732">
        <v>30</v>
      </c>
      <c r="AJ732" t="s">
        <v>5491</v>
      </c>
      <c r="AK732">
        <v>748</v>
      </c>
      <c r="AL732">
        <v>28480</v>
      </c>
      <c r="AM732" t="s">
        <v>702</v>
      </c>
      <c r="AN732" t="s">
        <v>702</v>
      </c>
      <c r="AU732" t="s">
        <v>702</v>
      </c>
      <c r="AV732" t="s">
        <v>1053</v>
      </c>
      <c r="AX732" t="s">
        <v>1053</v>
      </c>
      <c r="BF732" t="s">
        <v>1053</v>
      </c>
      <c r="BG732" t="s">
        <v>703</v>
      </c>
      <c r="BH732" t="s">
        <v>3569</v>
      </c>
      <c r="BI732" t="s">
        <v>1053</v>
      </c>
      <c r="BJ732" t="s">
        <v>1053</v>
      </c>
      <c r="BK732" t="s">
        <v>1053</v>
      </c>
      <c r="BL732" t="s">
        <v>1053</v>
      </c>
      <c r="BM732" t="s">
        <v>705</v>
      </c>
      <c r="BO732" t="s">
        <v>1053</v>
      </c>
      <c r="BP732" t="s">
        <v>2375</v>
      </c>
      <c r="BQ732" t="s">
        <v>427</v>
      </c>
      <c r="BR732" t="s">
        <v>1053</v>
      </c>
      <c r="BS732" t="s">
        <v>1053</v>
      </c>
      <c r="BT732" t="s">
        <v>1053</v>
      </c>
      <c r="BU732" t="s">
        <v>1053</v>
      </c>
      <c r="BV732" t="s">
        <v>416</v>
      </c>
      <c r="BW732" t="s">
        <v>417</v>
      </c>
      <c r="BX732" t="str">
        <f>"SMTWTFS 0030-0315 0700-1000 1200-1500 1700-2000"</f>
        <v>SMTWTFS 0030-0315 0700-1000 1200-1500 1700-2000</v>
      </c>
      <c r="BY732" t="str">
        <f>""</f>
        <v/>
      </c>
      <c r="BZ732" t="str">
        <f>""</f>
        <v/>
      </c>
      <c r="CA732" t="str">
        <f>""</f>
        <v/>
      </c>
      <c r="CB732" t="str">
        <f>""</f>
        <v/>
      </c>
      <c r="CC732" t="str">
        <f>"SMTWTFS 0030-0315 0715-1000 1215-1500 1700-2000"</f>
        <v>SMTWTFS 0030-0315 0715-1000 1215-1500 1700-2000</v>
      </c>
      <c r="CD732" t="str">
        <f>""</f>
        <v/>
      </c>
      <c r="CE732" t="str">
        <f>""</f>
        <v/>
      </c>
      <c r="CF732" t="str">
        <f>""</f>
        <v/>
      </c>
      <c r="CG732" t="str">
        <f>""</f>
        <v/>
      </c>
      <c r="CH732" t="str">
        <f>""</f>
        <v/>
      </c>
    </row>
    <row r="733" spans="1:86" x14ac:dyDescent="0.25">
      <c r="A733" t="s">
        <v>5492</v>
      </c>
      <c r="B733" t="s">
        <v>5493</v>
      </c>
      <c r="C733" t="s">
        <v>1991</v>
      </c>
      <c r="D733" t="s">
        <v>2010</v>
      </c>
      <c r="E733" t="s">
        <v>5494</v>
      </c>
      <c r="H733" t="s">
        <v>4585</v>
      </c>
      <c r="I733" t="s">
        <v>2061</v>
      </c>
      <c r="J733" t="str">
        <f>"92101-3339"</f>
        <v>92101-3339</v>
      </c>
      <c r="K733" t="s">
        <v>1998</v>
      </c>
      <c r="L733" t="s">
        <v>2045</v>
      </c>
      <c r="M733" t="s">
        <v>5495</v>
      </c>
      <c r="N733" t="s">
        <v>1991</v>
      </c>
      <c r="O733" t="s">
        <v>1991</v>
      </c>
      <c r="P733" t="s">
        <v>1991</v>
      </c>
      <c r="Q733" t="s">
        <v>1991</v>
      </c>
      <c r="R733" t="s">
        <v>1991</v>
      </c>
      <c r="S733" t="s">
        <v>1992</v>
      </c>
      <c r="T733" t="s">
        <v>1992</v>
      </c>
      <c r="U733" t="s">
        <v>1991</v>
      </c>
      <c r="V733" t="s">
        <v>1991</v>
      </c>
      <c r="W733" t="s">
        <v>1991</v>
      </c>
      <c r="X733" t="s">
        <v>1991</v>
      </c>
      <c r="Y733" t="s">
        <v>1991</v>
      </c>
      <c r="Z733" t="s">
        <v>1992</v>
      </c>
      <c r="AA733" t="s">
        <v>1992</v>
      </c>
      <c r="AE733" t="s">
        <v>2047</v>
      </c>
      <c r="AF733" t="s">
        <v>2064</v>
      </c>
      <c r="AG733" t="s">
        <v>1991</v>
      </c>
      <c r="AH733">
        <v>60</v>
      </c>
      <c r="AI733">
        <v>30</v>
      </c>
      <c r="AJ733" t="s">
        <v>5496</v>
      </c>
      <c r="AK733">
        <v>15</v>
      </c>
      <c r="AL733">
        <v>875500</v>
      </c>
      <c r="AM733" t="s">
        <v>2298</v>
      </c>
      <c r="AN733" t="s">
        <v>1053</v>
      </c>
      <c r="AO733" t="s">
        <v>1053</v>
      </c>
      <c r="AP733" t="s">
        <v>2083</v>
      </c>
      <c r="AQ733" t="s">
        <v>1053</v>
      </c>
      <c r="AR733" t="s">
        <v>2083</v>
      </c>
      <c r="AS733" t="s">
        <v>5492</v>
      </c>
      <c r="AT733" t="s">
        <v>5497</v>
      </c>
      <c r="AU733" t="s">
        <v>1053</v>
      </c>
      <c r="AV733" t="s">
        <v>1053</v>
      </c>
      <c r="AW733" t="s">
        <v>2083</v>
      </c>
      <c r="AX733" t="s">
        <v>1053</v>
      </c>
      <c r="AY733" t="s">
        <v>2083</v>
      </c>
      <c r="AZ733" t="s">
        <v>5492</v>
      </c>
      <c r="BA733" t="s">
        <v>5497</v>
      </c>
      <c r="BB733" t="s">
        <v>1053</v>
      </c>
      <c r="BC733" t="s">
        <v>2083</v>
      </c>
      <c r="BD733" t="s">
        <v>1053</v>
      </c>
      <c r="BE733" t="s">
        <v>2083</v>
      </c>
      <c r="BF733" t="s">
        <v>1053</v>
      </c>
      <c r="BG733" t="s">
        <v>2067</v>
      </c>
      <c r="BH733" t="s">
        <v>275</v>
      </c>
      <c r="BI733" t="s">
        <v>1053</v>
      </c>
      <c r="BJ733" t="s">
        <v>2083</v>
      </c>
      <c r="BK733" t="s">
        <v>1053</v>
      </c>
      <c r="BL733" t="s">
        <v>2083</v>
      </c>
      <c r="BM733" t="s">
        <v>276</v>
      </c>
      <c r="BN733" t="s">
        <v>277</v>
      </c>
      <c r="BO733" t="s">
        <v>1053</v>
      </c>
      <c r="BP733" t="s">
        <v>2067</v>
      </c>
      <c r="BQ733" t="s">
        <v>275</v>
      </c>
      <c r="BR733" t="s">
        <v>1053</v>
      </c>
      <c r="BX733" t="str">
        <f>"SMTWTFS 0000-0115 0445-2359"</f>
        <v>SMTWTFS 0000-0115 0445-2359</v>
      </c>
      <c r="BY733" t="str">
        <f>"SMTWTFS 0530-1900"</f>
        <v>SMTWTFS 0530-1900</v>
      </c>
      <c r="BZ733" t="str">
        <f>"SMTWTFS 0530-2200"</f>
        <v>SMTWTFS 0530-2200</v>
      </c>
      <c r="CA733" t="str">
        <f>"SMTWTFS 0515-2215"</f>
        <v>SMTWTFS 0515-2215</v>
      </c>
      <c r="CB733" t="str">
        <f>""</f>
        <v/>
      </c>
      <c r="CC733" t="str">
        <f>"SMTWTFS 0000-0100 0430-2359"</f>
        <v>SMTWTFS 0000-0100 0430-2359</v>
      </c>
      <c r="CD733" t="str">
        <f>"SMTWTFS 0000-0115 0445-2359"</f>
        <v>SMTWTFS 0000-0115 0445-2359</v>
      </c>
      <c r="CE733" t="str">
        <f>""</f>
        <v/>
      </c>
      <c r="CF733" t="str">
        <f>"SMTWTFS 0615-1900"</f>
        <v>SMTWTFS 0615-1900</v>
      </c>
      <c r="CG733" t="str">
        <f>""</f>
        <v/>
      </c>
      <c r="CH733" t="str">
        <f>""</f>
        <v/>
      </c>
    </row>
    <row r="734" spans="1:86" x14ac:dyDescent="0.25">
      <c r="A734" t="s">
        <v>5498</v>
      </c>
      <c r="B734" t="s">
        <v>5499</v>
      </c>
      <c r="C734" t="s">
        <v>1992</v>
      </c>
      <c r="D734" t="s">
        <v>2010</v>
      </c>
      <c r="E734" t="s">
        <v>5500</v>
      </c>
      <c r="F734" t="s">
        <v>5501</v>
      </c>
      <c r="H734" t="s">
        <v>5502</v>
      </c>
      <c r="I734" t="s">
        <v>2287</v>
      </c>
      <c r="J734" t="str">
        <f>"04072-3502"</f>
        <v>04072-3502</v>
      </c>
      <c r="K734" t="s">
        <v>1998</v>
      </c>
      <c r="L734" t="s">
        <v>2033</v>
      </c>
      <c r="M734" t="s">
        <v>2000</v>
      </c>
      <c r="N734" t="s">
        <v>1992</v>
      </c>
      <c r="O734" t="s">
        <v>1991</v>
      </c>
      <c r="P734" t="s">
        <v>1992</v>
      </c>
      <c r="Q734" t="s">
        <v>1992</v>
      </c>
      <c r="R734" t="s">
        <v>1992</v>
      </c>
      <c r="S734" t="s">
        <v>1992</v>
      </c>
      <c r="T734" t="s">
        <v>1992</v>
      </c>
      <c r="U734" t="s">
        <v>1992</v>
      </c>
      <c r="V734" t="s">
        <v>1991</v>
      </c>
      <c r="W734" t="s">
        <v>1991</v>
      </c>
      <c r="X734" t="s">
        <v>1991</v>
      </c>
      <c r="Y734" t="s">
        <v>1992</v>
      </c>
      <c r="Z734" t="s">
        <v>1992</v>
      </c>
      <c r="AF734" t="s">
        <v>2016</v>
      </c>
      <c r="AG734" t="s">
        <v>1991</v>
      </c>
      <c r="AH734">
        <v>30</v>
      </c>
      <c r="AI734">
        <v>30</v>
      </c>
      <c r="AJ734" t="s">
        <v>5503</v>
      </c>
      <c r="AK734">
        <v>61</v>
      </c>
      <c r="AL734">
        <v>18289</v>
      </c>
      <c r="AM734" t="s">
        <v>5504</v>
      </c>
      <c r="BF734" t="s">
        <v>1053</v>
      </c>
      <c r="BG734" t="s">
        <v>2345</v>
      </c>
      <c r="BH734" t="s">
        <v>2201</v>
      </c>
      <c r="BI734" t="s">
        <v>1053</v>
      </c>
      <c r="BK734" t="s">
        <v>1053</v>
      </c>
      <c r="BL734" t="s">
        <v>2069</v>
      </c>
      <c r="BM734" t="s">
        <v>2202</v>
      </c>
      <c r="BN734" t="s">
        <v>2139</v>
      </c>
      <c r="BO734" t="s">
        <v>1053</v>
      </c>
      <c r="BP734" t="s">
        <v>986</v>
      </c>
      <c r="BQ734" t="s">
        <v>2140</v>
      </c>
      <c r="BR734" t="s">
        <v>1053</v>
      </c>
      <c r="BS734" t="s">
        <v>1053</v>
      </c>
      <c r="BT734" t="s">
        <v>1053</v>
      </c>
      <c r="BU734" t="s">
        <v>1053</v>
      </c>
      <c r="BV734" t="s">
        <v>520</v>
      </c>
      <c r="BW734" t="s">
        <v>523</v>
      </c>
      <c r="BX734" t="str">
        <f>"SMTWTFS 0530-2030"</f>
        <v>SMTWTFS 0530-2030</v>
      </c>
      <c r="BY734" t="str">
        <f>""</f>
        <v/>
      </c>
      <c r="BZ734" t="str">
        <f>""</f>
        <v/>
      </c>
      <c r="CA734" t="str">
        <f>""</f>
        <v/>
      </c>
      <c r="CB734" t="str">
        <f>""</f>
        <v/>
      </c>
      <c r="CC734" t="str">
        <f>"SMTWTFS 0530-2030"</f>
        <v>SMTWTFS 0530-2030</v>
      </c>
      <c r="CD734" t="str">
        <f>""</f>
        <v/>
      </c>
      <c r="CE734" t="str">
        <f>""</f>
        <v/>
      </c>
      <c r="CF734" t="str">
        <f>""</f>
        <v/>
      </c>
      <c r="CG734" t="str">
        <f>""</f>
        <v/>
      </c>
      <c r="CH734" t="str">
        <f>""</f>
        <v/>
      </c>
    </row>
    <row r="735" spans="1:86" x14ac:dyDescent="0.25">
      <c r="A735" t="s">
        <v>5505</v>
      </c>
      <c r="B735" t="s">
        <v>5506</v>
      </c>
      <c r="C735" t="s">
        <v>1992</v>
      </c>
      <c r="D735" t="s">
        <v>1993</v>
      </c>
      <c r="E735" t="s">
        <v>5507</v>
      </c>
      <c r="F735" t="s">
        <v>2693</v>
      </c>
      <c r="H735" t="s">
        <v>2694</v>
      </c>
      <c r="I735" t="s">
        <v>2061</v>
      </c>
      <c r="J735" t="str">
        <f>"93060-3376"</f>
        <v>93060-3376</v>
      </c>
      <c r="K735" t="s">
        <v>1998</v>
      </c>
      <c r="L735" t="s">
        <v>2045</v>
      </c>
      <c r="M735" t="s">
        <v>2063</v>
      </c>
      <c r="N735" t="s">
        <v>1992</v>
      </c>
      <c r="O735" t="s">
        <v>1992</v>
      </c>
      <c r="P735" t="s">
        <v>1992</v>
      </c>
      <c r="Q735" t="s">
        <v>1992</v>
      </c>
      <c r="R735" t="s">
        <v>1992</v>
      </c>
      <c r="S735" t="s">
        <v>1992</v>
      </c>
      <c r="T735" t="s">
        <v>1992</v>
      </c>
      <c r="U735" t="s">
        <v>1992</v>
      </c>
      <c r="V735" t="s">
        <v>1991</v>
      </c>
      <c r="W735" t="s">
        <v>1992</v>
      </c>
      <c r="X735" t="s">
        <v>1992</v>
      </c>
      <c r="Y735" t="s">
        <v>1992</v>
      </c>
      <c r="Z735" t="s">
        <v>1991</v>
      </c>
      <c r="AF735" t="s">
        <v>2064</v>
      </c>
      <c r="AG735" t="s">
        <v>1991</v>
      </c>
      <c r="AH735">
        <v>30</v>
      </c>
      <c r="AI735">
        <v>30</v>
      </c>
      <c r="AJ735" t="s">
        <v>2695</v>
      </c>
      <c r="AK735">
        <v>244</v>
      </c>
      <c r="AL735">
        <v>24400</v>
      </c>
      <c r="AM735" t="s">
        <v>2298</v>
      </c>
      <c r="BF735" t="s">
        <v>1053</v>
      </c>
      <c r="BG735" t="s">
        <v>309</v>
      </c>
      <c r="BH735" t="s">
        <v>2301</v>
      </c>
      <c r="BI735" t="s">
        <v>1053</v>
      </c>
      <c r="BK735" t="s">
        <v>1053</v>
      </c>
      <c r="BO735" t="s">
        <v>1053</v>
      </c>
      <c r="BP735" t="s">
        <v>330</v>
      </c>
      <c r="BQ735" t="s">
        <v>851</v>
      </c>
      <c r="BR735" t="s">
        <v>1053</v>
      </c>
      <c r="BX735" t="str">
        <f>""</f>
        <v/>
      </c>
      <c r="BY735" t="str">
        <f>""</f>
        <v/>
      </c>
      <c r="BZ735" t="str">
        <f>""</f>
        <v/>
      </c>
      <c r="CA735" t="str">
        <f>""</f>
        <v/>
      </c>
      <c r="CB735" t="str">
        <f>""</f>
        <v/>
      </c>
      <c r="CC735" t="str">
        <f>""</f>
        <v/>
      </c>
      <c r="CD735" t="str">
        <f>""</f>
        <v/>
      </c>
      <c r="CE735" t="str">
        <f>""</f>
        <v/>
      </c>
      <c r="CF735" t="str">
        <f>""</f>
        <v/>
      </c>
      <c r="CG735" t="str">
        <f>""</f>
        <v/>
      </c>
      <c r="CH735" t="str">
        <f>""</f>
        <v/>
      </c>
    </row>
    <row r="736" spans="1:86" x14ac:dyDescent="0.25">
      <c r="A736" t="s">
        <v>2696</v>
      </c>
      <c r="B736" t="s">
        <v>2697</v>
      </c>
      <c r="C736" t="s">
        <v>1991</v>
      </c>
      <c r="D736" t="s">
        <v>2010</v>
      </c>
      <c r="E736" t="s">
        <v>2698</v>
      </c>
      <c r="H736" t="s">
        <v>2699</v>
      </c>
      <c r="I736" t="s">
        <v>2321</v>
      </c>
      <c r="J736" t="str">
        <f>"12866"</f>
        <v>12866</v>
      </c>
      <c r="K736" t="s">
        <v>1998</v>
      </c>
      <c r="L736" t="s">
        <v>2033</v>
      </c>
      <c r="M736" t="s">
        <v>2700</v>
      </c>
      <c r="N736" t="s">
        <v>1991</v>
      </c>
      <c r="O736" t="s">
        <v>1992</v>
      </c>
      <c r="P736" t="s">
        <v>1992</v>
      </c>
      <c r="Q736" t="s">
        <v>1992</v>
      </c>
      <c r="R736" t="s">
        <v>1992</v>
      </c>
      <c r="S736" t="s">
        <v>1992</v>
      </c>
      <c r="T736" t="s">
        <v>1992</v>
      </c>
      <c r="U736" t="s">
        <v>1991</v>
      </c>
      <c r="V736" t="s">
        <v>1991</v>
      </c>
      <c r="W736" t="s">
        <v>1991</v>
      </c>
      <c r="X736" t="s">
        <v>1992</v>
      </c>
      <c r="Y736" t="s">
        <v>1992</v>
      </c>
      <c r="Z736" t="s">
        <v>1992</v>
      </c>
      <c r="AE736" t="s">
        <v>2047</v>
      </c>
      <c r="AF736" t="s">
        <v>2016</v>
      </c>
      <c r="AG736" t="s">
        <v>1991</v>
      </c>
      <c r="AH736">
        <v>30</v>
      </c>
      <c r="AI736">
        <v>30</v>
      </c>
      <c r="AJ736" t="s">
        <v>2701</v>
      </c>
      <c r="AK736">
        <v>325</v>
      </c>
      <c r="AL736">
        <v>23000</v>
      </c>
      <c r="AM736" t="s">
        <v>2702</v>
      </c>
      <c r="AN736" t="s">
        <v>1053</v>
      </c>
      <c r="AO736" t="s">
        <v>1053</v>
      </c>
      <c r="AP736" t="s">
        <v>2069</v>
      </c>
      <c r="AQ736" t="s">
        <v>1053</v>
      </c>
      <c r="AR736" t="s">
        <v>2069</v>
      </c>
      <c r="AS736" t="s">
        <v>2696</v>
      </c>
      <c r="AT736" t="s">
        <v>2703</v>
      </c>
      <c r="AU736" t="s">
        <v>1053</v>
      </c>
      <c r="AV736" t="s">
        <v>1053</v>
      </c>
      <c r="AW736" t="s">
        <v>1053</v>
      </c>
      <c r="AX736" t="s">
        <v>1053</v>
      </c>
      <c r="AY736" t="s">
        <v>2069</v>
      </c>
      <c r="AZ736" t="s">
        <v>2696</v>
      </c>
      <c r="BA736" t="s">
        <v>2703</v>
      </c>
      <c r="BB736" t="s">
        <v>1053</v>
      </c>
      <c r="BC736" t="s">
        <v>2069</v>
      </c>
      <c r="BD736" t="s">
        <v>1053</v>
      </c>
      <c r="BE736" t="s">
        <v>2069</v>
      </c>
      <c r="BF736" t="s">
        <v>1053</v>
      </c>
      <c r="BG736" t="s">
        <v>2019</v>
      </c>
      <c r="BH736" t="s">
        <v>5994</v>
      </c>
      <c r="BI736" t="s">
        <v>1053</v>
      </c>
      <c r="BJ736" t="s">
        <v>1053</v>
      </c>
      <c r="BK736" t="s">
        <v>1053</v>
      </c>
      <c r="BL736" t="s">
        <v>1053</v>
      </c>
      <c r="BM736" t="s">
        <v>2324</v>
      </c>
      <c r="BN736" t="s">
        <v>2325</v>
      </c>
      <c r="BO736" t="s">
        <v>1053</v>
      </c>
      <c r="BP736" t="s">
        <v>2327</v>
      </c>
      <c r="BQ736" t="s">
        <v>2704</v>
      </c>
      <c r="BR736" t="s">
        <v>1053</v>
      </c>
      <c r="BS736" t="s">
        <v>1053</v>
      </c>
      <c r="BV736" t="s">
        <v>1444</v>
      </c>
      <c r="BX736" t="str">
        <f>"S-----S 1030-1930; -MTWTF- 0900-1630"</f>
        <v>S-----S 1030-1930; -MTWTF- 0900-1630</v>
      </c>
      <c r="BY736" t="str">
        <f>""</f>
        <v/>
      </c>
      <c r="BZ736" t="str">
        <f>"S-----S 1030-1930; -MTWTF- 0900-1630"</f>
        <v>S-----S 1030-1930; -MTWTF- 0900-1630</v>
      </c>
      <c r="CA736" t="str">
        <f>"S-----S 1030-1930; -MTWTF- 0900-1630"</f>
        <v>S-----S 1030-1930; -MTWTF- 0900-1630</v>
      </c>
      <c r="CB736" t="str">
        <f>""</f>
        <v/>
      </c>
      <c r="CC736" t="str">
        <f>""</f>
        <v/>
      </c>
      <c r="CD736" t="str">
        <f>""</f>
        <v/>
      </c>
      <c r="CE736" t="str">
        <f>""</f>
        <v/>
      </c>
      <c r="CF736" t="str">
        <f>""</f>
        <v/>
      </c>
      <c r="CG736" t="str">
        <f>""</f>
        <v/>
      </c>
      <c r="CH736" t="str">
        <f>""</f>
        <v/>
      </c>
    </row>
    <row r="737" spans="1:86" x14ac:dyDescent="0.25">
      <c r="A737" t="s">
        <v>2705</v>
      </c>
      <c r="B737" t="s">
        <v>2706</v>
      </c>
      <c r="C737" t="s">
        <v>1991</v>
      </c>
      <c r="D737" t="s">
        <v>2010</v>
      </c>
      <c r="E737" t="s">
        <v>2707</v>
      </c>
      <c r="H737" t="s">
        <v>2708</v>
      </c>
      <c r="I737" t="s">
        <v>2381</v>
      </c>
      <c r="J737" t="str">
        <f>"78205"</f>
        <v>78205</v>
      </c>
      <c r="K737" t="s">
        <v>1998</v>
      </c>
      <c r="L737" t="s">
        <v>2045</v>
      </c>
      <c r="M737" t="s">
        <v>2709</v>
      </c>
      <c r="N737" t="s">
        <v>1991</v>
      </c>
      <c r="O737" t="s">
        <v>1991</v>
      </c>
      <c r="P737" t="s">
        <v>1992</v>
      </c>
      <c r="Q737" t="s">
        <v>1991</v>
      </c>
      <c r="R737" t="s">
        <v>1991</v>
      </c>
      <c r="S737" t="s">
        <v>1992</v>
      </c>
      <c r="T737" t="s">
        <v>1992</v>
      </c>
      <c r="U737" t="s">
        <v>1991</v>
      </c>
      <c r="V737" t="s">
        <v>1991</v>
      </c>
      <c r="W737" t="s">
        <v>1991</v>
      </c>
      <c r="X737" t="s">
        <v>1992</v>
      </c>
      <c r="Y737" t="s">
        <v>1992</v>
      </c>
      <c r="Z737" t="s">
        <v>1991</v>
      </c>
      <c r="AA737" t="s">
        <v>1992</v>
      </c>
      <c r="AE737" t="s">
        <v>2047</v>
      </c>
      <c r="AF737" t="s">
        <v>2001</v>
      </c>
      <c r="AG737" t="s">
        <v>1991</v>
      </c>
      <c r="AH737">
        <v>60</v>
      </c>
      <c r="AI737">
        <v>30</v>
      </c>
      <c r="AJ737" t="s">
        <v>2710</v>
      </c>
      <c r="AK737">
        <v>660</v>
      </c>
      <c r="AL737">
        <v>1296682</v>
      </c>
      <c r="AN737" t="s">
        <v>1053</v>
      </c>
      <c r="AO737" t="s">
        <v>1053</v>
      </c>
      <c r="AP737" t="s">
        <v>2069</v>
      </c>
      <c r="AQ737" t="s">
        <v>1053</v>
      </c>
      <c r="AR737" t="s">
        <v>2069</v>
      </c>
      <c r="AS737" t="s">
        <v>2705</v>
      </c>
      <c r="AT737" t="s">
        <v>2711</v>
      </c>
      <c r="AU737" t="s">
        <v>1053</v>
      </c>
      <c r="AV737" t="s">
        <v>1053</v>
      </c>
      <c r="AW737" t="s">
        <v>2069</v>
      </c>
      <c r="AX737" t="s">
        <v>1053</v>
      </c>
      <c r="AY737" t="s">
        <v>2069</v>
      </c>
      <c r="AZ737" t="s">
        <v>2712</v>
      </c>
      <c r="BA737" t="s">
        <v>2711</v>
      </c>
      <c r="BB737" t="s">
        <v>1053</v>
      </c>
      <c r="BC737" t="s">
        <v>2069</v>
      </c>
      <c r="BD737" t="s">
        <v>1053</v>
      </c>
      <c r="BE737" t="s">
        <v>2069</v>
      </c>
      <c r="BF737" t="s">
        <v>1053</v>
      </c>
      <c r="BG737" t="s">
        <v>235</v>
      </c>
      <c r="BH737" t="s">
        <v>2098</v>
      </c>
      <c r="BI737" t="s">
        <v>1053</v>
      </c>
      <c r="BJ737" t="s">
        <v>2069</v>
      </c>
      <c r="BK737" t="s">
        <v>1053</v>
      </c>
      <c r="BL737" t="s">
        <v>2069</v>
      </c>
      <c r="BM737" t="s">
        <v>2099</v>
      </c>
      <c r="BN737" t="s">
        <v>2100</v>
      </c>
      <c r="BO737" t="s">
        <v>1053</v>
      </c>
      <c r="BP737" t="s">
        <v>2101</v>
      </c>
      <c r="BQ737" t="s">
        <v>2055</v>
      </c>
      <c r="BR737" t="s">
        <v>1053</v>
      </c>
      <c r="BS737" t="s">
        <v>1053</v>
      </c>
      <c r="BT737" t="s">
        <v>1053</v>
      </c>
      <c r="BU737" t="s">
        <v>1053</v>
      </c>
      <c r="BV737" t="s">
        <v>2056</v>
      </c>
      <c r="BX737" t="str">
        <f>"SMTWTFS 0000-0715 2100-2359"</f>
        <v>SMTWTFS 0000-0715 2100-2359</v>
      </c>
      <c r="BY737" t="str">
        <f>"SMTWTFS 0000-0700 2100-2359"</f>
        <v>SMTWTFS 0000-0700 2100-2359</v>
      </c>
      <c r="BZ737" t="str">
        <f>"SMTWTFS 0000-0715 2100-2359"</f>
        <v>SMTWTFS 0000-0715 2100-2359</v>
      </c>
      <c r="CA737" t="str">
        <f>"SMTWTFS 0000-0715 2100-2359"</f>
        <v>SMTWTFS 0000-0715 2100-2359</v>
      </c>
      <c r="CB737" t="str">
        <f>""</f>
        <v/>
      </c>
      <c r="CC737" t="str">
        <f>"SMTWTFS 0000-0715 2100-2359"</f>
        <v>SMTWTFS 0000-0715 2100-2359</v>
      </c>
      <c r="CD737" t="str">
        <f>""</f>
        <v/>
      </c>
      <c r="CE737" t="str">
        <f>""</f>
        <v/>
      </c>
      <c r="CF737" t="str">
        <f>"SMTWTFS 0000-0630 2200-2359"</f>
        <v>SMTWTFS 0000-0630 2200-2359</v>
      </c>
      <c r="CG737" t="str">
        <f>""</f>
        <v/>
      </c>
      <c r="CH737" t="str">
        <f>"SMTWTFS 0000-2359"</f>
        <v>SMTWTFS 0000-2359</v>
      </c>
    </row>
    <row r="738" spans="1:86" x14ac:dyDescent="0.25">
      <c r="A738" t="s">
        <v>2713</v>
      </c>
      <c r="B738" t="s">
        <v>2714</v>
      </c>
      <c r="C738" t="s">
        <v>1992</v>
      </c>
      <c r="D738" t="s">
        <v>1993</v>
      </c>
      <c r="E738" t="s">
        <v>2715</v>
      </c>
      <c r="F738" t="s">
        <v>1603</v>
      </c>
      <c r="H738" t="s">
        <v>2716</v>
      </c>
      <c r="I738" t="s">
        <v>2061</v>
      </c>
      <c r="J738" t="str">
        <f>"93455"</f>
        <v>93455</v>
      </c>
      <c r="K738" t="s">
        <v>1998</v>
      </c>
      <c r="L738" t="s">
        <v>2045</v>
      </c>
      <c r="M738" t="s">
        <v>2063</v>
      </c>
      <c r="N738" t="s">
        <v>1992</v>
      </c>
      <c r="O738" t="s">
        <v>1992</v>
      </c>
      <c r="P738" t="s">
        <v>1992</v>
      </c>
      <c r="Q738" t="s">
        <v>1992</v>
      </c>
      <c r="R738" t="s">
        <v>1992</v>
      </c>
      <c r="S738" t="s">
        <v>1992</v>
      </c>
      <c r="T738" t="s">
        <v>1992</v>
      </c>
      <c r="U738" t="s">
        <v>1992</v>
      </c>
      <c r="V738" t="s">
        <v>1991</v>
      </c>
      <c r="W738" t="s">
        <v>1992</v>
      </c>
      <c r="X738" t="s">
        <v>1992</v>
      </c>
      <c r="Y738" t="s">
        <v>1991</v>
      </c>
      <c r="Z738" t="s">
        <v>1992</v>
      </c>
      <c r="AA738" t="s">
        <v>1992</v>
      </c>
      <c r="AB738" t="s">
        <v>2275</v>
      </c>
      <c r="AF738" t="s">
        <v>2064</v>
      </c>
      <c r="AG738" t="s">
        <v>1991</v>
      </c>
      <c r="AH738">
        <v>30</v>
      </c>
      <c r="AI738">
        <v>30</v>
      </c>
      <c r="AJ738" t="s">
        <v>2717</v>
      </c>
      <c r="AK738">
        <v>242</v>
      </c>
      <c r="AL738">
        <v>20000</v>
      </c>
      <c r="AM738" t="s">
        <v>2298</v>
      </c>
      <c r="AN738" t="s">
        <v>3260</v>
      </c>
      <c r="BF738" t="s">
        <v>1053</v>
      </c>
      <c r="BG738" t="s">
        <v>235</v>
      </c>
      <c r="BH738" t="s">
        <v>851</v>
      </c>
      <c r="BI738" t="s">
        <v>1053</v>
      </c>
      <c r="BJ738" t="s">
        <v>2083</v>
      </c>
      <c r="BK738" t="s">
        <v>1053</v>
      </c>
      <c r="BL738" t="s">
        <v>2083</v>
      </c>
      <c r="BM738" t="s">
        <v>852</v>
      </c>
      <c r="BN738" t="s">
        <v>277</v>
      </c>
      <c r="BO738" t="s">
        <v>2718</v>
      </c>
      <c r="BP738" t="s">
        <v>2718</v>
      </c>
      <c r="BQ738" t="s">
        <v>2718</v>
      </c>
      <c r="BR738" t="s">
        <v>1053</v>
      </c>
      <c r="BX738" t="str">
        <f>""</f>
        <v/>
      </c>
      <c r="BY738" t="str">
        <f>""</f>
        <v/>
      </c>
      <c r="BZ738" t="str">
        <f>""</f>
        <v/>
      </c>
      <c r="CA738" t="str">
        <f>""</f>
        <v/>
      </c>
      <c r="CB738" t="str">
        <f>""</f>
        <v/>
      </c>
      <c r="CC738" t="str">
        <f>""</f>
        <v/>
      </c>
      <c r="CD738" t="str">
        <f>""</f>
        <v/>
      </c>
      <c r="CE738" t="str">
        <f>""</f>
        <v/>
      </c>
      <c r="CF738" t="str">
        <f>""</f>
        <v/>
      </c>
      <c r="CG738" t="str">
        <f>""</f>
        <v/>
      </c>
      <c r="CH738" t="str">
        <f>""</f>
        <v/>
      </c>
    </row>
    <row r="739" spans="1:86" x14ac:dyDescent="0.25">
      <c r="A739" t="s">
        <v>2719</v>
      </c>
      <c r="B739" t="s">
        <v>2720</v>
      </c>
      <c r="C739" t="s">
        <v>1991</v>
      </c>
      <c r="D739" t="s">
        <v>2010</v>
      </c>
      <c r="E739" t="s">
        <v>2721</v>
      </c>
      <c r="H739" t="s">
        <v>2722</v>
      </c>
      <c r="I739" t="s">
        <v>407</v>
      </c>
      <c r="J739" t="str">
        <f>"31401-1634"</f>
        <v>31401-1634</v>
      </c>
      <c r="K739" t="s">
        <v>1998</v>
      </c>
      <c r="L739" t="s">
        <v>408</v>
      </c>
      <c r="M739" t="s">
        <v>2723</v>
      </c>
      <c r="N739" t="s">
        <v>1991</v>
      </c>
      <c r="O739" t="s">
        <v>1991</v>
      </c>
      <c r="P739" t="s">
        <v>1992</v>
      </c>
      <c r="Q739" t="s">
        <v>1991</v>
      </c>
      <c r="R739" t="s">
        <v>1991</v>
      </c>
      <c r="S739" t="s">
        <v>1992</v>
      </c>
      <c r="T739" t="s">
        <v>1992</v>
      </c>
      <c r="U739" t="s">
        <v>1991</v>
      </c>
      <c r="V739" t="s">
        <v>1991</v>
      </c>
      <c r="W739" t="s">
        <v>1991</v>
      </c>
      <c r="X739" t="s">
        <v>1992</v>
      </c>
      <c r="Y739" t="s">
        <v>1992</v>
      </c>
      <c r="Z739" t="s">
        <v>1992</v>
      </c>
      <c r="AE739" t="s">
        <v>296</v>
      </c>
      <c r="AF739" t="s">
        <v>2016</v>
      </c>
      <c r="AG739" t="s">
        <v>1991</v>
      </c>
      <c r="AH739">
        <v>60</v>
      </c>
      <c r="AI739">
        <v>30</v>
      </c>
      <c r="AJ739" t="s">
        <v>2724</v>
      </c>
      <c r="AK739">
        <v>17</v>
      </c>
      <c r="AL739">
        <v>142350</v>
      </c>
      <c r="AN739" t="s">
        <v>1053</v>
      </c>
      <c r="AO739" t="s">
        <v>1053</v>
      </c>
      <c r="AP739" t="s">
        <v>2069</v>
      </c>
      <c r="AQ739" t="s">
        <v>1053</v>
      </c>
      <c r="AR739" t="s">
        <v>2069</v>
      </c>
      <c r="AS739" t="s">
        <v>2719</v>
      </c>
      <c r="AT739" t="s">
        <v>2725</v>
      </c>
      <c r="AU739" t="s">
        <v>1053</v>
      </c>
      <c r="AV739" t="s">
        <v>1053</v>
      </c>
      <c r="AW739" t="s">
        <v>2069</v>
      </c>
      <c r="AX739" t="s">
        <v>1053</v>
      </c>
      <c r="AY739" t="s">
        <v>2069</v>
      </c>
      <c r="AZ739" t="s">
        <v>2719</v>
      </c>
      <c r="BA739" t="s">
        <v>2725</v>
      </c>
      <c r="BB739" t="s">
        <v>1053</v>
      </c>
      <c r="BC739" t="s">
        <v>2069</v>
      </c>
      <c r="BD739" t="s">
        <v>1053</v>
      </c>
      <c r="BE739" t="s">
        <v>2069</v>
      </c>
      <c r="BF739" t="s">
        <v>1053</v>
      </c>
      <c r="BG739" t="s">
        <v>2097</v>
      </c>
      <c r="BH739" t="s">
        <v>1139</v>
      </c>
      <c r="BI739" t="s">
        <v>1053</v>
      </c>
      <c r="BJ739" t="s">
        <v>1053</v>
      </c>
      <c r="BK739" t="s">
        <v>1053</v>
      </c>
      <c r="BL739" t="s">
        <v>1053</v>
      </c>
      <c r="BM739" t="s">
        <v>1049</v>
      </c>
      <c r="BN739" t="s">
        <v>1050</v>
      </c>
      <c r="BO739" t="s">
        <v>1053</v>
      </c>
      <c r="BP739" t="s">
        <v>653</v>
      </c>
      <c r="BQ739" t="s">
        <v>2726</v>
      </c>
      <c r="BR739" t="s">
        <v>1053</v>
      </c>
      <c r="BS739" t="s">
        <v>1053</v>
      </c>
      <c r="BT739" t="s">
        <v>1053</v>
      </c>
      <c r="BU739" t="s">
        <v>1053</v>
      </c>
      <c r="BV739" t="s">
        <v>1052</v>
      </c>
      <c r="BW739" t="s">
        <v>3514</v>
      </c>
      <c r="BX739" t="str">
        <f>"SMTWTFS 0000-1330 1615-2359"</f>
        <v>SMTWTFS 0000-1330 1615-2359</v>
      </c>
      <c r="BY739" t="str">
        <f>"SMTWTFS 0000-1330 1615-2359"</f>
        <v>SMTWTFS 0000-1330 1615-2359</v>
      </c>
      <c r="BZ739" t="str">
        <f>"SMTWTFS 0000-1330 1615-2359"</f>
        <v>SMTWTFS 0000-1330 1615-2359</v>
      </c>
      <c r="CA739" t="str">
        <f>"SMTWTFS 0000-1330 1615-2359"</f>
        <v>SMTWTFS 0000-1330 1615-2359</v>
      </c>
      <c r="CB739" t="str">
        <f>""</f>
        <v/>
      </c>
      <c r="CC739" t="str">
        <f>"SMTWTFS 0000-1330 1615-2359"</f>
        <v>SMTWTFS 0000-1330 1615-2359</v>
      </c>
      <c r="CD739" t="str">
        <f>""</f>
        <v/>
      </c>
      <c r="CE739" t="str">
        <f>""</f>
        <v/>
      </c>
      <c r="CF739" t="str">
        <f>"SMTWTFS 0000-1330 1615-2359"</f>
        <v>SMTWTFS 0000-1330 1615-2359</v>
      </c>
      <c r="CG739" t="str">
        <f>""</f>
        <v/>
      </c>
      <c r="CH739" t="str">
        <f>""</f>
        <v/>
      </c>
    </row>
    <row r="740" spans="1:86" x14ac:dyDescent="0.25">
      <c r="A740" t="s">
        <v>852</v>
      </c>
      <c r="B740" t="s">
        <v>851</v>
      </c>
      <c r="C740" t="s">
        <v>1991</v>
      </c>
      <c r="D740" t="s">
        <v>2010</v>
      </c>
      <c r="E740" t="s">
        <v>2727</v>
      </c>
      <c r="H740" t="s">
        <v>2277</v>
      </c>
      <c r="I740" t="s">
        <v>2061</v>
      </c>
      <c r="J740" t="str">
        <f>"93101-3833"</f>
        <v>93101-3833</v>
      </c>
      <c r="K740" t="s">
        <v>1998</v>
      </c>
      <c r="L740" t="s">
        <v>2045</v>
      </c>
      <c r="M740" t="s">
        <v>2728</v>
      </c>
      <c r="N740" t="s">
        <v>1991</v>
      </c>
      <c r="O740" t="s">
        <v>1992</v>
      </c>
      <c r="P740" t="s">
        <v>1991</v>
      </c>
      <c r="Q740" t="s">
        <v>1991</v>
      </c>
      <c r="R740" t="s">
        <v>1991</v>
      </c>
      <c r="S740" t="s">
        <v>1992</v>
      </c>
      <c r="T740" t="s">
        <v>1992</v>
      </c>
      <c r="U740" t="s">
        <v>1991</v>
      </c>
      <c r="V740" t="s">
        <v>1991</v>
      </c>
      <c r="W740" t="s">
        <v>1991</v>
      </c>
      <c r="X740" t="s">
        <v>1992</v>
      </c>
      <c r="Y740" t="s">
        <v>1991</v>
      </c>
      <c r="Z740" t="s">
        <v>1992</v>
      </c>
      <c r="AA740" t="s">
        <v>1992</v>
      </c>
      <c r="AE740" t="s">
        <v>2047</v>
      </c>
      <c r="AF740" t="s">
        <v>2064</v>
      </c>
      <c r="AG740" t="s">
        <v>1991</v>
      </c>
      <c r="AH740">
        <v>60</v>
      </c>
      <c r="AI740">
        <v>30</v>
      </c>
      <c r="AJ740" t="s">
        <v>2729</v>
      </c>
      <c r="AK740">
        <v>22</v>
      </c>
      <c r="AL740">
        <v>90200</v>
      </c>
      <c r="AM740" t="s">
        <v>2298</v>
      </c>
      <c r="AN740" t="s">
        <v>1053</v>
      </c>
      <c r="AO740" t="s">
        <v>1053</v>
      </c>
      <c r="AP740" t="s">
        <v>2083</v>
      </c>
      <c r="AQ740" t="s">
        <v>1053</v>
      </c>
      <c r="AR740" t="s">
        <v>2083</v>
      </c>
      <c r="AS740" t="s">
        <v>852</v>
      </c>
      <c r="AT740" t="s">
        <v>277</v>
      </c>
      <c r="AU740" t="s">
        <v>1053</v>
      </c>
      <c r="AV740" t="s">
        <v>1053</v>
      </c>
      <c r="AW740" t="s">
        <v>2083</v>
      </c>
      <c r="AX740" t="s">
        <v>1053</v>
      </c>
      <c r="AY740" t="s">
        <v>2083</v>
      </c>
      <c r="AZ740" t="s">
        <v>852</v>
      </c>
      <c r="BA740" t="s">
        <v>277</v>
      </c>
      <c r="BB740" t="s">
        <v>1053</v>
      </c>
      <c r="BC740" t="s">
        <v>2083</v>
      </c>
      <c r="BD740" t="s">
        <v>1053</v>
      </c>
      <c r="BE740" t="s">
        <v>2083</v>
      </c>
      <c r="BF740" t="s">
        <v>1053</v>
      </c>
      <c r="BG740" t="s">
        <v>2067</v>
      </c>
      <c r="BH740" t="s">
        <v>275</v>
      </c>
      <c r="BI740" t="s">
        <v>1053</v>
      </c>
      <c r="BJ740" t="s">
        <v>2069</v>
      </c>
      <c r="BK740" t="s">
        <v>1053</v>
      </c>
      <c r="BL740" t="s">
        <v>2069</v>
      </c>
      <c r="BM740" t="s">
        <v>276</v>
      </c>
      <c r="BN740" t="s">
        <v>277</v>
      </c>
      <c r="BO740" t="s">
        <v>1053</v>
      </c>
      <c r="BP740" t="s">
        <v>2067</v>
      </c>
      <c r="BQ740" t="s">
        <v>275</v>
      </c>
      <c r="BR740" t="s">
        <v>1053</v>
      </c>
      <c r="BX740" t="str">
        <f>"SMTWTFS 0545-2200"</f>
        <v>SMTWTFS 0545-2200</v>
      </c>
      <c r="BY740" t="str">
        <f>"SMTWTFS 0545-1930"</f>
        <v>SMTWTFS 0545-1930</v>
      </c>
      <c r="BZ740" t="str">
        <f>"SMTWTFS 0545-1900"</f>
        <v>SMTWTFS 0545-1900</v>
      </c>
      <c r="CA740" t="str">
        <f>"SMTWTFS 0545-2200"</f>
        <v>SMTWTFS 0545-2200</v>
      </c>
      <c r="CB740" t="str">
        <f>""</f>
        <v/>
      </c>
      <c r="CC740" t="str">
        <f>""</f>
        <v/>
      </c>
      <c r="CD740" t="str">
        <f>"SMTWTFS 0000-2359"</f>
        <v>SMTWTFS 0000-2359</v>
      </c>
      <c r="CE740" t="str">
        <f>""</f>
        <v/>
      </c>
      <c r="CF740" t="str">
        <f>"SMTWTFS 0830-1930"</f>
        <v>SMTWTFS 0830-1930</v>
      </c>
      <c r="CG740" t="str">
        <f>""</f>
        <v/>
      </c>
      <c r="CH740" t="str">
        <f>""</f>
        <v/>
      </c>
    </row>
    <row r="741" spans="1:86" x14ac:dyDescent="0.25">
      <c r="A741" t="s">
        <v>2730</v>
      </c>
      <c r="B741" t="s">
        <v>2731</v>
      </c>
      <c r="C741" t="s">
        <v>1991</v>
      </c>
      <c r="D741" t="s">
        <v>2010</v>
      </c>
      <c r="E741" t="s">
        <v>2732</v>
      </c>
      <c r="H741" t="s">
        <v>2733</v>
      </c>
      <c r="I741" t="s">
        <v>558</v>
      </c>
      <c r="J741" t="str">
        <f>"33870-3513"</f>
        <v>33870-3513</v>
      </c>
      <c r="K741" t="s">
        <v>1998</v>
      </c>
      <c r="L741" t="s">
        <v>408</v>
      </c>
      <c r="M741" t="s">
        <v>2734</v>
      </c>
      <c r="N741" t="s">
        <v>1991</v>
      </c>
      <c r="O741" t="s">
        <v>1992</v>
      </c>
      <c r="P741" t="s">
        <v>1992</v>
      </c>
      <c r="Q741" t="s">
        <v>1991</v>
      </c>
      <c r="R741" t="s">
        <v>1992</v>
      </c>
      <c r="S741" t="s">
        <v>1992</v>
      </c>
      <c r="T741" t="s">
        <v>1992</v>
      </c>
      <c r="U741" t="s">
        <v>1991</v>
      </c>
      <c r="V741" t="s">
        <v>1991</v>
      </c>
      <c r="W741" t="s">
        <v>1991</v>
      </c>
      <c r="X741" t="s">
        <v>1992</v>
      </c>
      <c r="Y741" t="s">
        <v>1992</v>
      </c>
      <c r="Z741" t="s">
        <v>1992</v>
      </c>
      <c r="AA741" t="s">
        <v>1992</v>
      </c>
      <c r="AE741" t="s">
        <v>5071</v>
      </c>
      <c r="AF741" t="s">
        <v>2016</v>
      </c>
      <c r="AG741" t="s">
        <v>1991</v>
      </c>
      <c r="AH741">
        <v>60</v>
      </c>
      <c r="AI741">
        <v>30</v>
      </c>
      <c r="AJ741" t="s">
        <v>2735</v>
      </c>
      <c r="AK741">
        <v>145</v>
      </c>
      <c r="AL741">
        <v>10648</v>
      </c>
      <c r="AN741" t="s">
        <v>1053</v>
      </c>
      <c r="AO741" t="s">
        <v>1053</v>
      </c>
      <c r="AP741" t="s">
        <v>2069</v>
      </c>
      <c r="AQ741" t="s">
        <v>1053</v>
      </c>
      <c r="AR741" t="s">
        <v>2069</v>
      </c>
      <c r="AS741" t="s">
        <v>2730</v>
      </c>
      <c r="AT741" t="s">
        <v>2736</v>
      </c>
      <c r="AU741" t="s">
        <v>1053</v>
      </c>
      <c r="AV741" t="s">
        <v>1053</v>
      </c>
      <c r="AW741" t="s">
        <v>2069</v>
      </c>
      <c r="AX741" t="s">
        <v>1053</v>
      </c>
      <c r="AY741" t="s">
        <v>2069</v>
      </c>
      <c r="AZ741" t="s">
        <v>2730</v>
      </c>
      <c r="BA741" t="s">
        <v>2736</v>
      </c>
      <c r="BB741" t="s">
        <v>1053</v>
      </c>
      <c r="BC741" t="s">
        <v>2069</v>
      </c>
      <c r="BD741" t="s">
        <v>1053</v>
      </c>
      <c r="BE741" t="s">
        <v>2069</v>
      </c>
      <c r="BF741" t="s">
        <v>1053</v>
      </c>
      <c r="BG741" t="s">
        <v>2019</v>
      </c>
      <c r="BH741" t="s">
        <v>2996</v>
      </c>
      <c r="BI741" t="s">
        <v>1053</v>
      </c>
      <c r="BJ741" t="s">
        <v>2069</v>
      </c>
      <c r="BK741" t="s">
        <v>1053</v>
      </c>
      <c r="BL741" t="s">
        <v>2069</v>
      </c>
      <c r="BM741" t="s">
        <v>1138</v>
      </c>
      <c r="BN741" t="s">
        <v>562</v>
      </c>
      <c r="BO741" t="s">
        <v>1053</v>
      </c>
      <c r="BP741" t="s">
        <v>653</v>
      </c>
      <c r="BQ741" t="s">
        <v>564</v>
      </c>
      <c r="BR741" t="s">
        <v>1053</v>
      </c>
      <c r="BS741" t="s">
        <v>1053</v>
      </c>
      <c r="BT741" t="s">
        <v>1053</v>
      </c>
      <c r="BU741" t="s">
        <v>1053</v>
      </c>
      <c r="BV741" t="s">
        <v>1052</v>
      </c>
      <c r="BW741" t="s">
        <v>170</v>
      </c>
      <c r="BX741" t="str">
        <f>"SMTWTFS 0930-1700"</f>
        <v>SMTWTFS 0930-1700</v>
      </c>
      <c r="BY741" t="str">
        <f>"SMTWTFS 0930-1700"</f>
        <v>SMTWTFS 0930-1700</v>
      </c>
      <c r="BZ741" t="str">
        <f>"SMTWTFS 0930-1700"</f>
        <v>SMTWTFS 0930-1700</v>
      </c>
      <c r="CA741" t="str">
        <f>"SMTWTFS 0930-1700"</f>
        <v>SMTWTFS 0930-1700</v>
      </c>
      <c r="CB741" t="str">
        <f>""</f>
        <v/>
      </c>
      <c r="CC741" t="str">
        <f>""</f>
        <v/>
      </c>
      <c r="CD741" t="str">
        <f>""</f>
        <v/>
      </c>
      <c r="CE741" t="str">
        <f>""</f>
        <v/>
      </c>
      <c r="CF741" t="str">
        <f>""</f>
        <v/>
      </c>
      <c r="CG741" t="str">
        <f>""</f>
        <v/>
      </c>
      <c r="CH741" t="str">
        <f>""</f>
        <v/>
      </c>
    </row>
    <row r="742" spans="1:86" x14ac:dyDescent="0.25">
      <c r="A742" t="s">
        <v>2737</v>
      </c>
      <c r="B742" t="s">
        <v>2738</v>
      </c>
      <c r="C742" t="s">
        <v>1991</v>
      </c>
      <c r="D742" t="s">
        <v>2010</v>
      </c>
      <c r="E742" t="s">
        <v>2739</v>
      </c>
      <c r="H742" t="s">
        <v>2740</v>
      </c>
      <c r="I742" t="s">
        <v>803</v>
      </c>
      <c r="J742" t="str">
        <f>"59474-2050"</f>
        <v>59474-2050</v>
      </c>
      <c r="K742" t="s">
        <v>1998</v>
      </c>
      <c r="L742" t="s">
        <v>231</v>
      </c>
      <c r="M742" t="s">
        <v>2741</v>
      </c>
      <c r="N742" t="s">
        <v>1991</v>
      </c>
      <c r="O742" t="s">
        <v>1992</v>
      </c>
      <c r="P742" t="s">
        <v>1992</v>
      </c>
      <c r="Q742" t="s">
        <v>1991</v>
      </c>
      <c r="R742" t="s">
        <v>1991</v>
      </c>
      <c r="S742" t="s">
        <v>1992</v>
      </c>
      <c r="T742" t="s">
        <v>1992</v>
      </c>
      <c r="U742" t="s">
        <v>1991</v>
      </c>
      <c r="V742" t="s">
        <v>1991</v>
      </c>
      <c r="W742" t="s">
        <v>1991</v>
      </c>
      <c r="X742" t="s">
        <v>1992</v>
      </c>
      <c r="Y742" t="s">
        <v>1992</v>
      </c>
      <c r="Z742" t="s">
        <v>1992</v>
      </c>
      <c r="AA742" t="s">
        <v>1991</v>
      </c>
      <c r="AE742" t="s">
        <v>2047</v>
      </c>
      <c r="AF742" t="s">
        <v>2048</v>
      </c>
      <c r="AG742" t="s">
        <v>1991</v>
      </c>
      <c r="AH742">
        <v>60</v>
      </c>
      <c r="AI742">
        <v>30</v>
      </c>
      <c r="AJ742" t="s">
        <v>2742</v>
      </c>
      <c r="AK742">
        <v>3283</v>
      </c>
      <c r="AL742">
        <v>3216</v>
      </c>
      <c r="AM742" t="s">
        <v>2743</v>
      </c>
      <c r="AN742" t="s">
        <v>1053</v>
      </c>
      <c r="AO742" t="s">
        <v>1053</v>
      </c>
      <c r="AP742" t="s">
        <v>2069</v>
      </c>
      <c r="AQ742" t="s">
        <v>1053</v>
      </c>
      <c r="AR742" t="s">
        <v>2069</v>
      </c>
      <c r="AS742" t="s">
        <v>2737</v>
      </c>
      <c r="AT742" t="s">
        <v>2744</v>
      </c>
      <c r="AU742" t="s">
        <v>1053</v>
      </c>
      <c r="AV742" t="s">
        <v>1053</v>
      </c>
      <c r="AW742" t="s">
        <v>2069</v>
      </c>
      <c r="AX742" t="s">
        <v>1053</v>
      </c>
      <c r="AY742" t="s">
        <v>2069</v>
      </c>
      <c r="AZ742" t="s">
        <v>2737</v>
      </c>
      <c r="BA742" t="s">
        <v>2744</v>
      </c>
      <c r="BB742" t="s">
        <v>1053</v>
      </c>
      <c r="BC742" t="s">
        <v>2069</v>
      </c>
      <c r="BD742" t="s">
        <v>1053</v>
      </c>
      <c r="BE742" t="s">
        <v>2069</v>
      </c>
      <c r="BF742" t="s">
        <v>1053</v>
      </c>
      <c r="BG742" t="s">
        <v>2745</v>
      </c>
      <c r="BH742" t="s">
        <v>240</v>
      </c>
      <c r="BI742" t="s">
        <v>1053</v>
      </c>
      <c r="BJ742" t="s">
        <v>1053</v>
      </c>
      <c r="BK742" t="s">
        <v>1053</v>
      </c>
      <c r="BM742" t="s">
        <v>241</v>
      </c>
      <c r="BN742" t="s">
        <v>242</v>
      </c>
      <c r="BO742" t="s">
        <v>1053</v>
      </c>
      <c r="BP742" t="s">
        <v>2746</v>
      </c>
      <c r="BQ742" t="s">
        <v>240</v>
      </c>
      <c r="BR742" t="s">
        <v>1053</v>
      </c>
      <c r="BS742" t="s">
        <v>1053</v>
      </c>
      <c r="BT742" t="s">
        <v>1053</v>
      </c>
      <c r="BU742" t="s">
        <v>1053</v>
      </c>
      <c r="BV742" t="s">
        <v>241</v>
      </c>
      <c r="BW742" t="s">
        <v>242</v>
      </c>
      <c r="BX742" t="str">
        <f>"SMTWTFS 0830-1800"</f>
        <v>SMTWTFS 0830-1800</v>
      </c>
      <c r="BY742" t="str">
        <f>"SMTWTFS 0830-1800"</f>
        <v>SMTWTFS 0830-1800</v>
      </c>
      <c r="BZ742" t="str">
        <f>"SMTWTFS 0830-1800"</f>
        <v>SMTWTFS 0830-1800</v>
      </c>
      <c r="CA742" t="str">
        <f>"SMTWTFS 0830-1800"</f>
        <v>SMTWTFS 0830-1800</v>
      </c>
      <c r="CB742" t="str">
        <f>""</f>
        <v/>
      </c>
      <c r="CC742" t="str">
        <f>""</f>
        <v/>
      </c>
      <c r="CD742" t="str">
        <f>""</f>
        <v/>
      </c>
      <c r="CE742" t="str">
        <f>""</f>
        <v/>
      </c>
      <c r="CF742" t="str">
        <f>"SMTWTFS 0830-1800"</f>
        <v>SMTWTFS 0830-1800</v>
      </c>
      <c r="CG742" t="str">
        <f>""</f>
        <v/>
      </c>
      <c r="CH742" t="str">
        <f>""</f>
        <v/>
      </c>
    </row>
    <row r="743" spans="1:86" x14ac:dyDescent="0.25">
      <c r="A743" t="s">
        <v>2747</v>
      </c>
      <c r="B743" t="s">
        <v>2748</v>
      </c>
      <c r="C743" t="s">
        <v>1991</v>
      </c>
      <c r="D743" t="s">
        <v>2010</v>
      </c>
      <c r="E743" t="s">
        <v>2749</v>
      </c>
      <c r="H743" t="s">
        <v>2750</v>
      </c>
      <c r="I743" t="s">
        <v>372</v>
      </c>
      <c r="J743" t="str">
        <f>"L2S 2K3"</f>
        <v>L2S 2K3</v>
      </c>
      <c r="K743" t="s">
        <v>373</v>
      </c>
      <c r="L743" t="s">
        <v>374</v>
      </c>
      <c r="M743" t="s">
        <v>375</v>
      </c>
      <c r="N743" t="s">
        <v>1991</v>
      </c>
      <c r="O743" t="s">
        <v>1992</v>
      </c>
      <c r="P743" t="s">
        <v>1992</v>
      </c>
      <c r="Q743" t="s">
        <v>1992</v>
      </c>
      <c r="R743" t="s">
        <v>1992</v>
      </c>
      <c r="S743" t="s">
        <v>1992</v>
      </c>
      <c r="T743" t="s">
        <v>1992</v>
      </c>
      <c r="U743" t="s">
        <v>1992</v>
      </c>
      <c r="V743" t="s">
        <v>1991</v>
      </c>
      <c r="W743" t="s">
        <v>1991</v>
      </c>
      <c r="X743" t="s">
        <v>1991</v>
      </c>
      <c r="Y743" t="s">
        <v>1992</v>
      </c>
      <c r="Z743" t="s">
        <v>1992</v>
      </c>
      <c r="AC743" t="s">
        <v>2751</v>
      </c>
      <c r="AD743" t="s">
        <v>2752</v>
      </c>
      <c r="AE743" t="s">
        <v>296</v>
      </c>
      <c r="AF743" t="s">
        <v>2016</v>
      </c>
      <c r="AG743" t="s">
        <v>1991</v>
      </c>
      <c r="AH743">
        <v>45</v>
      </c>
      <c r="AI743">
        <v>30</v>
      </c>
      <c r="AJ743" t="s">
        <v>2753</v>
      </c>
      <c r="AK743">
        <v>357</v>
      </c>
      <c r="AM743" t="s">
        <v>379</v>
      </c>
      <c r="AN743" t="s">
        <v>380</v>
      </c>
      <c r="AO743" t="s">
        <v>1053</v>
      </c>
      <c r="AP743" t="s">
        <v>2069</v>
      </c>
      <c r="AQ743" t="s">
        <v>2063</v>
      </c>
      <c r="AR743" t="s">
        <v>2069</v>
      </c>
      <c r="AS743">
        <v>0</v>
      </c>
      <c r="AT743" t="s">
        <v>357</v>
      </c>
      <c r="AU743" t="s">
        <v>380</v>
      </c>
      <c r="AV743" t="s">
        <v>1053</v>
      </c>
      <c r="AW743" t="s">
        <v>2069</v>
      </c>
      <c r="AX743" t="s">
        <v>2063</v>
      </c>
      <c r="AY743" t="s">
        <v>2069</v>
      </c>
      <c r="AZ743">
        <v>0</v>
      </c>
      <c r="BA743" t="s">
        <v>357</v>
      </c>
      <c r="BB743" t="s">
        <v>1053</v>
      </c>
      <c r="BC743" t="s">
        <v>2069</v>
      </c>
      <c r="BD743" t="s">
        <v>1053</v>
      </c>
      <c r="BE743" t="s">
        <v>2069</v>
      </c>
      <c r="BF743" t="s">
        <v>1053</v>
      </c>
      <c r="BG743" t="s">
        <v>5001</v>
      </c>
      <c r="BH743" t="s">
        <v>5002</v>
      </c>
      <c r="BI743" t="s">
        <v>1053</v>
      </c>
      <c r="BJ743" t="s">
        <v>2069</v>
      </c>
      <c r="BK743" t="s">
        <v>1053</v>
      </c>
      <c r="BL743" t="s">
        <v>2069</v>
      </c>
      <c r="BM743">
        <v>0</v>
      </c>
      <c r="BN743">
        <v>0</v>
      </c>
      <c r="BO743" t="s">
        <v>1053</v>
      </c>
      <c r="BP743" t="s">
        <v>5003</v>
      </c>
      <c r="BQ743" t="s">
        <v>5002</v>
      </c>
      <c r="BR743" t="s">
        <v>1053</v>
      </c>
      <c r="BS743" t="s">
        <v>2069</v>
      </c>
      <c r="BT743" t="s">
        <v>1053</v>
      </c>
      <c r="BU743" t="s">
        <v>2069</v>
      </c>
      <c r="BV743">
        <v>0</v>
      </c>
      <c r="BW743">
        <v>0</v>
      </c>
      <c r="BX743" t="str">
        <f>"S-----S 0730-1000 1030-1630 1700-2000; -MTWTF- 0630-0730 0830-1630 1700-2000"</f>
        <v>S-----S 0730-1000 1030-1630 1700-2000; -MTWTF- 0630-0730 0830-1630 1700-2000</v>
      </c>
      <c r="BY743" t="str">
        <f>""</f>
        <v/>
      </c>
      <c r="BZ743" t="str">
        <f>"S-----S 0900-2000; -MTWTF- 0630-2000"</f>
        <v>S-----S 0900-2000; -MTWTF- 0630-2000</v>
      </c>
      <c r="CA743" t="str">
        <f>""</f>
        <v/>
      </c>
      <c r="CB743" t="str">
        <f>"S-----S 0730-1000 1030-1630 1700-2000; -MTWTF- 0630-0730 0830-1630 1700-2000"</f>
        <v>S-----S 0730-1000 1030-1630 1700-2000; -MTWTF- 0630-0730 0830-1630 1700-2000</v>
      </c>
      <c r="CC743" t="str">
        <f>""</f>
        <v/>
      </c>
      <c r="CD743" t="str">
        <f>""</f>
        <v/>
      </c>
      <c r="CE743" t="str">
        <f>""</f>
        <v/>
      </c>
      <c r="CF743" t="str">
        <f>""</f>
        <v/>
      </c>
      <c r="CG743" t="str">
        <f>""</f>
        <v/>
      </c>
      <c r="CH743" t="str">
        <f>""</f>
        <v/>
      </c>
    </row>
    <row r="744" spans="1:86" x14ac:dyDescent="0.25">
      <c r="A744" t="s">
        <v>2754</v>
      </c>
      <c r="B744" t="s">
        <v>2755</v>
      </c>
      <c r="C744" t="s">
        <v>1992</v>
      </c>
      <c r="D744" t="s">
        <v>2028</v>
      </c>
      <c r="E744" t="s">
        <v>2756</v>
      </c>
      <c r="F744" t="s">
        <v>2757</v>
      </c>
      <c r="H744" t="s">
        <v>1772</v>
      </c>
      <c r="I744" t="s">
        <v>2061</v>
      </c>
      <c r="J744" t="str">
        <f>"95050-4319"</f>
        <v>95050-4319</v>
      </c>
      <c r="K744" t="s">
        <v>1998</v>
      </c>
      <c r="L744" t="s">
        <v>2062</v>
      </c>
      <c r="M744" t="s">
        <v>2000</v>
      </c>
      <c r="N744" t="s">
        <v>1992</v>
      </c>
      <c r="O744" t="s">
        <v>1992</v>
      </c>
      <c r="P744" t="s">
        <v>1992</v>
      </c>
      <c r="Q744" t="s">
        <v>1992</v>
      </c>
      <c r="R744" t="s">
        <v>1992</v>
      </c>
      <c r="S744" t="s">
        <v>1992</v>
      </c>
      <c r="T744" t="s">
        <v>1992</v>
      </c>
      <c r="U744" t="s">
        <v>1992</v>
      </c>
      <c r="V744" t="s">
        <v>1991</v>
      </c>
      <c r="W744" t="s">
        <v>1991</v>
      </c>
      <c r="X744" t="s">
        <v>1991</v>
      </c>
      <c r="Y744" t="s">
        <v>1991</v>
      </c>
      <c r="Z744" t="s">
        <v>1992</v>
      </c>
      <c r="AA744" t="s">
        <v>1991</v>
      </c>
      <c r="AF744" t="s">
        <v>2064</v>
      </c>
      <c r="AG744" t="s">
        <v>1991</v>
      </c>
      <c r="AH744">
        <v>30</v>
      </c>
      <c r="AI744">
        <v>30</v>
      </c>
      <c r="AJ744" t="s">
        <v>2758</v>
      </c>
      <c r="AK744">
        <v>69</v>
      </c>
      <c r="AM744" t="s">
        <v>2759</v>
      </c>
      <c r="AN744" t="s">
        <v>2760</v>
      </c>
      <c r="BF744" t="s">
        <v>1053</v>
      </c>
      <c r="BG744" t="s">
        <v>2067</v>
      </c>
      <c r="BH744" t="s">
        <v>348</v>
      </c>
      <c r="BI744" t="s">
        <v>1053</v>
      </c>
      <c r="BK744" t="s">
        <v>1053</v>
      </c>
      <c r="BO744" t="s">
        <v>1053</v>
      </c>
      <c r="BP744" t="s">
        <v>675</v>
      </c>
      <c r="BQ744" t="s">
        <v>2073</v>
      </c>
      <c r="BR744" t="s">
        <v>1053</v>
      </c>
      <c r="BX744" t="str">
        <f>""</f>
        <v/>
      </c>
      <c r="BY744" t="str">
        <f>""</f>
        <v/>
      </c>
      <c r="BZ744" t="str">
        <f>""</f>
        <v/>
      </c>
      <c r="CA744" t="str">
        <f>""</f>
        <v/>
      </c>
      <c r="CB744" t="str">
        <f>""</f>
        <v/>
      </c>
      <c r="CC744" t="str">
        <f>""</f>
        <v/>
      </c>
      <c r="CD744" t="str">
        <f>""</f>
        <v/>
      </c>
      <c r="CE744" t="str">
        <f>""</f>
        <v/>
      </c>
      <c r="CF744" t="str">
        <f>""</f>
        <v/>
      </c>
      <c r="CG744" t="str">
        <f>""</f>
        <v/>
      </c>
      <c r="CH744" t="str">
        <f>""</f>
        <v/>
      </c>
    </row>
    <row r="745" spans="1:86" x14ac:dyDescent="0.25">
      <c r="A745" t="s">
        <v>2761</v>
      </c>
      <c r="B745" t="s">
        <v>2762</v>
      </c>
      <c r="C745" t="s">
        <v>1992</v>
      </c>
      <c r="D745" t="s">
        <v>2010</v>
      </c>
      <c r="E745" t="s">
        <v>2763</v>
      </c>
      <c r="H745" t="s">
        <v>2764</v>
      </c>
      <c r="I745" t="s">
        <v>2170</v>
      </c>
      <c r="J745" t="str">
        <f>"56304-0751"</f>
        <v>56304-0751</v>
      </c>
      <c r="K745" t="s">
        <v>1998</v>
      </c>
      <c r="L745" t="s">
        <v>1999</v>
      </c>
      <c r="M745" t="s">
        <v>2765</v>
      </c>
      <c r="N745" t="s">
        <v>1992</v>
      </c>
      <c r="O745" t="s">
        <v>1991</v>
      </c>
      <c r="P745" t="s">
        <v>1992</v>
      </c>
      <c r="Q745" t="s">
        <v>1992</v>
      </c>
      <c r="R745" t="s">
        <v>1992</v>
      </c>
      <c r="S745" t="s">
        <v>1992</v>
      </c>
      <c r="T745" t="s">
        <v>1992</v>
      </c>
      <c r="U745" t="s">
        <v>1992</v>
      </c>
      <c r="V745" t="s">
        <v>1991</v>
      </c>
      <c r="W745" t="s">
        <v>1991</v>
      </c>
      <c r="X745" t="s">
        <v>1992</v>
      </c>
      <c r="Y745" t="s">
        <v>1992</v>
      </c>
      <c r="Z745" t="s">
        <v>1992</v>
      </c>
      <c r="AF745" t="s">
        <v>2001</v>
      </c>
      <c r="AG745" t="s">
        <v>1991</v>
      </c>
      <c r="AH745">
        <v>30</v>
      </c>
      <c r="AI745">
        <v>30</v>
      </c>
      <c r="AJ745" t="s">
        <v>2766</v>
      </c>
      <c r="AK745">
        <v>1025</v>
      </c>
      <c r="AL745">
        <v>66948</v>
      </c>
      <c r="AM745" t="s">
        <v>2172</v>
      </c>
      <c r="AN745" t="s">
        <v>2066</v>
      </c>
      <c r="AO745" t="s">
        <v>2063</v>
      </c>
      <c r="AQ745" t="s">
        <v>1053</v>
      </c>
      <c r="AU745" t="s">
        <v>1053</v>
      </c>
      <c r="AV745" t="s">
        <v>1053</v>
      </c>
      <c r="AX745" t="s">
        <v>1053</v>
      </c>
      <c r="BA745" t="s">
        <v>2767</v>
      </c>
      <c r="BF745" t="s">
        <v>1053</v>
      </c>
      <c r="BG745" t="s">
        <v>703</v>
      </c>
      <c r="BH745" t="s">
        <v>2768</v>
      </c>
      <c r="BI745" t="s">
        <v>1053</v>
      </c>
      <c r="BJ745" t="s">
        <v>2069</v>
      </c>
      <c r="BK745" t="s">
        <v>1053</v>
      </c>
      <c r="BL745" t="s">
        <v>2069</v>
      </c>
      <c r="BM745" t="s">
        <v>287</v>
      </c>
      <c r="BN745" t="s">
        <v>288</v>
      </c>
      <c r="BO745" t="s">
        <v>1053</v>
      </c>
      <c r="BP745" t="s">
        <v>950</v>
      </c>
      <c r="BQ745" t="s">
        <v>2006</v>
      </c>
      <c r="BR745" t="s">
        <v>1053</v>
      </c>
      <c r="BS745" t="s">
        <v>1053</v>
      </c>
      <c r="BT745" t="s">
        <v>1053</v>
      </c>
      <c r="BU745" t="s">
        <v>1053</v>
      </c>
      <c r="BV745" t="s">
        <v>951</v>
      </c>
      <c r="BW745" t="s">
        <v>952</v>
      </c>
      <c r="BX745" t="str">
        <f>"SMTWTFS 0000-0115 0400-0600 2330-2359"</f>
        <v>SMTWTFS 0000-0115 0400-0600 2330-2359</v>
      </c>
      <c r="BY745" t="str">
        <f>""</f>
        <v/>
      </c>
      <c r="BZ745" t="str">
        <f>""</f>
        <v/>
      </c>
      <c r="CA745" t="str">
        <f>""</f>
        <v/>
      </c>
      <c r="CB745" t="str">
        <f>""</f>
        <v/>
      </c>
      <c r="CC745" t="str">
        <f>"SMTWTFS 0000-0115 0400-0600 2330-2359"</f>
        <v>SMTWTFS 0000-0115 0400-0600 2330-2359</v>
      </c>
      <c r="CD745" t="str">
        <f>""</f>
        <v/>
      </c>
      <c r="CE745" t="str">
        <f>""</f>
        <v/>
      </c>
      <c r="CF745" t="str">
        <f>""</f>
        <v/>
      </c>
      <c r="CG745" t="str">
        <f>""</f>
        <v/>
      </c>
      <c r="CH745" t="str">
        <f>""</f>
        <v/>
      </c>
    </row>
    <row r="746" spans="1:86" x14ac:dyDescent="0.25">
      <c r="A746" t="s">
        <v>2769</v>
      </c>
      <c r="B746" t="s">
        <v>2770</v>
      </c>
      <c r="C746" t="s">
        <v>1992</v>
      </c>
      <c r="D746" t="s">
        <v>2331</v>
      </c>
      <c r="E746" t="s">
        <v>2771</v>
      </c>
      <c r="H746" t="s">
        <v>2772</v>
      </c>
      <c r="I746" t="s">
        <v>830</v>
      </c>
      <c r="J746" t="str">
        <f>"70395"</f>
        <v>70395</v>
      </c>
      <c r="K746" t="s">
        <v>1998</v>
      </c>
      <c r="L746" t="s">
        <v>1999</v>
      </c>
      <c r="M746" t="s">
        <v>2063</v>
      </c>
      <c r="N746" t="s">
        <v>1992</v>
      </c>
      <c r="O746" t="s">
        <v>1992</v>
      </c>
      <c r="P746" t="s">
        <v>1992</v>
      </c>
      <c r="Q746" t="s">
        <v>1992</v>
      </c>
      <c r="R746" t="s">
        <v>1992</v>
      </c>
      <c r="S746" t="s">
        <v>1992</v>
      </c>
      <c r="T746" t="s">
        <v>1992</v>
      </c>
      <c r="U746" t="s">
        <v>1992</v>
      </c>
      <c r="V746" t="s">
        <v>1991</v>
      </c>
      <c r="W746" t="s">
        <v>1991</v>
      </c>
      <c r="X746" t="s">
        <v>1992</v>
      </c>
      <c r="Y746" t="s">
        <v>1992</v>
      </c>
      <c r="Z746" t="s">
        <v>1992</v>
      </c>
      <c r="AF746" t="s">
        <v>2001</v>
      </c>
      <c r="AG746" t="s">
        <v>1991</v>
      </c>
      <c r="AH746">
        <v>30</v>
      </c>
      <c r="AI746">
        <v>30</v>
      </c>
      <c r="AJ746" t="s">
        <v>2773</v>
      </c>
      <c r="AK746">
        <v>16</v>
      </c>
      <c r="AL746">
        <v>3018</v>
      </c>
      <c r="AN746" t="s">
        <v>2066</v>
      </c>
      <c r="AO746" t="s">
        <v>2063</v>
      </c>
      <c r="BF746" t="s">
        <v>1053</v>
      </c>
      <c r="BG746" t="s">
        <v>2097</v>
      </c>
      <c r="BH746" t="s">
        <v>781</v>
      </c>
      <c r="BI746" t="s">
        <v>1053</v>
      </c>
      <c r="BJ746" t="s">
        <v>1053</v>
      </c>
      <c r="BK746" t="s">
        <v>1053</v>
      </c>
      <c r="BL746" t="s">
        <v>1053</v>
      </c>
      <c r="BM746" t="s">
        <v>416</v>
      </c>
      <c r="BN746" t="s">
        <v>782</v>
      </c>
      <c r="BO746" t="s">
        <v>1053</v>
      </c>
      <c r="BP746" t="s">
        <v>986</v>
      </c>
      <c r="BQ746" t="s">
        <v>6636</v>
      </c>
      <c r="BR746" t="s">
        <v>1053</v>
      </c>
      <c r="BS746" t="s">
        <v>1053</v>
      </c>
      <c r="BT746" t="s">
        <v>1053</v>
      </c>
      <c r="BU746" t="s">
        <v>1053</v>
      </c>
      <c r="BV746" t="s">
        <v>1049</v>
      </c>
      <c r="BX746" t="str">
        <f>""</f>
        <v/>
      </c>
      <c r="BY746" t="str">
        <f>""</f>
        <v/>
      </c>
      <c r="BZ746" t="str">
        <f>""</f>
        <v/>
      </c>
      <c r="CA746" t="str">
        <f>""</f>
        <v/>
      </c>
      <c r="CB746" t="str">
        <f>""</f>
        <v/>
      </c>
      <c r="CC746" t="str">
        <f>""</f>
        <v/>
      </c>
      <c r="CD746" t="str">
        <f>""</f>
        <v/>
      </c>
      <c r="CE746" t="str">
        <f>""</f>
        <v/>
      </c>
      <c r="CF746" t="str">
        <f>""</f>
        <v/>
      </c>
      <c r="CG746" t="str">
        <f>""</f>
        <v/>
      </c>
      <c r="CH746" t="str">
        <f>""</f>
        <v/>
      </c>
    </row>
    <row r="747" spans="1:86" x14ac:dyDescent="0.25">
      <c r="A747" t="s">
        <v>2774</v>
      </c>
      <c r="B747" t="s">
        <v>2775</v>
      </c>
      <c r="C747" t="s">
        <v>1992</v>
      </c>
      <c r="D747" t="s">
        <v>1993</v>
      </c>
      <c r="E747" t="s">
        <v>2776</v>
      </c>
      <c r="F747" t="s">
        <v>2777</v>
      </c>
      <c r="G747" t="s">
        <v>2778</v>
      </c>
      <c r="H747" t="s">
        <v>5471</v>
      </c>
      <c r="I747" t="s">
        <v>2061</v>
      </c>
      <c r="J747" t="str">
        <f>"95814-4905"</f>
        <v>95814-4905</v>
      </c>
      <c r="K747" t="s">
        <v>1998</v>
      </c>
      <c r="L747" t="s">
        <v>2062</v>
      </c>
      <c r="M747" t="s">
        <v>2063</v>
      </c>
      <c r="N747" t="s">
        <v>1992</v>
      </c>
      <c r="O747" t="s">
        <v>1992</v>
      </c>
      <c r="P747" t="s">
        <v>1992</v>
      </c>
      <c r="Q747" t="s">
        <v>1992</v>
      </c>
      <c r="R747" t="s">
        <v>1992</v>
      </c>
      <c r="S747" t="s">
        <v>1992</v>
      </c>
      <c r="T747" t="s">
        <v>1992</v>
      </c>
      <c r="U747" t="s">
        <v>1992</v>
      </c>
      <c r="V747" t="s">
        <v>1992</v>
      </c>
      <c r="W747" t="s">
        <v>1992</v>
      </c>
      <c r="X747" t="s">
        <v>1992</v>
      </c>
      <c r="Y747" t="s">
        <v>1991</v>
      </c>
      <c r="Z747" t="s">
        <v>1992</v>
      </c>
      <c r="AB747" t="s">
        <v>5473</v>
      </c>
      <c r="AF747" t="s">
        <v>2064</v>
      </c>
      <c r="AG747" t="s">
        <v>1991</v>
      </c>
      <c r="AH747">
        <v>0</v>
      </c>
      <c r="AI747">
        <v>0</v>
      </c>
      <c r="AJ747" t="s">
        <v>2779</v>
      </c>
      <c r="AK747">
        <v>21</v>
      </c>
      <c r="AM747" t="s">
        <v>2780</v>
      </c>
      <c r="BF747" t="s">
        <v>1053</v>
      </c>
      <c r="BG747" t="s">
        <v>309</v>
      </c>
      <c r="BH747" t="s">
        <v>2301</v>
      </c>
      <c r="BI747" t="s">
        <v>1053</v>
      </c>
      <c r="BK747" t="s">
        <v>1053</v>
      </c>
      <c r="BO747" t="s">
        <v>1053</v>
      </c>
      <c r="BP747" t="s">
        <v>2781</v>
      </c>
      <c r="BQ747" t="s">
        <v>311</v>
      </c>
      <c r="BR747" t="s">
        <v>1053</v>
      </c>
      <c r="BS747" t="s">
        <v>1053</v>
      </c>
      <c r="BT747" t="s">
        <v>1053</v>
      </c>
      <c r="BU747" t="s">
        <v>1053</v>
      </c>
      <c r="BX747" t="str">
        <f>""</f>
        <v/>
      </c>
      <c r="BY747" t="str">
        <f>""</f>
        <v/>
      </c>
      <c r="BZ747" t="str">
        <f>""</f>
        <v/>
      </c>
      <c r="CA747" t="str">
        <f>""</f>
        <v/>
      </c>
      <c r="CB747" t="str">
        <f>""</f>
        <v/>
      </c>
      <c r="CC747" t="str">
        <f>""</f>
        <v/>
      </c>
      <c r="CD747" t="str">
        <f>""</f>
        <v/>
      </c>
      <c r="CE747" t="str">
        <f>""</f>
        <v/>
      </c>
      <c r="CF747" t="str">
        <f>""</f>
        <v/>
      </c>
      <c r="CG747" t="str">
        <f>""</f>
        <v/>
      </c>
      <c r="CH747" t="str">
        <f>""</f>
        <v/>
      </c>
    </row>
    <row r="748" spans="1:86" x14ac:dyDescent="0.25">
      <c r="A748" t="s">
        <v>2782</v>
      </c>
      <c r="B748" t="s">
        <v>2783</v>
      </c>
      <c r="C748" t="s">
        <v>1992</v>
      </c>
      <c r="D748" t="s">
        <v>1993</v>
      </c>
      <c r="E748" t="s">
        <v>2784</v>
      </c>
      <c r="F748" t="s">
        <v>2785</v>
      </c>
      <c r="H748" t="s">
        <v>2786</v>
      </c>
      <c r="I748" t="s">
        <v>2061</v>
      </c>
      <c r="J748" t="str">
        <f>"95060"</f>
        <v>95060</v>
      </c>
      <c r="K748" t="s">
        <v>1998</v>
      </c>
      <c r="L748" t="s">
        <v>2062</v>
      </c>
      <c r="M748" t="s">
        <v>2063</v>
      </c>
      <c r="N748" t="s">
        <v>1992</v>
      </c>
      <c r="O748" t="s">
        <v>1991</v>
      </c>
      <c r="P748" t="s">
        <v>1992</v>
      </c>
      <c r="Q748" t="s">
        <v>1992</v>
      </c>
      <c r="R748" t="s">
        <v>1992</v>
      </c>
      <c r="S748" t="s">
        <v>1992</v>
      </c>
      <c r="T748" t="s">
        <v>1992</v>
      </c>
      <c r="U748" t="s">
        <v>1992</v>
      </c>
      <c r="V748" t="s">
        <v>1991</v>
      </c>
      <c r="W748" t="s">
        <v>1992</v>
      </c>
      <c r="X748" t="s">
        <v>1992</v>
      </c>
      <c r="Y748" t="s">
        <v>1992</v>
      </c>
      <c r="Z748" t="s">
        <v>1991</v>
      </c>
      <c r="AF748" t="s">
        <v>2064</v>
      </c>
      <c r="AG748" t="s">
        <v>1991</v>
      </c>
      <c r="AH748">
        <v>30</v>
      </c>
      <c r="AI748">
        <v>30</v>
      </c>
      <c r="AJ748" t="s">
        <v>2787</v>
      </c>
      <c r="AK748">
        <v>9</v>
      </c>
      <c r="AL748">
        <v>234400</v>
      </c>
      <c r="AM748" t="s">
        <v>2298</v>
      </c>
      <c r="AN748" t="s">
        <v>450</v>
      </c>
      <c r="AO748" t="s">
        <v>2063</v>
      </c>
      <c r="BF748" t="s">
        <v>1053</v>
      </c>
      <c r="BG748" t="s">
        <v>309</v>
      </c>
      <c r="BH748" t="s">
        <v>2301</v>
      </c>
      <c r="BI748" t="s">
        <v>1053</v>
      </c>
      <c r="BK748" t="s">
        <v>1053</v>
      </c>
      <c r="BO748" t="s">
        <v>1053</v>
      </c>
      <c r="BP748" t="s">
        <v>310</v>
      </c>
      <c r="BQ748" t="s">
        <v>311</v>
      </c>
      <c r="BR748" t="s">
        <v>1053</v>
      </c>
      <c r="BS748" t="s">
        <v>1053</v>
      </c>
      <c r="BT748" t="s">
        <v>1053</v>
      </c>
      <c r="BU748" t="s">
        <v>1053</v>
      </c>
      <c r="BX748" t="str">
        <f>"SMTWTFS 0600-2300"</f>
        <v>SMTWTFS 0600-2300</v>
      </c>
      <c r="BY748" t="str">
        <f>""</f>
        <v/>
      </c>
      <c r="BZ748" t="str">
        <f>""</f>
        <v/>
      </c>
      <c r="CA748" t="str">
        <f>""</f>
        <v/>
      </c>
      <c r="CB748" t="str">
        <f>""</f>
        <v/>
      </c>
      <c r="CC748" t="str">
        <f>"SMTWTFS 0600-2300"</f>
        <v>SMTWTFS 0600-2300</v>
      </c>
      <c r="CD748" t="str">
        <f>""</f>
        <v/>
      </c>
      <c r="CE748" t="str">
        <f>""</f>
        <v/>
      </c>
      <c r="CF748" t="str">
        <f>""</f>
        <v/>
      </c>
      <c r="CG748" t="str">
        <f>""</f>
        <v/>
      </c>
      <c r="CH748" t="str">
        <f>""</f>
        <v/>
      </c>
    </row>
    <row r="749" spans="1:86" x14ac:dyDescent="0.25">
      <c r="A749" t="s">
        <v>2788</v>
      </c>
      <c r="B749" t="s">
        <v>2789</v>
      </c>
      <c r="C749" t="s">
        <v>1992</v>
      </c>
      <c r="D749" t="s">
        <v>1993</v>
      </c>
      <c r="E749" t="s">
        <v>2790</v>
      </c>
      <c r="F749" t="s">
        <v>2791</v>
      </c>
      <c r="H749" t="s">
        <v>2792</v>
      </c>
      <c r="I749" t="s">
        <v>586</v>
      </c>
      <c r="J749" t="str">
        <f>"86336-4223"</f>
        <v>86336-4223</v>
      </c>
      <c r="K749" t="s">
        <v>1998</v>
      </c>
      <c r="L749" t="s">
        <v>2045</v>
      </c>
      <c r="M749" t="s">
        <v>2063</v>
      </c>
      <c r="N749" t="s">
        <v>1992</v>
      </c>
      <c r="O749" t="s">
        <v>1992</v>
      </c>
      <c r="P749" t="s">
        <v>1992</v>
      </c>
      <c r="Q749" t="s">
        <v>1992</v>
      </c>
      <c r="R749" t="s">
        <v>1992</v>
      </c>
      <c r="S749" t="s">
        <v>1992</v>
      </c>
      <c r="T749" t="s">
        <v>1992</v>
      </c>
      <c r="U749" t="s">
        <v>1992</v>
      </c>
      <c r="V749" t="s">
        <v>1991</v>
      </c>
      <c r="Z749" t="s">
        <v>1991</v>
      </c>
      <c r="AB749" t="s">
        <v>2793</v>
      </c>
      <c r="AF749" t="s">
        <v>2048</v>
      </c>
      <c r="AG749" t="s">
        <v>1992</v>
      </c>
      <c r="AH749">
        <v>15</v>
      </c>
      <c r="AI749">
        <v>15</v>
      </c>
      <c r="AJ749" t="s">
        <v>2794</v>
      </c>
      <c r="AK749">
        <v>4349</v>
      </c>
      <c r="BF749" t="s">
        <v>1053</v>
      </c>
      <c r="BG749" t="s">
        <v>2019</v>
      </c>
      <c r="BH749" t="s">
        <v>2053</v>
      </c>
      <c r="BI749" t="s">
        <v>1053</v>
      </c>
      <c r="BO749" t="s">
        <v>1053</v>
      </c>
      <c r="BP749" t="s">
        <v>2101</v>
      </c>
      <c r="BQ749" t="s">
        <v>2055</v>
      </c>
      <c r="BR749" t="s">
        <v>1053</v>
      </c>
      <c r="BS749" t="s">
        <v>1053</v>
      </c>
      <c r="BV749" t="s">
        <v>2056</v>
      </c>
      <c r="BX749" t="str">
        <f>""</f>
        <v/>
      </c>
      <c r="BY749" t="str">
        <f>""</f>
        <v/>
      </c>
      <c r="BZ749" t="str">
        <f>""</f>
        <v/>
      </c>
      <c r="CA749" t="str">
        <f>""</f>
        <v/>
      </c>
      <c r="CB749" t="str">
        <f>""</f>
        <v/>
      </c>
      <c r="CC749" t="str">
        <f>""</f>
        <v/>
      </c>
      <c r="CD749" t="str">
        <f>""</f>
        <v/>
      </c>
      <c r="CE749" t="str">
        <f>""</f>
        <v/>
      </c>
      <c r="CF749" t="str">
        <f>""</f>
        <v/>
      </c>
      <c r="CG749" t="str">
        <f>""</f>
        <v/>
      </c>
      <c r="CH749" t="str">
        <f>""</f>
        <v/>
      </c>
    </row>
    <row r="750" spans="1:86" x14ac:dyDescent="0.25">
      <c r="A750" t="s">
        <v>2795</v>
      </c>
      <c r="B750" t="s">
        <v>2796</v>
      </c>
      <c r="C750" t="s">
        <v>1992</v>
      </c>
      <c r="D750" t="s">
        <v>2010</v>
      </c>
      <c r="E750" t="s">
        <v>2797</v>
      </c>
      <c r="H750" t="s">
        <v>2798</v>
      </c>
      <c r="I750" t="s">
        <v>830</v>
      </c>
      <c r="J750" t="str">
        <f>"70458"</f>
        <v>70458</v>
      </c>
      <c r="K750" t="s">
        <v>1998</v>
      </c>
      <c r="L750" t="s">
        <v>408</v>
      </c>
      <c r="M750" t="s">
        <v>2063</v>
      </c>
      <c r="N750" t="s">
        <v>1992</v>
      </c>
      <c r="O750" t="s">
        <v>1992</v>
      </c>
      <c r="P750" t="s">
        <v>1992</v>
      </c>
      <c r="Q750" t="s">
        <v>1992</v>
      </c>
      <c r="R750" t="s">
        <v>1992</v>
      </c>
      <c r="S750" t="s">
        <v>1992</v>
      </c>
      <c r="T750" t="s">
        <v>1992</v>
      </c>
      <c r="U750" t="s">
        <v>1992</v>
      </c>
      <c r="V750" t="s">
        <v>1991</v>
      </c>
      <c r="W750" t="s">
        <v>1991</v>
      </c>
      <c r="X750" t="s">
        <v>1992</v>
      </c>
      <c r="Y750" t="s">
        <v>1992</v>
      </c>
      <c r="Z750" t="s">
        <v>1992</v>
      </c>
      <c r="AF750" t="s">
        <v>2001</v>
      </c>
      <c r="AG750" t="s">
        <v>1991</v>
      </c>
      <c r="AH750">
        <v>30</v>
      </c>
      <c r="AI750">
        <v>30</v>
      </c>
      <c r="AJ750" t="s">
        <v>2799</v>
      </c>
      <c r="AK750">
        <v>8</v>
      </c>
      <c r="AL750">
        <v>28089</v>
      </c>
      <c r="AN750" t="s">
        <v>2066</v>
      </c>
      <c r="AU750" t="s">
        <v>2066</v>
      </c>
      <c r="BF750" t="s">
        <v>1053</v>
      </c>
      <c r="BG750" t="s">
        <v>703</v>
      </c>
      <c r="BH750" t="s">
        <v>5286</v>
      </c>
      <c r="BI750" t="s">
        <v>1053</v>
      </c>
      <c r="BJ750" t="s">
        <v>1053</v>
      </c>
      <c r="BK750" t="s">
        <v>1053</v>
      </c>
      <c r="BL750" t="s">
        <v>1053</v>
      </c>
      <c r="BM750" t="s">
        <v>1242</v>
      </c>
      <c r="BN750" t="s">
        <v>417</v>
      </c>
      <c r="BO750" t="s">
        <v>1053</v>
      </c>
      <c r="BP750" t="s">
        <v>653</v>
      </c>
      <c r="BQ750" t="s">
        <v>427</v>
      </c>
      <c r="BR750" t="s">
        <v>1053</v>
      </c>
      <c r="BS750" t="s">
        <v>1053</v>
      </c>
      <c r="BT750" t="s">
        <v>1053</v>
      </c>
      <c r="BU750" t="s">
        <v>1053</v>
      </c>
      <c r="BV750" t="s">
        <v>416</v>
      </c>
      <c r="BW750" t="s">
        <v>417</v>
      </c>
      <c r="BX750" t="str">
        <f>""</f>
        <v/>
      </c>
      <c r="BY750" t="str">
        <f>""</f>
        <v/>
      </c>
      <c r="BZ750" t="str">
        <f>""</f>
        <v/>
      </c>
      <c r="CA750" t="str">
        <f>""</f>
        <v/>
      </c>
      <c r="CB750" t="str">
        <f>""</f>
        <v/>
      </c>
      <c r="CC750" t="str">
        <f>""</f>
        <v/>
      </c>
      <c r="CD750" t="str">
        <f>""</f>
        <v/>
      </c>
      <c r="CE750" t="str">
        <f>""</f>
        <v/>
      </c>
      <c r="CF750" t="str">
        <f>""</f>
        <v/>
      </c>
      <c r="CG750" t="str">
        <f>""</f>
        <v/>
      </c>
      <c r="CH750" t="str">
        <f>""</f>
        <v/>
      </c>
    </row>
    <row r="751" spans="1:86" x14ac:dyDescent="0.25">
      <c r="A751" t="s">
        <v>2800</v>
      </c>
      <c r="B751" t="s">
        <v>2801</v>
      </c>
      <c r="C751" t="s">
        <v>1991</v>
      </c>
      <c r="D751" t="s">
        <v>2010</v>
      </c>
      <c r="E751" t="s">
        <v>2802</v>
      </c>
      <c r="H751" t="s">
        <v>2803</v>
      </c>
      <c r="I751" t="s">
        <v>2321</v>
      </c>
      <c r="J751" t="str">
        <f>"12305-1817"</f>
        <v>12305-1817</v>
      </c>
      <c r="K751" t="s">
        <v>1998</v>
      </c>
      <c r="L751" t="s">
        <v>2033</v>
      </c>
      <c r="M751" t="s">
        <v>2804</v>
      </c>
      <c r="N751" t="s">
        <v>1991</v>
      </c>
      <c r="O751" t="s">
        <v>1991</v>
      </c>
      <c r="P751" t="s">
        <v>1992</v>
      </c>
      <c r="Q751" t="s">
        <v>1991</v>
      </c>
      <c r="R751" t="s">
        <v>1991</v>
      </c>
      <c r="S751" t="s">
        <v>1992</v>
      </c>
      <c r="T751" t="s">
        <v>1992</v>
      </c>
      <c r="U751" t="s">
        <v>1991</v>
      </c>
      <c r="V751" t="s">
        <v>1991</v>
      </c>
      <c r="W751" t="s">
        <v>1991</v>
      </c>
      <c r="X751" t="s">
        <v>1992</v>
      </c>
      <c r="Y751" t="s">
        <v>1992</v>
      </c>
      <c r="Z751" t="s">
        <v>1992</v>
      </c>
      <c r="AE751" t="s">
        <v>2047</v>
      </c>
      <c r="AF751" t="s">
        <v>2016</v>
      </c>
      <c r="AG751" t="s">
        <v>1991</v>
      </c>
      <c r="AH751">
        <v>60</v>
      </c>
      <c r="AI751">
        <v>30</v>
      </c>
      <c r="AJ751" t="s">
        <v>2805</v>
      </c>
      <c r="AK751">
        <v>245</v>
      </c>
      <c r="AL751">
        <v>72000</v>
      </c>
      <c r="AN751" t="s">
        <v>1053</v>
      </c>
      <c r="AO751" t="s">
        <v>1053</v>
      </c>
      <c r="AP751" t="s">
        <v>2069</v>
      </c>
      <c r="AQ751" t="s">
        <v>1053</v>
      </c>
      <c r="AR751" t="s">
        <v>2069</v>
      </c>
      <c r="AS751" t="s">
        <v>2800</v>
      </c>
      <c r="AT751" t="s">
        <v>2806</v>
      </c>
      <c r="AU751" t="s">
        <v>1053</v>
      </c>
      <c r="AV751" t="s">
        <v>1053</v>
      </c>
      <c r="AW751" t="s">
        <v>1053</v>
      </c>
      <c r="AX751" t="s">
        <v>1053</v>
      </c>
      <c r="AY751" t="s">
        <v>2069</v>
      </c>
      <c r="AZ751" t="s">
        <v>2800</v>
      </c>
      <c r="BA751" t="s">
        <v>2806</v>
      </c>
      <c r="BB751" t="s">
        <v>1053</v>
      </c>
      <c r="BC751" t="s">
        <v>2069</v>
      </c>
      <c r="BD751" t="s">
        <v>1053</v>
      </c>
      <c r="BE751" t="s">
        <v>2069</v>
      </c>
      <c r="BF751" t="s">
        <v>1053</v>
      </c>
      <c r="BG751" t="s">
        <v>518</v>
      </c>
      <c r="BH751" t="s">
        <v>264</v>
      </c>
      <c r="BI751" t="s">
        <v>1053</v>
      </c>
      <c r="BJ751" t="s">
        <v>1053</v>
      </c>
      <c r="BK751" t="s">
        <v>1053</v>
      </c>
      <c r="BL751" t="s">
        <v>1053</v>
      </c>
      <c r="BM751" t="s">
        <v>2324</v>
      </c>
      <c r="BN751" t="s">
        <v>2325</v>
      </c>
      <c r="BO751" t="s">
        <v>1053</v>
      </c>
      <c r="BP751" t="s">
        <v>2807</v>
      </c>
      <c r="BQ751" t="s">
        <v>2808</v>
      </c>
      <c r="BR751" t="s">
        <v>1053</v>
      </c>
      <c r="BS751" t="s">
        <v>1053</v>
      </c>
      <c r="BV751" t="s">
        <v>265</v>
      </c>
      <c r="BX751" t="str">
        <f>"SMTWTFS 0830-2130"</f>
        <v>SMTWTFS 0830-2130</v>
      </c>
      <c r="BY751" t="str">
        <f>"SMTWTFS 0830-2130"</f>
        <v>SMTWTFS 0830-2130</v>
      </c>
      <c r="BZ751" t="str">
        <f>"SMTWTFS 0830-2130"</f>
        <v>SMTWTFS 0830-2130</v>
      </c>
      <c r="CA751" t="str">
        <f>"SMTWTFS 0830-2130"</f>
        <v>SMTWTFS 0830-2130</v>
      </c>
      <c r="CB751" t="str">
        <f>""</f>
        <v/>
      </c>
      <c r="CC751" t="str">
        <f>"SMTWTFS 0830-2130"</f>
        <v>SMTWTFS 0830-2130</v>
      </c>
      <c r="CD751" t="str">
        <f>""</f>
        <v/>
      </c>
      <c r="CE751" t="str">
        <f>""</f>
        <v/>
      </c>
      <c r="CF751" t="str">
        <f>"SMTWTFS 0830-2030"</f>
        <v>SMTWTFS 0830-2030</v>
      </c>
      <c r="CG751" t="str">
        <f>""</f>
        <v/>
      </c>
      <c r="CH751" t="str">
        <f>""</f>
        <v/>
      </c>
    </row>
    <row r="752" spans="1:86" x14ac:dyDescent="0.25">
      <c r="A752" t="s">
        <v>2809</v>
      </c>
      <c r="B752" t="s">
        <v>2810</v>
      </c>
      <c r="C752" t="s">
        <v>1991</v>
      </c>
      <c r="D752" t="s">
        <v>2010</v>
      </c>
      <c r="E752" t="s">
        <v>2811</v>
      </c>
      <c r="F752" t="s">
        <v>2812</v>
      </c>
      <c r="H752" t="s">
        <v>129</v>
      </c>
      <c r="I752" t="s">
        <v>576</v>
      </c>
      <c r="J752" t="str">
        <f>"98104-2868"</f>
        <v>98104-2868</v>
      </c>
      <c r="K752" t="s">
        <v>1998</v>
      </c>
      <c r="L752" t="s">
        <v>231</v>
      </c>
      <c r="M752" t="s">
        <v>2813</v>
      </c>
      <c r="N752" t="s">
        <v>1991</v>
      </c>
      <c r="O752" t="s">
        <v>1991</v>
      </c>
      <c r="P752" t="s">
        <v>1992</v>
      </c>
      <c r="Q752" t="s">
        <v>1991</v>
      </c>
      <c r="R752" t="s">
        <v>1991</v>
      </c>
      <c r="S752" t="s">
        <v>1992</v>
      </c>
      <c r="T752" t="s">
        <v>1992</v>
      </c>
      <c r="U752" t="s">
        <v>1991</v>
      </c>
      <c r="V752" t="s">
        <v>1991</v>
      </c>
      <c r="W752" t="s">
        <v>1991</v>
      </c>
      <c r="X752" t="s">
        <v>1992</v>
      </c>
      <c r="Y752" t="s">
        <v>1992</v>
      </c>
      <c r="Z752" t="s">
        <v>1991</v>
      </c>
      <c r="AA752" t="s">
        <v>1991</v>
      </c>
      <c r="AB752" t="s">
        <v>2814</v>
      </c>
      <c r="AE752" t="s">
        <v>2047</v>
      </c>
      <c r="AF752" t="s">
        <v>2064</v>
      </c>
      <c r="AG752" t="s">
        <v>1991</v>
      </c>
      <c r="AH752">
        <v>60</v>
      </c>
      <c r="AI752">
        <v>30</v>
      </c>
      <c r="AJ752" t="s">
        <v>2815</v>
      </c>
      <c r="AK752">
        <v>26</v>
      </c>
      <c r="AL752">
        <v>530832</v>
      </c>
      <c r="AM752" t="s">
        <v>2816</v>
      </c>
      <c r="AN752" t="s">
        <v>1053</v>
      </c>
      <c r="AO752" t="s">
        <v>1053</v>
      </c>
      <c r="AP752" t="s">
        <v>1053</v>
      </c>
      <c r="AQ752" t="s">
        <v>1053</v>
      </c>
      <c r="AR752" t="s">
        <v>1053</v>
      </c>
      <c r="AS752" t="s">
        <v>2809</v>
      </c>
      <c r="AT752" t="s">
        <v>242</v>
      </c>
      <c r="AU752" t="s">
        <v>1053</v>
      </c>
      <c r="AV752" t="s">
        <v>1053</v>
      </c>
      <c r="AW752" t="s">
        <v>1053</v>
      </c>
      <c r="AX752" t="s">
        <v>1053</v>
      </c>
      <c r="AY752" t="s">
        <v>1053</v>
      </c>
      <c r="AZ752" t="s">
        <v>2817</v>
      </c>
      <c r="BA752" t="s">
        <v>2818</v>
      </c>
      <c r="BB752" t="s">
        <v>1053</v>
      </c>
      <c r="BC752" t="s">
        <v>1053</v>
      </c>
      <c r="BD752" t="s">
        <v>1053</v>
      </c>
      <c r="BE752" t="s">
        <v>1053</v>
      </c>
      <c r="BF752" t="s">
        <v>1053</v>
      </c>
      <c r="BG752" t="s">
        <v>2019</v>
      </c>
      <c r="BH752" t="s">
        <v>2819</v>
      </c>
      <c r="BI752" t="s">
        <v>1053</v>
      </c>
      <c r="BJ752" t="s">
        <v>1053</v>
      </c>
      <c r="BK752" t="s">
        <v>1053</v>
      </c>
      <c r="BM752" t="s">
        <v>241</v>
      </c>
      <c r="BN752" t="s">
        <v>242</v>
      </c>
      <c r="BO752" t="s">
        <v>1053</v>
      </c>
      <c r="BP752" t="s">
        <v>6165</v>
      </c>
      <c r="BQ752" t="s">
        <v>2820</v>
      </c>
      <c r="BR752" t="s">
        <v>1053</v>
      </c>
      <c r="BS752" t="s">
        <v>1053</v>
      </c>
      <c r="BT752" t="s">
        <v>1053</v>
      </c>
      <c r="BU752" t="s">
        <v>1053</v>
      </c>
      <c r="BV752" t="s">
        <v>241</v>
      </c>
      <c r="BW752" t="s">
        <v>242</v>
      </c>
      <c r="BX752" t="str">
        <f>"SMTWTFS 0600-2300"</f>
        <v>SMTWTFS 0600-2300</v>
      </c>
      <c r="BY752" t="str">
        <f>"SMTWTFS 0630-2000"</f>
        <v>SMTWTFS 0630-2000</v>
      </c>
      <c r="BZ752" t="str">
        <f>"SMTWTFS 0600-2300"</f>
        <v>SMTWTFS 0600-2300</v>
      </c>
      <c r="CA752" t="str">
        <f>"SMTWTFS 0615-2000"</f>
        <v>SMTWTFS 0615-2000</v>
      </c>
      <c r="CB752" t="str">
        <f>""</f>
        <v/>
      </c>
      <c r="CC752" t="str">
        <f>"SMTWTFS 0600-2300"</f>
        <v>SMTWTFS 0600-2300</v>
      </c>
      <c r="CD752" t="str">
        <f>""</f>
        <v/>
      </c>
      <c r="CE752" t="str">
        <f>""</f>
        <v/>
      </c>
      <c r="CF752" t="str">
        <f>"SMTWTFS 0630-2000"</f>
        <v>SMTWTFS 0630-2000</v>
      </c>
      <c r="CG752" t="str">
        <f>""</f>
        <v/>
      </c>
      <c r="CH752" t="str">
        <f>"SMTWTFS 0000-2359"</f>
        <v>SMTWTFS 0000-2359</v>
      </c>
    </row>
    <row r="753" spans="1:86" x14ac:dyDescent="0.25">
      <c r="A753" t="s">
        <v>2821</v>
      </c>
      <c r="B753" t="s">
        <v>2822</v>
      </c>
      <c r="D753" t="s">
        <v>2089</v>
      </c>
      <c r="E753" t="s">
        <v>2823</v>
      </c>
      <c r="F753" t="s">
        <v>497</v>
      </c>
      <c r="H753" t="s">
        <v>2824</v>
      </c>
      <c r="I753" t="s">
        <v>2014</v>
      </c>
      <c r="J753" t="str">
        <f>"20706"</f>
        <v>20706</v>
      </c>
      <c r="L753" t="s">
        <v>499</v>
      </c>
      <c r="M753" t="s">
        <v>500</v>
      </c>
      <c r="O753" t="s">
        <v>1992</v>
      </c>
      <c r="AF753" t="s">
        <v>2016</v>
      </c>
      <c r="AG753" t="s">
        <v>1991</v>
      </c>
      <c r="AJ753" t="s">
        <v>2090</v>
      </c>
      <c r="AM753" t="s">
        <v>501</v>
      </c>
      <c r="BX753" t="str">
        <f>""</f>
        <v/>
      </c>
      <c r="BY753" t="str">
        <f>""</f>
        <v/>
      </c>
      <c r="BZ753" t="str">
        <f>""</f>
        <v/>
      </c>
      <c r="CA753" t="str">
        <f>""</f>
        <v/>
      </c>
      <c r="CB753" t="str">
        <f>""</f>
        <v/>
      </c>
      <c r="CC753" t="str">
        <f>""</f>
        <v/>
      </c>
      <c r="CD753" t="str">
        <f>""</f>
        <v/>
      </c>
      <c r="CE753" t="str">
        <f>""</f>
        <v/>
      </c>
      <c r="CF753" t="str">
        <f>""</f>
        <v/>
      </c>
      <c r="CG753" t="str">
        <f>""</f>
        <v/>
      </c>
      <c r="CH753" t="str">
        <f>""</f>
        <v/>
      </c>
    </row>
    <row r="754" spans="1:86" x14ac:dyDescent="0.25">
      <c r="A754" t="s">
        <v>2825</v>
      </c>
      <c r="B754" t="s">
        <v>2826</v>
      </c>
      <c r="C754" t="s">
        <v>1992</v>
      </c>
      <c r="D754" t="s">
        <v>2010</v>
      </c>
      <c r="E754" t="s">
        <v>2827</v>
      </c>
      <c r="H754" t="s">
        <v>2828</v>
      </c>
      <c r="I754" t="s">
        <v>5524</v>
      </c>
      <c r="J754" t="str">
        <f>"65301"</f>
        <v>65301</v>
      </c>
      <c r="K754" t="s">
        <v>1998</v>
      </c>
      <c r="L754" t="s">
        <v>1999</v>
      </c>
      <c r="M754" t="s">
        <v>2063</v>
      </c>
      <c r="N754" t="s">
        <v>1992</v>
      </c>
      <c r="O754" t="s">
        <v>1992</v>
      </c>
      <c r="P754" t="s">
        <v>1992</v>
      </c>
      <c r="Q754" t="s">
        <v>1992</v>
      </c>
      <c r="R754" t="s">
        <v>1992</v>
      </c>
      <c r="S754" t="s">
        <v>1992</v>
      </c>
      <c r="T754" t="s">
        <v>1992</v>
      </c>
      <c r="U754" t="s">
        <v>1992</v>
      </c>
      <c r="V754" t="s">
        <v>1991</v>
      </c>
      <c r="W754" t="s">
        <v>1991</v>
      </c>
      <c r="X754" t="s">
        <v>1992</v>
      </c>
      <c r="Y754" t="s">
        <v>1992</v>
      </c>
      <c r="Z754" t="s">
        <v>1992</v>
      </c>
      <c r="AF754" t="s">
        <v>2001</v>
      </c>
      <c r="AG754" t="s">
        <v>1991</v>
      </c>
      <c r="AH754">
        <v>30</v>
      </c>
      <c r="AI754">
        <v>30</v>
      </c>
      <c r="AJ754" t="s">
        <v>2829</v>
      </c>
      <c r="AK754">
        <v>890</v>
      </c>
      <c r="AL754">
        <v>20600</v>
      </c>
      <c r="AN754" t="s">
        <v>2066</v>
      </c>
      <c r="AO754" t="s">
        <v>2063</v>
      </c>
      <c r="BF754" t="s">
        <v>1053</v>
      </c>
      <c r="BG754" t="s">
        <v>2371</v>
      </c>
      <c r="BH754" t="s">
        <v>2830</v>
      </c>
      <c r="BI754" t="s">
        <v>1053</v>
      </c>
      <c r="BJ754" t="s">
        <v>1053</v>
      </c>
      <c r="BK754" t="s">
        <v>1053</v>
      </c>
      <c r="BL754" t="s">
        <v>1053</v>
      </c>
      <c r="BM754" t="s">
        <v>2373</v>
      </c>
      <c r="BN754" t="s">
        <v>2374</v>
      </c>
      <c r="BO754" t="s">
        <v>1053</v>
      </c>
      <c r="BP754" t="s">
        <v>2023</v>
      </c>
      <c r="BQ754" t="s">
        <v>2679</v>
      </c>
      <c r="BR754" t="s">
        <v>1053</v>
      </c>
      <c r="BX754" t="str">
        <f>"SMTWTFS 0900-2000"</f>
        <v>SMTWTFS 0900-2000</v>
      </c>
      <c r="BY754" t="str">
        <f>""</f>
        <v/>
      </c>
      <c r="BZ754" t="str">
        <f>""</f>
        <v/>
      </c>
      <c r="CA754" t="str">
        <f>""</f>
        <v/>
      </c>
      <c r="CB754" t="str">
        <f>""</f>
        <v/>
      </c>
      <c r="CC754" t="str">
        <f>""</f>
        <v/>
      </c>
      <c r="CD754" t="str">
        <f>""</f>
        <v/>
      </c>
      <c r="CE754" t="str">
        <f>""</f>
        <v/>
      </c>
      <c r="CF754" t="str">
        <f>""</f>
        <v/>
      </c>
      <c r="CG754" t="str">
        <f>""</f>
        <v/>
      </c>
      <c r="CH754" t="str">
        <f>""</f>
        <v/>
      </c>
    </row>
    <row r="755" spans="1:86" x14ac:dyDescent="0.25">
      <c r="A755" t="s">
        <v>2831</v>
      </c>
      <c r="B755" t="s">
        <v>2832</v>
      </c>
      <c r="C755" t="s">
        <v>1992</v>
      </c>
      <c r="D755" t="s">
        <v>1993</v>
      </c>
      <c r="E755" t="s">
        <v>2833</v>
      </c>
      <c r="F755" t="s">
        <v>2834</v>
      </c>
      <c r="H755" t="s">
        <v>2835</v>
      </c>
      <c r="I755" t="s">
        <v>2061</v>
      </c>
      <c r="J755" t="str">
        <f>"93955"</f>
        <v>93955</v>
      </c>
      <c r="K755" t="s">
        <v>1998</v>
      </c>
      <c r="L755" t="s">
        <v>2062</v>
      </c>
      <c r="M755" t="s">
        <v>2063</v>
      </c>
      <c r="N755" t="s">
        <v>1992</v>
      </c>
      <c r="O755" t="s">
        <v>1992</v>
      </c>
      <c r="P755" t="s">
        <v>1992</v>
      </c>
      <c r="Q755" t="s">
        <v>1992</v>
      </c>
      <c r="R755" t="s">
        <v>1992</v>
      </c>
      <c r="S755" t="s">
        <v>1992</v>
      </c>
      <c r="T755" t="s">
        <v>1992</v>
      </c>
      <c r="U755" t="s">
        <v>1992</v>
      </c>
      <c r="V755" t="s">
        <v>1991</v>
      </c>
      <c r="W755" t="s">
        <v>1992</v>
      </c>
      <c r="X755" t="s">
        <v>1992</v>
      </c>
      <c r="Y755" t="s">
        <v>1992</v>
      </c>
      <c r="Z755" t="s">
        <v>1991</v>
      </c>
      <c r="AF755" t="s">
        <v>2064</v>
      </c>
      <c r="AG755" t="s">
        <v>1991</v>
      </c>
      <c r="AH755">
        <v>30</v>
      </c>
      <c r="AI755">
        <v>30</v>
      </c>
      <c r="AJ755" t="s">
        <v>2836</v>
      </c>
      <c r="AK755">
        <v>39</v>
      </c>
      <c r="AN755" t="s">
        <v>450</v>
      </c>
      <c r="AO755" t="s">
        <v>2063</v>
      </c>
      <c r="BF755" t="s">
        <v>1053</v>
      </c>
      <c r="BG755" t="s">
        <v>309</v>
      </c>
      <c r="BH755" t="s">
        <v>2301</v>
      </c>
      <c r="BI755" t="s">
        <v>1053</v>
      </c>
      <c r="BK755" t="s">
        <v>1053</v>
      </c>
      <c r="BO755" t="s">
        <v>1053</v>
      </c>
      <c r="BP755" t="s">
        <v>518</v>
      </c>
      <c r="BQ755" t="s">
        <v>3820</v>
      </c>
      <c r="BR755" t="s">
        <v>1053</v>
      </c>
      <c r="BT755" t="s">
        <v>1053</v>
      </c>
      <c r="BV755" t="s">
        <v>2070</v>
      </c>
      <c r="BX755" t="str">
        <f>""</f>
        <v/>
      </c>
      <c r="BY755" t="str">
        <f>""</f>
        <v/>
      </c>
      <c r="BZ755" t="str">
        <f>""</f>
        <v/>
      </c>
      <c r="CA755" t="str">
        <f>""</f>
        <v/>
      </c>
      <c r="CB755" t="str">
        <f>""</f>
        <v/>
      </c>
      <c r="CC755" t="str">
        <f>""</f>
        <v/>
      </c>
      <c r="CD755" t="str">
        <f>""</f>
        <v/>
      </c>
      <c r="CE755" t="str">
        <f>""</f>
        <v/>
      </c>
      <c r="CF755" t="str">
        <f>""</f>
        <v/>
      </c>
      <c r="CG755" t="str">
        <f>""</f>
        <v/>
      </c>
      <c r="CH755" t="str">
        <f>""</f>
        <v/>
      </c>
    </row>
    <row r="756" spans="1:86" x14ac:dyDescent="0.25">
      <c r="A756" t="s">
        <v>3270</v>
      </c>
      <c r="B756" t="s">
        <v>2837</v>
      </c>
      <c r="C756" t="s">
        <v>1991</v>
      </c>
      <c r="D756" t="s">
        <v>2010</v>
      </c>
      <c r="E756" t="s">
        <v>2838</v>
      </c>
      <c r="H756" t="s">
        <v>2839</v>
      </c>
      <c r="I756" t="s">
        <v>558</v>
      </c>
      <c r="J756" t="str">
        <f>"32771-2385"</f>
        <v>32771-2385</v>
      </c>
      <c r="K756" t="s">
        <v>1998</v>
      </c>
      <c r="L756" t="s">
        <v>408</v>
      </c>
      <c r="M756" t="s">
        <v>2840</v>
      </c>
      <c r="N756" t="s">
        <v>1991</v>
      </c>
      <c r="O756" t="s">
        <v>1992</v>
      </c>
      <c r="P756" t="s">
        <v>1992</v>
      </c>
      <c r="Q756" t="s">
        <v>1992</v>
      </c>
      <c r="R756" t="s">
        <v>1992</v>
      </c>
      <c r="S756" t="s">
        <v>1992</v>
      </c>
      <c r="T756" t="s">
        <v>1992</v>
      </c>
      <c r="U756" t="s">
        <v>1992</v>
      </c>
      <c r="V756" t="s">
        <v>1991</v>
      </c>
      <c r="W756" t="s">
        <v>1991</v>
      </c>
      <c r="X756" t="s">
        <v>1992</v>
      </c>
      <c r="Y756" t="s">
        <v>1992</v>
      </c>
      <c r="Z756" t="s">
        <v>1992</v>
      </c>
      <c r="AF756" t="s">
        <v>2016</v>
      </c>
      <c r="AG756" t="s">
        <v>1991</v>
      </c>
      <c r="AH756">
        <v>120</v>
      </c>
      <c r="AI756">
        <v>120</v>
      </c>
      <c r="AJ756" t="s">
        <v>2841</v>
      </c>
      <c r="AK756">
        <v>21</v>
      </c>
      <c r="AM756" t="s">
        <v>2842</v>
      </c>
      <c r="AN756" t="s">
        <v>1053</v>
      </c>
      <c r="AO756" t="s">
        <v>1053</v>
      </c>
      <c r="AP756" t="s">
        <v>1053</v>
      </c>
      <c r="AQ756" t="s">
        <v>1053</v>
      </c>
      <c r="AR756" t="s">
        <v>1053</v>
      </c>
      <c r="AS756" t="s">
        <v>3270</v>
      </c>
      <c r="AT756" t="s">
        <v>3271</v>
      </c>
      <c r="AV756" t="s">
        <v>1053</v>
      </c>
      <c r="AW756" t="s">
        <v>1053</v>
      </c>
      <c r="AX756" t="s">
        <v>1053</v>
      </c>
      <c r="AY756" t="s">
        <v>1053</v>
      </c>
      <c r="AZ756" t="s">
        <v>3270</v>
      </c>
      <c r="BA756" t="s">
        <v>3271</v>
      </c>
      <c r="BB756" t="s">
        <v>1053</v>
      </c>
      <c r="BC756" t="s">
        <v>1053</v>
      </c>
      <c r="BD756" t="s">
        <v>1053</v>
      </c>
      <c r="BE756" t="s">
        <v>1053</v>
      </c>
      <c r="BF756" t="s">
        <v>1053</v>
      </c>
      <c r="BG756" t="s">
        <v>3268</v>
      </c>
      <c r="BH756" t="s">
        <v>2843</v>
      </c>
      <c r="BI756" t="s">
        <v>1053</v>
      </c>
      <c r="BJ756" t="s">
        <v>1053</v>
      </c>
      <c r="BK756" t="s">
        <v>1053</v>
      </c>
      <c r="BL756" t="s">
        <v>1053</v>
      </c>
      <c r="BM756" t="s">
        <v>3270</v>
      </c>
      <c r="BN756" t="s">
        <v>3271</v>
      </c>
      <c r="BO756" t="s">
        <v>3272</v>
      </c>
      <c r="BP756" t="s">
        <v>235</v>
      </c>
      <c r="BQ756" t="s">
        <v>3274</v>
      </c>
      <c r="BR756" t="s">
        <v>1053</v>
      </c>
      <c r="BS756" t="s">
        <v>1053</v>
      </c>
      <c r="BT756" t="s">
        <v>1053</v>
      </c>
      <c r="BU756" t="s">
        <v>1053</v>
      </c>
      <c r="BV756" t="s">
        <v>3270</v>
      </c>
      <c r="BW756" t="s">
        <v>3271</v>
      </c>
      <c r="BX756" t="str">
        <f>"SMTWTFS 0800-1600"</f>
        <v>SMTWTFS 0800-1600</v>
      </c>
      <c r="BY756" t="str">
        <f>""</f>
        <v/>
      </c>
      <c r="BZ756" t="str">
        <f>"SMTWTFS 0800-1600"</f>
        <v>SMTWTFS 0800-1600</v>
      </c>
      <c r="CA756" t="str">
        <f>"SMTWTFS 0800-1600"</f>
        <v>SMTWTFS 0800-1600</v>
      </c>
      <c r="CB756" t="str">
        <f>""</f>
        <v/>
      </c>
      <c r="CC756" t="str">
        <f>""</f>
        <v/>
      </c>
      <c r="CD756" t="str">
        <f>""</f>
        <v/>
      </c>
      <c r="CE756" t="str">
        <f>""</f>
        <v/>
      </c>
      <c r="CF756" t="str">
        <f>""</f>
        <v/>
      </c>
      <c r="CG756" t="str">
        <f>""</f>
        <v/>
      </c>
      <c r="CH756" t="str">
        <f>""</f>
        <v/>
      </c>
    </row>
    <row r="757" spans="1:86" x14ac:dyDescent="0.25">
      <c r="A757" t="s">
        <v>2844</v>
      </c>
      <c r="B757" t="s">
        <v>2845</v>
      </c>
      <c r="D757" t="s">
        <v>2089</v>
      </c>
      <c r="E757" t="s">
        <v>2846</v>
      </c>
      <c r="F757" t="s">
        <v>2847</v>
      </c>
      <c r="G757" t="s">
        <v>3151</v>
      </c>
      <c r="H757" t="s">
        <v>2848</v>
      </c>
      <c r="I757" t="s">
        <v>2061</v>
      </c>
      <c r="J757" t="str">
        <f>"94133"</f>
        <v>94133</v>
      </c>
      <c r="AJ757" t="s">
        <v>2090</v>
      </c>
      <c r="BX757" t="str">
        <f>""</f>
        <v/>
      </c>
      <c r="BY757" t="str">
        <f>""</f>
        <v/>
      </c>
      <c r="BZ757" t="str">
        <f>""</f>
        <v/>
      </c>
      <c r="CA757" t="str">
        <f>""</f>
        <v/>
      </c>
      <c r="CB757" t="str">
        <f>""</f>
        <v/>
      </c>
      <c r="CC757" t="str">
        <f>""</f>
        <v/>
      </c>
      <c r="CD757" t="str">
        <f>""</f>
        <v/>
      </c>
      <c r="CE757" t="str">
        <f>""</f>
        <v/>
      </c>
      <c r="CF757" t="str">
        <f>""</f>
        <v/>
      </c>
      <c r="CG757" t="str">
        <f>""</f>
        <v/>
      </c>
      <c r="CH757" t="str">
        <f>""</f>
        <v/>
      </c>
    </row>
    <row r="758" spans="1:86" x14ac:dyDescent="0.25">
      <c r="A758" t="s">
        <v>2849</v>
      </c>
      <c r="B758" t="s">
        <v>2850</v>
      </c>
      <c r="C758" t="s">
        <v>1991</v>
      </c>
      <c r="D758" t="s">
        <v>2010</v>
      </c>
      <c r="E758" t="s">
        <v>2851</v>
      </c>
      <c r="F758" t="s">
        <v>2852</v>
      </c>
      <c r="H758" t="s">
        <v>2848</v>
      </c>
      <c r="I758" t="s">
        <v>2061</v>
      </c>
      <c r="J758" t="str">
        <f>"94105-1216"</f>
        <v>94105-1216</v>
      </c>
      <c r="K758" t="s">
        <v>1998</v>
      </c>
      <c r="L758" t="s">
        <v>2062</v>
      </c>
      <c r="M758" t="s">
        <v>2853</v>
      </c>
      <c r="N758" t="s">
        <v>1991</v>
      </c>
      <c r="O758" t="s">
        <v>1991</v>
      </c>
      <c r="P758" t="s">
        <v>1992</v>
      </c>
      <c r="Q758" t="s">
        <v>1991</v>
      </c>
      <c r="R758" t="s">
        <v>1992</v>
      </c>
      <c r="S758" t="s">
        <v>1992</v>
      </c>
      <c r="T758" t="s">
        <v>1992</v>
      </c>
      <c r="U758" t="s">
        <v>1992</v>
      </c>
      <c r="V758" t="s">
        <v>1991</v>
      </c>
      <c r="W758" t="s">
        <v>1992</v>
      </c>
      <c r="X758" t="s">
        <v>1992</v>
      </c>
      <c r="Y758" t="s">
        <v>1991</v>
      </c>
      <c r="Z758" t="s">
        <v>1992</v>
      </c>
      <c r="AA758" t="s">
        <v>1991</v>
      </c>
      <c r="AE758" t="s">
        <v>296</v>
      </c>
      <c r="AF758" t="s">
        <v>2064</v>
      </c>
      <c r="AG758" t="s">
        <v>1991</v>
      </c>
      <c r="AH758">
        <v>45</v>
      </c>
      <c r="AI758">
        <v>30</v>
      </c>
      <c r="AJ758" t="s">
        <v>2854</v>
      </c>
      <c r="AK758">
        <v>8</v>
      </c>
      <c r="AL758">
        <v>824525</v>
      </c>
      <c r="AN758" t="s">
        <v>1053</v>
      </c>
      <c r="AO758" t="s">
        <v>1053</v>
      </c>
      <c r="AP758" t="s">
        <v>1053</v>
      </c>
      <c r="AQ758" t="s">
        <v>1053</v>
      </c>
      <c r="AR758" t="s">
        <v>1053</v>
      </c>
      <c r="AS758" t="s">
        <v>2849</v>
      </c>
      <c r="AT758" t="s">
        <v>2855</v>
      </c>
      <c r="AU758" t="s">
        <v>1414</v>
      </c>
      <c r="BB758" t="s">
        <v>1053</v>
      </c>
      <c r="BC758" t="s">
        <v>1053</v>
      </c>
      <c r="BD758" t="s">
        <v>1053</v>
      </c>
      <c r="BE758" t="s">
        <v>1053</v>
      </c>
      <c r="BF758" t="s">
        <v>1053</v>
      </c>
      <c r="BG758" t="s">
        <v>2067</v>
      </c>
      <c r="BH758" t="s">
        <v>2856</v>
      </c>
      <c r="BI758" t="s">
        <v>1053</v>
      </c>
      <c r="BK758" t="s">
        <v>1053</v>
      </c>
      <c r="BO758" t="s">
        <v>1053</v>
      </c>
      <c r="BP758" t="s">
        <v>675</v>
      </c>
      <c r="BQ758" t="s">
        <v>2073</v>
      </c>
      <c r="BR758" t="s">
        <v>1053</v>
      </c>
      <c r="BS758" t="s">
        <v>1053</v>
      </c>
      <c r="BX758" t="str">
        <f>"SMTWTFS 0600-1830 1900-2250"</f>
        <v>SMTWTFS 0600-1830 1900-2250</v>
      </c>
      <c r="BY758" t="str">
        <f>"SMTWTFS 0600-1800 1900-2220"</f>
        <v>SMTWTFS 0600-1800 1900-2220</v>
      </c>
      <c r="BZ758" t="str">
        <f>"SMTWTFS 0600-1830 1900-2250"</f>
        <v>SMTWTFS 0600-1830 1900-2250</v>
      </c>
      <c r="CA758" t="str">
        <f>"SMTWTFS 0600-1800 1900-2220"</f>
        <v>SMTWTFS 0600-1800 1900-2220</v>
      </c>
      <c r="CB758" t="str">
        <f>""</f>
        <v/>
      </c>
      <c r="CC758" t="str">
        <f>"SMTWTFS 0600-1830 1900-2250"</f>
        <v>SMTWTFS 0600-1830 1900-2250</v>
      </c>
      <c r="CD758" t="str">
        <f>""</f>
        <v/>
      </c>
      <c r="CE758" t="str">
        <f>""</f>
        <v/>
      </c>
      <c r="CF758" t="str">
        <f>""</f>
        <v/>
      </c>
      <c r="CG758" t="str">
        <f>""</f>
        <v/>
      </c>
      <c r="CH758" t="str">
        <f>""</f>
        <v/>
      </c>
    </row>
    <row r="759" spans="1:86" x14ac:dyDescent="0.25">
      <c r="A759" t="s">
        <v>2857</v>
      </c>
      <c r="B759" t="s">
        <v>2858</v>
      </c>
      <c r="C759" t="s">
        <v>1992</v>
      </c>
      <c r="D759" t="s">
        <v>1993</v>
      </c>
      <c r="E759" t="s">
        <v>2859</v>
      </c>
      <c r="F759" t="s">
        <v>2860</v>
      </c>
      <c r="G759" t="s">
        <v>3944</v>
      </c>
      <c r="H759" t="s">
        <v>2848</v>
      </c>
      <c r="I759" t="s">
        <v>2061</v>
      </c>
      <c r="J759" t="str">
        <f>"94111-4800"</f>
        <v>94111-4800</v>
      </c>
      <c r="K759" t="s">
        <v>1998</v>
      </c>
      <c r="L759" t="s">
        <v>2062</v>
      </c>
      <c r="M759" t="s">
        <v>2063</v>
      </c>
      <c r="N759" t="s">
        <v>1992</v>
      </c>
      <c r="O759" t="s">
        <v>1992</v>
      </c>
      <c r="P759" t="s">
        <v>1992</v>
      </c>
      <c r="Q759" t="s">
        <v>1992</v>
      </c>
      <c r="R759" t="s">
        <v>1992</v>
      </c>
      <c r="S759" t="s">
        <v>1992</v>
      </c>
      <c r="T759" t="s">
        <v>1992</v>
      </c>
      <c r="U759" t="s">
        <v>1992</v>
      </c>
      <c r="V759" t="s">
        <v>1991</v>
      </c>
      <c r="W759" t="s">
        <v>1992</v>
      </c>
      <c r="X759" t="s">
        <v>1992</v>
      </c>
      <c r="Y759" t="s">
        <v>1991</v>
      </c>
      <c r="Z759" t="s">
        <v>1992</v>
      </c>
      <c r="AF759" t="s">
        <v>2064</v>
      </c>
      <c r="AG759" t="s">
        <v>1991</v>
      </c>
      <c r="AH759">
        <v>30</v>
      </c>
      <c r="AI759">
        <v>30</v>
      </c>
      <c r="AJ759" t="s">
        <v>2861</v>
      </c>
      <c r="AK759">
        <v>9</v>
      </c>
      <c r="AL759">
        <v>659000</v>
      </c>
      <c r="AM759" t="s">
        <v>2298</v>
      </c>
      <c r="AN759" t="s">
        <v>3819</v>
      </c>
      <c r="AO759" t="s">
        <v>2063</v>
      </c>
      <c r="BF759" t="s">
        <v>1053</v>
      </c>
      <c r="BG759" t="s">
        <v>309</v>
      </c>
      <c r="BH759" t="s">
        <v>2301</v>
      </c>
      <c r="BI759" t="s">
        <v>1053</v>
      </c>
      <c r="BK759" t="s">
        <v>1053</v>
      </c>
      <c r="BO759" t="s">
        <v>1053</v>
      </c>
      <c r="BP759" t="s">
        <v>310</v>
      </c>
      <c r="BQ759" t="s">
        <v>311</v>
      </c>
      <c r="BR759" t="s">
        <v>1053</v>
      </c>
      <c r="BS759" t="s">
        <v>1053</v>
      </c>
      <c r="BT759" t="s">
        <v>1053</v>
      </c>
      <c r="BU759" t="s">
        <v>1053</v>
      </c>
      <c r="BX759" t="str">
        <f>""</f>
        <v/>
      </c>
      <c r="BY759" t="str">
        <f>""</f>
        <v/>
      </c>
      <c r="BZ759" t="str">
        <f>""</f>
        <v/>
      </c>
      <c r="CA759" t="str">
        <f>""</f>
        <v/>
      </c>
      <c r="CB759" t="str">
        <f>""</f>
        <v/>
      </c>
      <c r="CC759" t="str">
        <f>""</f>
        <v/>
      </c>
      <c r="CD759" t="str">
        <f>""</f>
        <v/>
      </c>
      <c r="CE759" t="str">
        <f>""</f>
        <v/>
      </c>
      <c r="CF759" t="str">
        <f>""</f>
        <v/>
      </c>
      <c r="CG759" t="str">
        <f>""</f>
        <v/>
      </c>
      <c r="CH759" t="str">
        <f>""</f>
        <v/>
      </c>
    </row>
    <row r="760" spans="1:86" x14ac:dyDescent="0.25">
      <c r="A760" t="s">
        <v>2862</v>
      </c>
      <c r="B760" t="s">
        <v>2863</v>
      </c>
      <c r="C760" t="s">
        <v>1992</v>
      </c>
      <c r="D760" t="s">
        <v>1993</v>
      </c>
      <c r="E760" t="s">
        <v>5479</v>
      </c>
      <c r="F760" t="s">
        <v>2864</v>
      </c>
      <c r="H760" t="s">
        <v>2848</v>
      </c>
      <c r="I760" t="s">
        <v>2061</v>
      </c>
      <c r="J760" t="str">
        <f>"94111"</f>
        <v>94111</v>
      </c>
      <c r="K760" t="s">
        <v>1998</v>
      </c>
      <c r="L760" t="s">
        <v>2062</v>
      </c>
      <c r="M760" t="s">
        <v>2063</v>
      </c>
      <c r="N760" t="s">
        <v>1992</v>
      </c>
      <c r="O760" t="s">
        <v>1992</v>
      </c>
      <c r="P760" t="s">
        <v>1992</v>
      </c>
      <c r="Q760" t="s">
        <v>1992</v>
      </c>
      <c r="R760" t="s">
        <v>1992</v>
      </c>
      <c r="S760" t="s">
        <v>1992</v>
      </c>
      <c r="T760" t="s">
        <v>1992</v>
      </c>
      <c r="U760" t="s">
        <v>1992</v>
      </c>
      <c r="V760" t="s">
        <v>1991</v>
      </c>
      <c r="W760" t="s">
        <v>1992</v>
      </c>
      <c r="X760" t="s">
        <v>1992</v>
      </c>
      <c r="Y760" t="s">
        <v>1992</v>
      </c>
      <c r="Z760" t="s">
        <v>1992</v>
      </c>
      <c r="AF760" t="s">
        <v>2064</v>
      </c>
      <c r="AG760" t="s">
        <v>1991</v>
      </c>
      <c r="AH760">
        <v>30</v>
      </c>
      <c r="AI760">
        <v>30</v>
      </c>
      <c r="AJ760" t="s">
        <v>2090</v>
      </c>
      <c r="AM760" t="s">
        <v>2865</v>
      </c>
      <c r="AN760" t="s">
        <v>2866</v>
      </c>
      <c r="AO760" t="s">
        <v>2867</v>
      </c>
      <c r="BF760" t="s">
        <v>1053</v>
      </c>
      <c r="BG760" t="s">
        <v>394</v>
      </c>
      <c r="BH760" t="s">
        <v>311</v>
      </c>
      <c r="BI760" t="s">
        <v>1053</v>
      </c>
      <c r="BJ760" t="s">
        <v>1053</v>
      </c>
      <c r="BK760" t="s">
        <v>1053</v>
      </c>
      <c r="BL760" t="s">
        <v>1053</v>
      </c>
      <c r="BX760" t="str">
        <f>""</f>
        <v/>
      </c>
      <c r="BY760" t="str">
        <f>""</f>
        <v/>
      </c>
      <c r="BZ760" t="str">
        <f>""</f>
        <v/>
      </c>
      <c r="CA760" t="str">
        <f>""</f>
        <v/>
      </c>
      <c r="CB760" t="str">
        <f>""</f>
        <v/>
      </c>
      <c r="CC760" t="str">
        <f>""</f>
        <v/>
      </c>
      <c r="CD760" t="str">
        <f>""</f>
        <v/>
      </c>
      <c r="CE760" t="str">
        <f>""</f>
        <v/>
      </c>
      <c r="CF760" t="str">
        <f>""</f>
        <v/>
      </c>
      <c r="CG760" t="str">
        <f>""</f>
        <v/>
      </c>
      <c r="CH760" t="str">
        <f>""</f>
        <v/>
      </c>
    </row>
    <row r="761" spans="1:86" x14ac:dyDescent="0.25">
      <c r="A761" t="s">
        <v>2868</v>
      </c>
      <c r="B761" t="s">
        <v>2869</v>
      </c>
      <c r="C761" t="s">
        <v>1992</v>
      </c>
      <c r="D761" t="s">
        <v>1993</v>
      </c>
      <c r="E761" t="s">
        <v>2870</v>
      </c>
      <c r="F761" t="s">
        <v>2871</v>
      </c>
      <c r="G761" t="s">
        <v>2872</v>
      </c>
      <c r="H761" t="s">
        <v>2848</v>
      </c>
      <c r="I761" t="s">
        <v>2061</v>
      </c>
      <c r="J761" t="str">
        <f>"94103-3118"</f>
        <v>94103-3118</v>
      </c>
      <c r="K761" t="s">
        <v>1998</v>
      </c>
      <c r="L761" t="s">
        <v>2062</v>
      </c>
      <c r="M761" t="s">
        <v>2063</v>
      </c>
      <c r="N761" t="s">
        <v>1992</v>
      </c>
      <c r="O761" t="s">
        <v>1992</v>
      </c>
      <c r="P761" t="s">
        <v>1992</v>
      </c>
      <c r="Q761" t="s">
        <v>1992</v>
      </c>
      <c r="R761" t="s">
        <v>1992</v>
      </c>
      <c r="S761" t="s">
        <v>1992</v>
      </c>
      <c r="T761" t="s">
        <v>1992</v>
      </c>
      <c r="U761" t="s">
        <v>1992</v>
      </c>
      <c r="V761" t="s">
        <v>1991</v>
      </c>
      <c r="W761" t="s">
        <v>1992</v>
      </c>
      <c r="X761" t="s">
        <v>1992</v>
      </c>
      <c r="Y761" t="s">
        <v>1991</v>
      </c>
      <c r="Z761" t="s">
        <v>1992</v>
      </c>
      <c r="AF761" t="s">
        <v>2064</v>
      </c>
      <c r="AG761" t="s">
        <v>1991</v>
      </c>
      <c r="AH761">
        <v>30</v>
      </c>
      <c r="AI761">
        <v>30</v>
      </c>
      <c r="AJ761" t="s">
        <v>2873</v>
      </c>
      <c r="AK761">
        <v>29</v>
      </c>
      <c r="AL761">
        <v>659000</v>
      </c>
      <c r="AM761" t="s">
        <v>2298</v>
      </c>
      <c r="AN761" t="s">
        <v>2874</v>
      </c>
      <c r="AO761" t="s">
        <v>2063</v>
      </c>
      <c r="BF761" t="s">
        <v>1053</v>
      </c>
      <c r="BG761" t="s">
        <v>309</v>
      </c>
      <c r="BH761" t="s">
        <v>2301</v>
      </c>
      <c r="BI761" t="s">
        <v>1053</v>
      </c>
      <c r="BK761" t="s">
        <v>1053</v>
      </c>
      <c r="BO761" t="s">
        <v>1053</v>
      </c>
      <c r="BP761" t="s">
        <v>310</v>
      </c>
      <c r="BQ761" t="s">
        <v>311</v>
      </c>
      <c r="BR761" t="s">
        <v>1053</v>
      </c>
      <c r="BS761" t="s">
        <v>1053</v>
      </c>
      <c r="BT761" t="s">
        <v>1053</v>
      </c>
      <c r="BU761" t="s">
        <v>1053</v>
      </c>
      <c r="BX761" t="str">
        <f>""</f>
        <v/>
      </c>
      <c r="BY761" t="str">
        <f>""</f>
        <v/>
      </c>
      <c r="BZ761" t="str">
        <f>""</f>
        <v/>
      </c>
      <c r="CA761" t="str">
        <f>""</f>
        <v/>
      </c>
      <c r="CB761" t="str">
        <f>""</f>
        <v/>
      </c>
      <c r="CC761" t="str">
        <f>""</f>
        <v/>
      </c>
      <c r="CD761" t="str">
        <f>""</f>
        <v/>
      </c>
      <c r="CE761" t="str">
        <f>""</f>
        <v/>
      </c>
      <c r="CF761" t="str">
        <f>""</f>
        <v/>
      </c>
      <c r="CG761" t="str">
        <f>""</f>
        <v/>
      </c>
      <c r="CH761" t="str">
        <f>""</f>
        <v/>
      </c>
    </row>
    <row r="762" spans="1:86" x14ac:dyDescent="0.25">
      <c r="A762" t="s">
        <v>2875</v>
      </c>
      <c r="B762" t="s">
        <v>2876</v>
      </c>
      <c r="C762" t="s">
        <v>1992</v>
      </c>
      <c r="D762" t="s">
        <v>1993</v>
      </c>
      <c r="E762" t="s">
        <v>2877</v>
      </c>
      <c r="F762" t="s">
        <v>2878</v>
      </c>
      <c r="H762" t="s">
        <v>2848</v>
      </c>
      <c r="I762" t="s">
        <v>2061</v>
      </c>
      <c r="J762" t="str">
        <f>"94107-1617"</f>
        <v>94107-1617</v>
      </c>
      <c r="K762" t="s">
        <v>1998</v>
      </c>
      <c r="L762" t="s">
        <v>2062</v>
      </c>
      <c r="M762" t="s">
        <v>2063</v>
      </c>
      <c r="N762" t="s">
        <v>1992</v>
      </c>
      <c r="O762" t="s">
        <v>1992</v>
      </c>
      <c r="P762" t="s">
        <v>1992</v>
      </c>
      <c r="Q762" t="s">
        <v>1992</v>
      </c>
      <c r="R762" t="s">
        <v>1992</v>
      </c>
      <c r="S762" t="s">
        <v>1992</v>
      </c>
      <c r="T762" t="s">
        <v>1992</v>
      </c>
      <c r="U762" t="s">
        <v>1992</v>
      </c>
      <c r="V762" t="s">
        <v>1991</v>
      </c>
      <c r="W762" t="s">
        <v>1992</v>
      </c>
      <c r="X762" t="s">
        <v>1991</v>
      </c>
      <c r="Y762" t="s">
        <v>1991</v>
      </c>
      <c r="Z762" t="s">
        <v>1992</v>
      </c>
      <c r="AA762" t="s">
        <v>1992</v>
      </c>
      <c r="AE762" t="s">
        <v>2879</v>
      </c>
      <c r="AF762" t="s">
        <v>2064</v>
      </c>
      <c r="AG762" t="s">
        <v>1991</v>
      </c>
      <c r="AH762">
        <v>30</v>
      </c>
      <c r="AI762">
        <v>30</v>
      </c>
      <c r="AJ762" t="s">
        <v>2880</v>
      </c>
      <c r="AK762">
        <v>9</v>
      </c>
      <c r="AM762" t="s">
        <v>2298</v>
      </c>
      <c r="AN762" t="s">
        <v>308</v>
      </c>
      <c r="AO762" t="s">
        <v>2063</v>
      </c>
      <c r="BF762" t="s">
        <v>1053</v>
      </c>
      <c r="BG762" t="s">
        <v>309</v>
      </c>
      <c r="BH762" t="s">
        <v>2301</v>
      </c>
      <c r="BI762" t="s">
        <v>1053</v>
      </c>
      <c r="BK762" t="s">
        <v>1053</v>
      </c>
      <c r="BO762" t="s">
        <v>1053</v>
      </c>
      <c r="BP762" t="s">
        <v>310</v>
      </c>
      <c r="BQ762" t="s">
        <v>311</v>
      </c>
      <c r="BR762" t="s">
        <v>1053</v>
      </c>
      <c r="BS762" t="s">
        <v>1053</v>
      </c>
      <c r="BT762" t="s">
        <v>1053</v>
      </c>
      <c r="BU762" t="s">
        <v>1053</v>
      </c>
      <c r="BX762" t="str">
        <f>""</f>
        <v/>
      </c>
      <c r="BY762" t="str">
        <f>""</f>
        <v/>
      </c>
      <c r="BZ762" t="str">
        <f>""</f>
        <v/>
      </c>
      <c r="CA762" t="str">
        <f>""</f>
        <v/>
      </c>
      <c r="CB762" t="str">
        <f>""</f>
        <v/>
      </c>
      <c r="CC762" t="str">
        <f>""</f>
        <v/>
      </c>
      <c r="CD762" t="str">
        <f>""</f>
        <v/>
      </c>
      <c r="CE762" t="str">
        <f>""</f>
        <v/>
      </c>
      <c r="CF762" t="str">
        <f>""</f>
        <v/>
      </c>
      <c r="CG762" t="str">
        <f>""</f>
        <v/>
      </c>
      <c r="CH762" t="str">
        <f>""</f>
        <v/>
      </c>
    </row>
    <row r="763" spans="1:86" x14ac:dyDescent="0.25">
      <c r="A763" t="s">
        <v>2881</v>
      </c>
      <c r="B763" t="s">
        <v>2882</v>
      </c>
      <c r="C763" t="s">
        <v>1992</v>
      </c>
      <c r="D763" t="s">
        <v>1993</v>
      </c>
      <c r="E763" t="s">
        <v>2883</v>
      </c>
      <c r="F763" t="s">
        <v>2884</v>
      </c>
      <c r="H763" t="s">
        <v>2848</v>
      </c>
      <c r="I763" t="s">
        <v>2061</v>
      </c>
      <c r="J763" t="str">
        <f>"94103-1901"</f>
        <v>94103-1901</v>
      </c>
      <c r="K763" t="s">
        <v>1998</v>
      </c>
      <c r="L763" t="s">
        <v>2062</v>
      </c>
      <c r="M763" t="s">
        <v>2063</v>
      </c>
      <c r="N763" t="s">
        <v>1992</v>
      </c>
      <c r="O763" t="s">
        <v>1992</v>
      </c>
      <c r="P763" t="s">
        <v>1992</v>
      </c>
      <c r="Q763" t="s">
        <v>1992</v>
      </c>
      <c r="R763" t="s">
        <v>1992</v>
      </c>
      <c r="S763" t="s">
        <v>1992</v>
      </c>
      <c r="T763" t="s">
        <v>1992</v>
      </c>
      <c r="U763" t="s">
        <v>1992</v>
      </c>
      <c r="V763" t="s">
        <v>1991</v>
      </c>
      <c r="W763" t="s">
        <v>1992</v>
      </c>
      <c r="X763" t="s">
        <v>1992</v>
      </c>
      <c r="Y763" t="s">
        <v>1991</v>
      </c>
      <c r="Z763" t="s">
        <v>1992</v>
      </c>
      <c r="AF763" t="s">
        <v>2064</v>
      </c>
      <c r="AG763" t="s">
        <v>1991</v>
      </c>
      <c r="AH763">
        <v>30</v>
      </c>
      <c r="AI763">
        <v>30</v>
      </c>
      <c r="AJ763" t="s">
        <v>2885</v>
      </c>
      <c r="AK763">
        <v>35</v>
      </c>
      <c r="AL763">
        <v>659000</v>
      </c>
      <c r="AM763" t="s">
        <v>2298</v>
      </c>
      <c r="AN763" t="s">
        <v>2886</v>
      </c>
      <c r="AO763" t="s">
        <v>2063</v>
      </c>
      <c r="BF763" t="s">
        <v>1053</v>
      </c>
      <c r="BG763" t="s">
        <v>309</v>
      </c>
      <c r="BH763" t="s">
        <v>2301</v>
      </c>
      <c r="BI763" t="s">
        <v>1053</v>
      </c>
      <c r="BK763" t="s">
        <v>1053</v>
      </c>
      <c r="BO763" t="s">
        <v>1053</v>
      </c>
      <c r="BP763" t="s">
        <v>310</v>
      </c>
      <c r="BQ763" t="s">
        <v>311</v>
      </c>
      <c r="BR763" t="s">
        <v>1053</v>
      </c>
      <c r="BS763" t="s">
        <v>1053</v>
      </c>
      <c r="BT763" t="s">
        <v>1053</v>
      </c>
      <c r="BU763" t="s">
        <v>1053</v>
      </c>
      <c r="BX763" t="str">
        <f>""</f>
        <v/>
      </c>
      <c r="BY763" t="str">
        <f>""</f>
        <v/>
      </c>
      <c r="BZ763" t="str">
        <f>""</f>
        <v/>
      </c>
      <c r="CA763" t="str">
        <f>""</f>
        <v/>
      </c>
      <c r="CB763" t="str">
        <f>""</f>
        <v/>
      </c>
      <c r="CC763" t="str">
        <f>""</f>
        <v/>
      </c>
      <c r="CD763" t="str">
        <f>""</f>
        <v/>
      </c>
      <c r="CE763" t="str">
        <f>""</f>
        <v/>
      </c>
      <c r="CF763" t="str">
        <f>""</f>
        <v/>
      </c>
      <c r="CG763" t="str">
        <f>""</f>
        <v/>
      </c>
      <c r="CH763" t="str">
        <f>""</f>
        <v/>
      </c>
    </row>
    <row r="764" spans="1:86" x14ac:dyDescent="0.25">
      <c r="A764" t="s">
        <v>2887</v>
      </c>
      <c r="B764" t="s">
        <v>2888</v>
      </c>
      <c r="C764" t="s">
        <v>1992</v>
      </c>
      <c r="D764" t="s">
        <v>1993</v>
      </c>
      <c r="E764" t="s">
        <v>2889</v>
      </c>
      <c r="F764" t="s">
        <v>2890</v>
      </c>
      <c r="H764" t="s">
        <v>2848</v>
      </c>
      <c r="I764" t="s">
        <v>2061</v>
      </c>
      <c r="J764" t="str">
        <f>"94102"</f>
        <v>94102</v>
      </c>
      <c r="K764" t="s">
        <v>1998</v>
      </c>
      <c r="L764" t="s">
        <v>2062</v>
      </c>
      <c r="M764" t="s">
        <v>2063</v>
      </c>
      <c r="N764" t="s">
        <v>1992</v>
      </c>
      <c r="O764" t="s">
        <v>1992</v>
      </c>
      <c r="P764" t="s">
        <v>1992</v>
      </c>
      <c r="Q764" t="s">
        <v>1992</v>
      </c>
      <c r="R764" t="s">
        <v>1992</v>
      </c>
      <c r="S764" t="s">
        <v>1992</v>
      </c>
      <c r="T764" t="s">
        <v>1992</v>
      </c>
      <c r="U764" t="s">
        <v>1992</v>
      </c>
      <c r="V764" t="s">
        <v>1991</v>
      </c>
      <c r="Y764" t="s">
        <v>1991</v>
      </c>
      <c r="AF764" t="s">
        <v>2064</v>
      </c>
      <c r="AG764" t="s">
        <v>1991</v>
      </c>
      <c r="AH764">
        <v>15</v>
      </c>
      <c r="AI764">
        <v>15</v>
      </c>
      <c r="AJ764" t="s">
        <v>2891</v>
      </c>
      <c r="AK764">
        <v>44</v>
      </c>
      <c r="BX764" t="str">
        <f>""</f>
        <v/>
      </c>
      <c r="BY764" t="str">
        <f>""</f>
        <v/>
      </c>
      <c r="BZ764" t="str">
        <f>""</f>
        <v/>
      </c>
      <c r="CA764" t="str">
        <f>""</f>
        <v/>
      </c>
      <c r="CB764" t="str">
        <f>""</f>
        <v/>
      </c>
      <c r="CC764" t="str">
        <f>""</f>
        <v/>
      </c>
      <c r="CD764" t="str">
        <f>""</f>
        <v/>
      </c>
      <c r="CE764" t="str">
        <f>""</f>
        <v/>
      </c>
      <c r="CF764" t="str">
        <f>""</f>
        <v/>
      </c>
      <c r="CG764" t="str">
        <f>""</f>
        <v/>
      </c>
      <c r="CH764" t="str">
        <f>""</f>
        <v/>
      </c>
    </row>
    <row r="765" spans="1:86" x14ac:dyDescent="0.25">
      <c r="A765" t="s">
        <v>2892</v>
      </c>
      <c r="B765" t="s">
        <v>2893</v>
      </c>
      <c r="C765" t="s">
        <v>1992</v>
      </c>
      <c r="D765" t="s">
        <v>1993</v>
      </c>
      <c r="E765" t="s">
        <v>2894</v>
      </c>
      <c r="F765" t="s">
        <v>2895</v>
      </c>
      <c r="H765" t="s">
        <v>2848</v>
      </c>
      <c r="I765" t="s">
        <v>2061</v>
      </c>
      <c r="J765" t="str">
        <f>"94133"</f>
        <v>94133</v>
      </c>
      <c r="K765" t="s">
        <v>1998</v>
      </c>
      <c r="L765" t="s">
        <v>2062</v>
      </c>
      <c r="M765" t="s">
        <v>2063</v>
      </c>
      <c r="N765" t="s">
        <v>1992</v>
      </c>
      <c r="O765" t="s">
        <v>1992</v>
      </c>
      <c r="P765" t="s">
        <v>1992</v>
      </c>
      <c r="Q765" t="s">
        <v>1992</v>
      </c>
      <c r="R765" t="s">
        <v>1992</v>
      </c>
      <c r="S765" t="s">
        <v>1992</v>
      </c>
      <c r="T765" t="s">
        <v>1992</v>
      </c>
      <c r="U765" t="s">
        <v>1992</v>
      </c>
      <c r="V765" t="s">
        <v>1991</v>
      </c>
      <c r="W765" t="s">
        <v>1992</v>
      </c>
      <c r="X765" t="s">
        <v>1992</v>
      </c>
      <c r="Y765" t="s">
        <v>1991</v>
      </c>
      <c r="Z765" t="s">
        <v>1992</v>
      </c>
      <c r="AF765" t="s">
        <v>2064</v>
      </c>
      <c r="AG765" t="s">
        <v>1991</v>
      </c>
      <c r="AH765">
        <v>30</v>
      </c>
      <c r="AI765">
        <v>30</v>
      </c>
      <c r="AJ765" t="s">
        <v>2896</v>
      </c>
      <c r="AK765">
        <v>10</v>
      </c>
      <c r="AL765">
        <v>659000</v>
      </c>
      <c r="AM765" t="s">
        <v>2897</v>
      </c>
      <c r="AN765" t="s">
        <v>3819</v>
      </c>
      <c r="AO765" t="s">
        <v>2063</v>
      </c>
      <c r="BF765" t="s">
        <v>1053</v>
      </c>
      <c r="BG765" t="s">
        <v>309</v>
      </c>
      <c r="BH765" t="s">
        <v>2301</v>
      </c>
      <c r="BI765" t="s">
        <v>1053</v>
      </c>
      <c r="BK765" t="s">
        <v>1053</v>
      </c>
      <c r="BO765" t="s">
        <v>1053</v>
      </c>
      <c r="BP765" t="s">
        <v>310</v>
      </c>
      <c r="BQ765" t="s">
        <v>311</v>
      </c>
      <c r="BR765" t="s">
        <v>1053</v>
      </c>
      <c r="BS765" t="s">
        <v>1053</v>
      </c>
      <c r="BT765" t="s">
        <v>1053</v>
      </c>
      <c r="BU765" t="s">
        <v>1053</v>
      </c>
      <c r="BX765" t="str">
        <f>""</f>
        <v/>
      </c>
      <c r="BY765" t="str">
        <f>""</f>
        <v/>
      </c>
      <c r="BZ765" t="str">
        <f>""</f>
        <v/>
      </c>
      <c r="CA765" t="str">
        <f>""</f>
        <v/>
      </c>
      <c r="CB765" t="str">
        <f>""</f>
        <v/>
      </c>
      <c r="CC765" t="str">
        <f>""</f>
        <v/>
      </c>
      <c r="CD765" t="str">
        <f>""</f>
        <v/>
      </c>
      <c r="CE765" t="str">
        <f>""</f>
        <v/>
      </c>
      <c r="CF765" t="str">
        <f>""</f>
        <v/>
      </c>
      <c r="CG765" t="str">
        <f>""</f>
        <v/>
      </c>
      <c r="CH765" t="str">
        <f>""</f>
        <v/>
      </c>
    </row>
    <row r="766" spans="1:86" x14ac:dyDescent="0.25">
      <c r="A766" t="s">
        <v>2898</v>
      </c>
      <c r="B766" t="s">
        <v>2899</v>
      </c>
      <c r="C766" t="s">
        <v>1992</v>
      </c>
      <c r="D766" t="s">
        <v>1993</v>
      </c>
      <c r="E766" t="s">
        <v>2900</v>
      </c>
      <c r="F766" t="s">
        <v>2901</v>
      </c>
      <c r="H766" t="s">
        <v>2902</v>
      </c>
      <c r="I766" t="s">
        <v>401</v>
      </c>
      <c r="J766" t="str">
        <f>"83860"</f>
        <v>83860</v>
      </c>
      <c r="K766" t="s">
        <v>1998</v>
      </c>
      <c r="L766" t="s">
        <v>231</v>
      </c>
      <c r="M766" t="s">
        <v>2000</v>
      </c>
      <c r="N766" t="s">
        <v>1992</v>
      </c>
      <c r="O766" t="s">
        <v>1992</v>
      </c>
      <c r="P766" t="s">
        <v>1992</v>
      </c>
      <c r="Q766" t="s">
        <v>1992</v>
      </c>
      <c r="R766" t="s">
        <v>1992</v>
      </c>
      <c r="S766" t="s">
        <v>1992</v>
      </c>
      <c r="T766" t="s">
        <v>1992</v>
      </c>
      <c r="U766" t="s">
        <v>1992</v>
      </c>
      <c r="V766" t="s">
        <v>1991</v>
      </c>
      <c r="Z766" t="s">
        <v>1991</v>
      </c>
      <c r="AF766" t="s">
        <v>2064</v>
      </c>
      <c r="AG766" t="s">
        <v>1991</v>
      </c>
      <c r="AH766">
        <v>15</v>
      </c>
      <c r="AI766">
        <v>15</v>
      </c>
      <c r="AJ766" t="s">
        <v>2903</v>
      </c>
      <c r="AK766">
        <v>2206</v>
      </c>
      <c r="BX766" t="str">
        <f>""</f>
        <v/>
      </c>
      <c r="BY766" t="str">
        <f>""</f>
        <v/>
      </c>
      <c r="BZ766" t="str">
        <f>""</f>
        <v/>
      </c>
      <c r="CA766" t="str">
        <f>""</f>
        <v/>
      </c>
      <c r="CB766" t="str">
        <f>""</f>
        <v/>
      </c>
      <c r="CC766" t="str">
        <f>""</f>
        <v/>
      </c>
      <c r="CD766" t="str">
        <f>""</f>
        <v/>
      </c>
      <c r="CE766" t="str">
        <f>""</f>
        <v/>
      </c>
      <c r="CF766" t="str">
        <f>""</f>
        <v/>
      </c>
      <c r="CG766" t="str">
        <f>""</f>
        <v/>
      </c>
      <c r="CH766" t="str">
        <f>""</f>
        <v/>
      </c>
    </row>
    <row r="767" spans="1:86" x14ac:dyDescent="0.25">
      <c r="A767" t="s">
        <v>2904</v>
      </c>
      <c r="B767" t="s">
        <v>2905</v>
      </c>
      <c r="C767" t="s">
        <v>1992</v>
      </c>
      <c r="D767" t="s">
        <v>2010</v>
      </c>
      <c r="E767" t="s">
        <v>2906</v>
      </c>
      <c r="F767" t="s">
        <v>2907</v>
      </c>
      <c r="H767" t="s">
        <v>2908</v>
      </c>
      <c r="I767" t="s">
        <v>2352</v>
      </c>
      <c r="J767" t="str">
        <f>"48607"</f>
        <v>48607</v>
      </c>
      <c r="K767" t="s">
        <v>1998</v>
      </c>
      <c r="L767" t="s">
        <v>1999</v>
      </c>
      <c r="M767" t="s">
        <v>2909</v>
      </c>
      <c r="N767" t="s">
        <v>1992</v>
      </c>
      <c r="O767" t="s">
        <v>1992</v>
      </c>
      <c r="P767" t="s">
        <v>1992</v>
      </c>
      <c r="Q767" t="s">
        <v>1992</v>
      </c>
      <c r="R767" t="s">
        <v>1992</v>
      </c>
      <c r="S767" t="s">
        <v>1992</v>
      </c>
      <c r="T767" t="s">
        <v>1992</v>
      </c>
      <c r="U767" t="s">
        <v>1992</v>
      </c>
      <c r="V767" t="s">
        <v>1991</v>
      </c>
      <c r="Z767" t="s">
        <v>1991</v>
      </c>
      <c r="AE767" t="s">
        <v>539</v>
      </c>
      <c r="AF767" t="s">
        <v>2016</v>
      </c>
      <c r="AG767" t="s">
        <v>1991</v>
      </c>
      <c r="AH767">
        <v>30</v>
      </c>
      <c r="AI767">
        <v>30</v>
      </c>
      <c r="AJ767" t="s">
        <v>2910</v>
      </c>
      <c r="AK767">
        <v>594</v>
      </c>
      <c r="BF767" t="s">
        <v>1053</v>
      </c>
      <c r="BG767" t="s">
        <v>541</v>
      </c>
      <c r="BH767" t="s">
        <v>2312</v>
      </c>
      <c r="BI767" t="s">
        <v>1053</v>
      </c>
      <c r="BK767" t="s">
        <v>1053</v>
      </c>
      <c r="BO767" t="s">
        <v>1053</v>
      </c>
      <c r="BP767" t="s">
        <v>542</v>
      </c>
      <c r="BQ767" t="s">
        <v>2316</v>
      </c>
      <c r="BR767" t="s">
        <v>1053</v>
      </c>
      <c r="BT767" t="s">
        <v>1053</v>
      </c>
      <c r="BX767" t="str">
        <f>""</f>
        <v/>
      </c>
      <c r="BY767" t="str">
        <f>""</f>
        <v/>
      </c>
      <c r="BZ767" t="str">
        <f>""</f>
        <v/>
      </c>
      <c r="CA767" t="str">
        <f>""</f>
        <v/>
      </c>
      <c r="CB767" t="str">
        <f>""</f>
        <v/>
      </c>
      <c r="CC767" t="str">
        <f>""</f>
        <v/>
      </c>
      <c r="CD767" t="str">
        <f>""</f>
        <v/>
      </c>
      <c r="CE767" t="str">
        <f>""</f>
        <v/>
      </c>
      <c r="CF767" t="str">
        <f>""</f>
        <v/>
      </c>
      <c r="CG767" t="str">
        <f>""</f>
        <v/>
      </c>
      <c r="CH767" t="str">
        <f>""</f>
        <v/>
      </c>
    </row>
    <row r="768" spans="1:86" x14ac:dyDescent="0.25">
      <c r="A768" t="s">
        <v>2911</v>
      </c>
      <c r="B768" t="s">
        <v>2912</v>
      </c>
      <c r="C768" t="s">
        <v>1992</v>
      </c>
      <c r="D768" t="s">
        <v>1993</v>
      </c>
      <c r="E768" t="s">
        <v>2913</v>
      </c>
      <c r="F768" t="s">
        <v>2914</v>
      </c>
      <c r="H768" t="s">
        <v>2915</v>
      </c>
      <c r="I768" t="s">
        <v>1997</v>
      </c>
      <c r="J768" t="str">
        <f>"53081"</f>
        <v>53081</v>
      </c>
      <c r="K768" t="s">
        <v>1998</v>
      </c>
      <c r="L768" t="s">
        <v>1999</v>
      </c>
      <c r="M768" t="s">
        <v>2000</v>
      </c>
      <c r="N768" t="s">
        <v>1992</v>
      </c>
      <c r="O768" t="s">
        <v>1992</v>
      </c>
      <c r="P768" t="s">
        <v>1992</v>
      </c>
      <c r="Q768" t="s">
        <v>1992</v>
      </c>
      <c r="R768" t="s">
        <v>1992</v>
      </c>
      <c r="S768" t="s">
        <v>1992</v>
      </c>
      <c r="T768" t="s">
        <v>1992</v>
      </c>
      <c r="U768" t="s">
        <v>1992</v>
      </c>
      <c r="V768" t="s">
        <v>1991</v>
      </c>
      <c r="Z768" t="s">
        <v>1991</v>
      </c>
      <c r="AF768" t="s">
        <v>2001</v>
      </c>
      <c r="AG768" t="s">
        <v>1991</v>
      </c>
      <c r="AH768">
        <v>15</v>
      </c>
      <c r="AI768">
        <v>15</v>
      </c>
      <c r="AJ768" t="s">
        <v>2916</v>
      </c>
      <c r="AK768">
        <v>628</v>
      </c>
      <c r="BF768" t="s">
        <v>1053</v>
      </c>
      <c r="BG768" t="s">
        <v>2003</v>
      </c>
      <c r="BH768" t="s">
        <v>2004</v>
      </c>
      <c r="BI768" t="s">
        <v>1053</v>
      </c>
      <c r="BK768" t="s">
        <v>1053</v>
      </c>
      <c r="BO768" t="s">
        <v>1053</v>
      </c>
      <c r="BP768" t="s">
        <v>2005</v>
      </c>
      <c r="BQ768" t="s">
        <v>2006</v>
      </c>
      <c r="BR768" t="s">
        <v>1053</v>
      </c>
      <c r="BS768" t="s">
        <v>1053</v>
      </c>
      <c r="BT768" t="s">
        <v>1053</v>
      </c>
      <c r="BU768" t="s">
        <v>1053</v>
      </c>
      <c r="BX768" t="str">
        <f>""</f>
        <v/>
      </c>
      <c r="BY768" t="str">
        <f>""</f>
        <v/>
      </c>
      <c r="BZ768" t="str">
        <f>""</f>
        <v/>
      </c>
      <c r="CA768" t="str">
        <f>""</f>
        <v/>
      </c>
      <c r="CB768" t="str">
        <f>""</f>
        <v/>
      </c>
      <c r="CC768" t="str">
        <f>""</f>
        <v/>
      </c>
      <c r="CD768" t="str">
        <f>""</f>
        <v/>
      </c>
      <c r="CE768" t="str">
        <f>""</f>
        <v/>
      </c>
      <c r="CF768" t="str">
        <f>""</f>
        <v/>
      </c>
      <c r="CG768" t="str">
        <f>""</f>
        <v/>
      </c>
      <c r="CH768" t="str">
        <f>""</f>
        <v/>
      </c>
    </row>
    <row r="769" spans="1:86" x14ac:dyDescent="0.25">
      <c r="A769" t="s">
        <v>2917</v>
      </c>
      <c r="B769" t="s">
        <v>2918</v>
      </c>
      <c r="C769" t="s">
        <v>1992</v>
      </c>
      <c r="D769" t="s">
        <v>1993</v>
      </c>
      <c r="E769" t="s">
        <v>2919</v>
      </c>
      <c r="F769" t="s">
        <v>2920</v>
      </c>
      <c r="H769" t="s">
        <v>2921</v>
      </c>
      <c r="I769" t="s">
        <v>830</v>
      </c>
      <c r="J769" t="str">
        <f>"71109-7764"</f>
        <v>71109-7764</v>
      </c>
      <c r="K769" t="s">
        <v>1998</v>
      </c>
      <c r="L769" t="s">
        <v>2045</v>
      </c>
      <c r="M769" t="s">
        <v>2000</v>
      </c>
      <c r="N769" t="s">
        <v>1992</v>
      </c>
      <c r="O769" t="s">
        <v>1992</v>
      </c>
      <c r="P769" t="s">
        <v>1992</v>
      </c>
      <c r="Q769" t="s">
        <v>1992</v>
      </c>
      <c r="R769" t="s">
        <v>1992</v>
      </c>
      <c r="S769" t="s">
        <v>1992</v>
      </c>
      <c r="T769" t="s">
        <v>1992</v>
      </c>
      <c r="U769" t="s">
        <v>1992</v>
      </c>
      <c r="V769" t="s">
        <v>1991</v>
      </c>
      <c r="W769" t="s">
        <v>1992</v>
      </c>
      <c r="X769" t="s">
        <v>1992</v>
      </c>
      <c r="Y769" t="s">
        <v>1991</v>
      </c>
      <c r="AF769" t="s">
        <v>2001</v>
      </c>
      <c r="AG769" t="s">
        <v>1991</v>
      </c>
      <c r="AH769">
        <v>30</v>
      </c>
      <c r="AI769">
        <v>30</v>
      </c>
      <c r="AJ769" t="s">
        <v>2922</v>
      </c>
      <c r="AK769">
        <v>250</v>
      </c>
      <c r="AL769">
        <v>219000</v>
      </c>
      <c r="BF769" t="s">
        <v>1053</v>
      </c>
      <c r="BG769" t="s">
        <v>235</v>
      </c>
      <c r="BH769" t="s">
        <v>433</v>
      </c>
      <c r="BI769" t="s">
        <v>1053</v>
      </c>
      <c r="BK769" t="s">
        <v>1053</v>
      </c>
      <c r="BO769" t="s">
        <v>1053</v>
      </c>
      <c r="BP769" t="s">
        <v>2101</v>
      </c>
      <c r="BQ769" t="s">
        <v>4981</v>
      </c>
      <c r="BR769" t="s">
        <v>1053</v>
      </c>
      <c r="BS769" t="s">
        <v>1053</v>
      </c>
      <c r="BX769" t="str">
        <f>""</f>
        <v/>
      </c>
      <c r="BY769" t="str">
        <f>""</f>
        <v/>
      </c>
      <c r="BZ769" t="str">
        <f>""</f>
        <v/>
      </c>
      <c r="CA769" t="str">
        <f>""</f>
        <v/>
      </c>
      <c r="CB769" t="str">
        <f>""</f>
        <v/>
      </c>
      <c r="CC769" t="str">
        <f>""</f>
        <v/>
      </c>
      <c r="CD769" t="str">
        <f>""</f>
        <v/>
      </c>
      <c r="CE769" t="str">
        <f>""</f>
        <v/>
      </c>
      <c r="CF769" t="str">
        <f>""</f>
        <v/>
      </c>
      <c r="CG769" t="str">
        <f>""</f>
        <v/>
      </c>
      <c r="CH769" t="str">
        <f>""</f>
        <v/>
      </c>
    </row>
    <row r="770" spans="1:86" x14ac:dyDescent="0.25">
      <c r="A770" t="s">
        <v>2923</v>
      </c>
      <c r="B770" t="s">
        <v>2924</v>
      </c>
      <c r="C770" t="s">
        <v>1992</v>
      </c>
      <c r="D770" t="s">
        <v>1993</v>
      </c>
      <c r="E770" t="s">
        <v>2925</v>
      </c>
      <c r="F770" t="s">
        <v>2926</v>
      </c>
      <c r="H770" t="s">
        <v>2927</v>
      </c>
      <c r="I770" t="s">
        <v>1997</v>
      </c>
      <c r="J770" t="str">
        <f>"54166-6160"</f>
        <v>54166-6160</v>
      </c>
      <c r="K770" t="s">
        <v>1998</v>
      </c>
      <c r="L770" t="s">
        <v>1999</v>
      </c>
      <c r="M770" t="s">
        <v>2000</v>
      </c>
      <c r="N770" t="s">
        <v>1992</v>
      </c>
      <c r="O770" t="s">
        <v>1992</v>
      </c>
      <c r="P770" t="s">
        <v>1992</v>
      </c>
      <c r="Q770" t="s">
        <v>1992</v>
      </c>
      <c r="R770" t="s">
        <v>1992</v>
      </c>
      <c r="S770" t="s">
        <v>1992</v>
      </c>
      <c r="T770" t="s">
        <v>1992</v>
      </c>
      <c r="U770" t="s">
        <v>1992</v>
      </c>
      <c r="V770" t="s">
        <v>1991</v>
      </c>
      <c r="Z770" t="s">
        <v>1991</v>
      </c>
      <c r="AF770" t="s">
        <v>2001</v>
      </c>
      <c r="AG770" t="s">
        <v>1991</v>
      </c>
      <c r="AH770">
        <v>15</v>
      </c>
      <c r="AI770">
        <v>15</v>
      </c>
      <c r="AJ770" t="s">
        <v>2928</v>
      </c>
      <c r="AK770">
        <v>876</v>
      </c>
      <c r="BF770" t="s">
        <v>1053</v>
      </c>
      <c r="BG770" t="s">
        <v>2003</v>
      </c>
      <c r="BH770" t="s">
        <v>2004</v>
      </c>
      <c r="BI770" t="s">
        <v>1053</v>
      </c>
      <c r="BK770" t="s">
        <v>1053</v>
      </c>
      <c r="BM770" t="s">
        <v>287</v>
      </c>
      <c r="BO770" t="s">
        <v>1053</v>
      </c>
      <c r="BP770" t="s">
        <v>2005</v>
      </c>
      <c r="BQ770" t="s">
        <v>2006</v>
      </c>
      <c r="BR770" t="s">
        <v>1053</v>
      </c>
      <c r="BS770" t="s">
        <v>1053</v>
      </c>
      <c r="BT770" t="s">
        <v>1053</v>
      </c>
      <c r="BU770" t="s">
        <v>1053</v>
      </c>
      <c r="BX770" t="str">
        <f>""</f>
        <v/>
      </c>
      <c r="BY770" t="str">
        <f>""</f>
        <v/>
      </c>
      <c r="BZ770" t="str">
        <f>""</f>
        <v/>
      </c>
      <c r="CA770" t="str">
        <f>""</f>
        <v/>
      </c>
      <c r="CB770" t="str">
        <f>""</f>
        <v/>
      </c>
      <c r="CC770" t="str">
        <f>""</f>
        <v/>
      </c>
      <c r="CD770" t="str">
        <f>""</f>
        <v/>
      </c>
      <c r="CE770" t="str">
        <f>""</f>
        <v/>
      </c>
      <c r="CF770" t="str">
        <f>""</f>
        <v/>
      </c>
      <c r="CG770" t="str">
        <f>""</f>
        <v/>
      </c>
      <c r="CH770" t="str">
        <f>""</f>
        <v/>
      </c>
    </row>
    <row r="771" spans="1:86" x14ac:dyDescent="0.25">
      <c r="A771" t="s">
        <v>2929</v>
      </c>
      <c r="B771" t="s">
        <v>2930</v>
      </c>
      <c r="C771" t="s">
        <v>1992</v>
      </c>
      <c r="D771" t="s">
        <v>1993</v>
      </c>
      <c r="E771" t="s">
        <v>2931</v>
      </c>
      <c r="F771" t="s">
        <v>2932</v>
      </c>
      <c r="H771" t="s">
        <v>2933</v>
      </c>
      <c r="I771" t="s">
        <v>401</v>
      </c>
      <c r="J771" t="str">
        <f>"83864"</f>
        <v>83864</v>
      </c>
      <c r="K771" t="s">
        <v>1998</v>
      </c>
      <c r="L771" t="s">
        <v>231</v>
      </c>
      <c r="M771" t="s">
        <v>2000</v>
      </c>
      <c r="N771" t="s">
        <v>1992</v>
      </c>
      <c r="O771" t="s">
        <v>1992</v>
      </c>
      <c r="P771" t="s">
        <v>1992</v>
      </c>
      <c r="Q771" t="s">
        <v>1992</v>
      </c>
      <c r="R771" t="s">
        <v>1992</v>
      </c>
      <c r="S771" t="s">
        <v>1992</v>
      </c>
      <c r="T771" t="s">
        <v>1992</v>
      </c>
      <c r="U771" t="s">
        <v>1992</v>
      </c>
      <c r="V771" t="s">
        <v>1991</v>
      </c>
      <c r="Z771" t="s">
        <v>1991</v>
      </c>
      <c r="AB771" t="s">
        <v>2793</v>
      </c>
      <c r="AF771" t="s">
        <v>2064</v>
      </c>
      <c r="AG771" t="s">
        <v>1991</v>
      </c>
      <c r="AH771">
        <v>15</v>
      </c>
      <c r="AI771">
        <v>15</v>
      </c>
      <c r="AJ771" t="s">
        <v>2934</v>
      </c>
      <c r="AK771">
        <v>2093</v>
      </c>
      <c r="AM771" t="s">
        <v>2935</v>
      </c>
      <c r="BF771" t="s">
        <v>1053</v>
      </c>
      <c r="BG771" t="s">
        <v>6199</v>
      </c>
      <c r="BH771" t="s">
        <v>3036</v>
      </c>
      <c r="BI771" t="s">
        <v>1053</v>
      </c>
      <c r="BO771" t="s">
        <v>2936</v>
      </c>
      <c r="BP771" t="s">
        <v>2936</v>
      </c>
      <c r="BQ771" t="s">
        <v>2936</v>
      </c>
      <c r="BR771" t="s">
        <v>2063</v>
      </c>
      <c r="BX771" t="str">
        <f>""</f>
        <v/>
      </c>
      <c r="BY771" t="str">
        <f>""</f>
        <v/>
      </c>
      <c r="BZ771" t="str">
        <f>""</f>
        <v/>
      </c>
      <c r="CA771" t="str">
        <f>""</f>
        <v/>
      </c>
      <c r="CB771" t="str">
        <f>""</f>
        <v/>
      </c>
      <c r="CC771" t="str">
        <f>""</f>
        <v/>
      </c>
      <c r="CD771" t="str">
        <f>""</f>
        <v/>
      </c>
      <c r="CE771" t="str">
        <f>""</f>
        <v/>
      </c>
      <c r="CF771" t="str">
        <f>""</f>
        <v/>
      </c>
      <c r="CG771" t="str">
        <f>""</f>
        <v/>
      </c>
      <c r="CH771" t="str">
        <f>""</f>
        <v/>
      </c>
    </row>
    <row r="772" spans="1:86" x14ac:dyDescent="0.25">
      <c r="A772" t="s">
        <v>2937</v>
      </c>
      <c r="B772" t="s">
        <v>2938</v>
      </c>
      <c r="C772" t="s">
        <v>1992</v>
      </c>
      <c r="D772" t="s">
        <v>2331</v>
      </c>
      <c r="E772" t="s">
        <v>2939</v>
      </c>
      <c r="F772" t="s">
        <v>2940</v>
      </c>
      <c r="H772" t="s">
        <v>2941</v>
      </c>
      <c r="I772" t="s">
        <v>2061</v>
      </c>
      <c r="J772" t="str">
        <f>"93063"</f>
        <v>93063</v>
      </c>
      <c r="K772" t="s">
        <v>1998</v>
      </c>
      <c r="L772" t="s">
        <v>2045</v>
      </c>
      <c r="M772" t="s">
        <v>2063</v>
      </c>
      <c r="N772" t="s">
        <v>1992</v>
      </c>
      <c r="O772" t="s">
        <v>1992</v>
      </c>
      <c r="P772" t="s">
        <v>1991</v>
      </c>
      <c r="Q772" t="s">
        <v>1992</v>
      </c>
      <c r="R772" t="s">
        <v>1992</v>
      </c>
      <c r="S772" t="s">
        <v>1992</v>
      </c>
      <c r="T772" t="s">
        <v>1992</v>
      </c>
      <c r="U772" t="s">
        <v>1992</v>
      </c>
      <c r="V772" t="s">
        <v>1991</v>
      </c>
      <c r="W772" t="s">
        <v>1991</v>
      </c>
      <c r="X772" t="s">
        <v>1991</v>
      </c>
      <c r="Y772" t="s">
        <v>1991</v>
      </c>
      <c r="Z772" t="s">
        <v>1992</v>
      </c>
      <c r="AA772" t="s">
        <v>1992</v>
      </c>
      <c r="AF772" t="s">
        <v>2064</v>
      </c>
      <c r="AG772" t="s">
        <v>1991</v>
      </c>
      <c r="AH772">
        <v>30</v>
      </c>
      <c r="AI772">
        <v>30</v>
      </c>
      <c r="AJ772" t="s">
        <v>2942</v>
      </c>
      <c r="AK772">
        <v>988</v>
      </c>
      <c r="AL772">
        <v>85000</v>
      </c>
      <c r="AM772" t="s">
        <v>2298</v>
      </c>
      <c r="AN772" t="s">
        <v>2066</v>
      </c>
      <c r="AO772" t="s">
        <v>2063</v>
      </c>
      <c r="BF772" t="s">
        <v>1053</v>
      </c>
      <c r="BG772" t="s">
        <v>2067</v>
      </c>
      <c r="BH772" t="s">
        <v>275</v>
      </c>
      <c r="BI772" t="s">
        <v>1053</v>
      </c>
      <c r="BJ772" t="s">
        <v>2069</v>
      </c>
      <c r="BK772" t="s">
        <v>1053</v>
      </c>
      <c r="BL772" t="s">
        <v>2069</v>
      </c>
      <c r="BM772" t="s">
        <v>276</v>
      </c>
      <c r="BN772" t="s">
        <v>277</v>
      </c>
      <c r="BO772" t="s">
        <v>1053</v>
      </c>
      <c r="BP772" t="s">
        <v>2067</v>
      </c>
      <c r="BQ772" t="s">
        <v>275</v>
      </c>
      <c r="BR772" t="s">
        <v>1053</v>
      </c>
      <c r="BX772" t="str">
        <f>""</f>
        <v/>
      </c>
      <c r="BY772" t="str">
        <f>""</f>
        <v/>
      </c>
      <c r="BZ772" t="str">
        <f>""</f>
        <v/>
      </c>
      <c r="CA772" t="str">
        <f>""</f>
        <v/>
      </c>
      <c r="CB772" t="str">
        <f>""</f>
        <v/>
      </c>
      <c r="CC772" t="str">
        <f>""</f>
        <v/>
      </c>
      <c r="CD772" t="str">
        <f>"SMTWTFS 0000-2359"</f>
        <v>SMTWTFS 0000-2359</v>
      </c>
      <c r="CE772" t="str">
        <f>""</f>
        <v/>
      </c>
      <c r="CF772" t="str">
        <f>""</f>
        <v/>
      </c>
      <c r="CG772" t="str">
        <f>""</f>
        <v/>
      </c>
      <c r="CH772" t="str">
        <f>""</f>
        <v/>
      </c>
    </row>
    <row r="773" spans="1:86" x14ac:dyDescent="0.25">
      <c r="A773" t="s">
        <v>2943</v>
      </c>
      <c r="B773" t="s">
        <v>2944</v>
      </c>
      <c r="C773" t="s">
        <v>1991</v>
      </c>
      <c r="D773" t="s">
        <v>2010</v>
      </c>
      <c r="E773" t="s">
        <v>2945</v>
      </c>
      <c r="F773" t="s">
        <v>2946</v>
      </c>
      <c r="H773" t="s">
        <v>2947</v>
      </c>
      <c r="I773" t="s">
        <v>2061</v>
      </c>
      <c r="J773" t="str">
        <f>"95110"</f>
        <v>95110</v>
      </c>
      <c r="K773" t="s">
        <v>1998</v>
      </c>
      <c r="L773" t="s">
        <v>2062</v>
      </c>
      <c r="M773" t="s">
        <v>2948</v>
      </c>
      <c r="N773" t="s">
        <v>1991</v>
      </c>
      <c r="O773" t="s">
        <v>1991</v>
      </c>
      <c r="P773" t="s">
        <v>1992</v>
      </c>
      <c r="Q773" t="s">
        <v>1991</v>
      </c>
      <c r="R773" t="s">
        <v>1991</v>
      </c>
      <c r="S773" t="s">
        <v>1992</v>
      </c>
      <c r="T773" t="s">
        <v>1992</v>
      </c>
      <c r="U773" t="s">
        <v>1991</v>
      </c>
      <c r="V773" t="s">
        <v>1991</v>
      </c>
      <c r="W773" t="s">
        <v>1991</v>
      </c>
      <c r="X773" t="s">
        <v>1991</v>
      </c>
      <c r="Y773" t="s">
        <v>1991</v>
      </c>
      <c r="Z773" t="s">
        <v>1992</v>
      </c>
      <c r="AA773" t="s">
        <v>1991</v>
      </c>
      <c r="AE773" t="s">
        <v>2949</v>
      </c>
      <c r="AF773" t="s">
        <v>2064</v>
      </c>
      <c r="AG773" t="s">
        <v>1991</v>
      </c>
      <c r="AH773">
        <v>45</v>
      </c>
      <c r="AI773">
        <v>30</v>
      </c>
      <c r="AJ773" t="s">
        <v>2950</v>
      </c>
      <c r="AK773">
        <v>97</v>
      </c>
      <c r="AL773">
        <v>929936</v>
      </c>
      <c r="AM773" t="s">
        <v>2298</v>
      </c>
      <c r="AN773" t="s">
        <v>1053</v>
      </c>
      <c r="AO773" t="s">
        <v>1053</v>
      </c>
      <c r="AP773" t="s">
        <v>2069</v>
      </c>
      <c r="AQ773" t="s">
        <v>1053</v>
      </c>
      <c r="AR773" t="s">
        <v>2069</v>
      </c>
      <c r="AS773" t="s">
        <v>2943</v>
      </c>
      <c r="AT773" t="s">
        <v>2951</v>
      </c>
      <c r="AU773" t="s">
        <v>1414</v>
      </c>
      <c r="AV773" t="s">
        <v>1053</v>
      </c>
      <c r="AW773" t="s">
        <v>2069</v>
      </c>
      <c r="AX773" t="s">
        <v>1053</v>
      </c>
      <c r="AY773" t="s">
        <v>2069</v>
      </c>
      <c r="AZ773" t="s">
        <v>2943</v>
      </c>
      <c r="BA773" t="s">
        <v>2951</v>
      </c>
      <c r="BB773" t="s">
        <v>1053</v>
      </c>
      <c r="BC773" t="s">
        <v>2069</v>
      </c>
      <c r="BD773" t="s">
        <v>1053</v>
      </c>
      <c r="BE773" t="s">
        <v>2069</v>
      </c>
      <c r="BF773" t="s">
        <v>1053</v>
      </c>
      <c r="BG773" t="s">
        <v>2067</v>
      </c>
      <c r="BH773" t="s">
        <v>3489</v>
      </c>
      <c r="BI773" t="s">
        <v>1053</v>
      </c>
      <c r="BK773" t="s">
        <v>1053</v>
      </c>
      <c r="BO773" t="s">
        <v>1053</v>
      </c>
      <c r="BP773" t="s">
        <v>675</v>
      </c>
      <c r="BQ773" t="s">
        <v>2073</v>
      </c>
      <c r="BR773" t="s">
        <v>1053</v>
      </c>
      <c r="BS773" t="s">
        <v>1053</v>
      </c>
      <c r="BW773" t="s">
        <v>2075</v>
      </c>
      <c r="BX773" t="str">
        <f>"SMTWTFS 0600-2245"</f>
        <v>SMTWTFS 0600-2245</v>
      </c>
      <c r="BY773" t="str">
        <f>"SMTWTFS 0600-2200"</f>
        <v>SMTWTFS 0600-2200</v>
      </c>
      <c r="BZ773" t="str">
        <f>"SMTWTFS 0600-2245"</f>
        <v>SMTWTFS 0600-2245</v>
      </c>
      <c r="CA773" t="str">
        <f>"SMTWTFS 0600-2200"</f>
        <v>SMTWTFS 0600-2200</v>
      </c>
      <c r="CB773" t="str">
        <f>"SMTWTFS 0001-2359"</f>
        <v>SMTWTFS 0001-2359</v>
      </c>
      <c r="CC773" t="str">
        <f>"SMTWTFS 0001-2359"</f>
        <v>SMTWTFS 0001-2359</v>
      </c>
      <c r="CD773" t="str">
        <f>""</f>
        <v/>
      </c>
      <c r="CE773" t="str">
        <f>""</f>
        <v/>
      </c>
      <c r="CF773" t="str">
        <f>"SMTWTFS 1200-2100"</f>
        <v>SMTWTFS 1200-2100</v>
      </c>
      <c r="CG773" t="str">
        <f>""</f>
        <v/>
      </c>
      <c r="CH773" t="str">
        <f>"SMTWTFS 0001-2359"</f>
        <v>SMTWTFS 0001-2359</v>
      </c>
    </row>
    <row r="774" spans="1:86" x14ac:dyDescent="0.25">
      <c r="A774" t="s">
        <v>2952</v>
      </c>
      <c r="B774" t="s">
        <v>6250</v>
      </c>
      <c r="C774" t="s">
        <v>1992</v>
      </c>
      <c r="D774" t="s">
        <v>2010</v>
      </c>
      <c r="E774" t="s">
        <v>6251</v>
      </c>
      <c r="H774" t="s">
        <v>6252</v>
      </c>
      <c r="I774" t="s">
        <v>2352</v>
      </c>
      <c r="J774" t="str">
        <f>"49085"</f>
        <v>49085</v>
      </c>
      <c r="K774" t="s">
        <v>1998</v>
      </c>
      <c r="L774" t="s">
        <v>1999</v>
      </c>
      <c r="M774" t="s">
        <v>2063</v>
      </c>
      <c r="N774" t="s">
        <v>1992</v>
      </c>
      <c r="O774" t="s">
        <v>1991</v>
      </c>
      <c r="P774" t="s">
        <v>1992</v>
      </c>
      <c r="Q774" t="s">
        <v>1992</v>
      </c>
      <c r="R774" t="s">
        <v>1992</v>
      </c>
      <c r="S774" t="s">
        <v>1992</v>
      </c>
      <c r="T774" t="s">
        <v>1992</v>
      </c>
      <c r="U774" t="s">
        <v>1992</v>
      </c>
      <c r="V774" t="s">
        <v>1991</v>
      </c>
      <c r="W774" t="s">
        <v>1991</v>
      </c>
      <c r="X774" t="s">
        <v>1992</v>
      </c>
      <c r="Y774" t="s">
        <v>1992</v>
      </c>
      <c r="Z774" t="s">
        <v>1992</v>
      </c>
      <c r="AF774" t="s">
        <v>2016</v>
      </c>
      <c r="AG774" t="s">
        <v>1991</v>
      </c>
      <c r="AH774">
        <v>30</v>
      </c>
      <c r="AI774">
        <v>30</v>
      </c>
      <c r="AJ774" t="s">
        <v>6253</v>
      </c>
      <c r="AK774">
        <v>603</v>
      </c>
      <c r="AL774">
        <v>8623</v>
      </c>
      <c r="AN774" t="s">
        <v>2066</v>
      </c>
      <c r="AO774" t="s">
        <v>2063</v>
      </c>
      <c r="BF774" t="s">
        <v>1053</v>
      </c>
      <c r="BG774" t="s">
        <v>467</v>
      </c>
      <c r="BH774" t="s">
        <v>2312</v>
      </c>
      <c r="BI774" t="s">
        <v>1053</v>
      </c>
      <c r="BJ774" t="s">
        <v>2069</v>
      </c>
      <c r="BK774" t="s">
        <v>1053</v>
      </c>
      <c r="BL774" t="s">
        <v>2069</v>
      </c>
      <c r="BM774" t="s">
        <v>2313</v>
      </c>
      <c r="BN774" t="s">
        <v>2314</v>
      </c>
      <c r="BO774" t="s">
        <v>1053</v>
      </c>
      <c r="BP774" t="s">
        <v>2315</v>
      </c>
      <c r="BQ774" t="s">
        <v>2316</v>
      </c>
      <c r="BR774" t="s">
        <v>1053</v>
      </c>
      <c r="BT774" t="s">
        <v>1053</v>
      </c>
      <c r="BX774" t="str">
        <f>"SMTWTFS 0800-2130"</f>
        <v>SMTWTFS 0800-2130</v>
      </c>
      <c r="BY774" t="str">
        <f>""</f>
        <v/>
      </c>
      <c r="BZ774" t="str">
        <f>""</f>
        <v/>
      </c>
      <c r="CA774" t="str">
        <f>""</f>
        <v/>
      </c>
      <c r="CB774" t="str">
        <f>""</f>
        <v/>
      </c>
      <c r="CC774" t="str">
        <f>"SMTWTFS 0800-2130"</f>
        <v>SMTWTFS 0800-2130</v>
      </c>
      <c r="CD774" t="str">
        <f>""</f>
        <v/>
      </c>
      <c r="CE774" t="str">
        <f>""</f>
        <v/>
      </c>
      <c r="CF774" t="str">
        <f>""</f>
        <v/>
      </c>
      <c r="CG774" t="str">
        <f>""</f>
        <v/>
      </c>
      <c r="CH774" t="str">
        <f>""</f>
        <v/>
      </c>
    </row>
    <row r="775" spans="1:86" x14ac:dyDescent="0.25">
      <c r="A775" t="s">
        <v>6254</v>
      </c>
      <c r="B775" t="s">
        <v>6255</v>
      </c>
      <c r="C775" t="s">
        <v>1992</v>
      </c>
      <c r="D775" t="s">
        <v>1993</v>
      </c>
      <c r="E775" t="s">
        <v>6256</v>
      </c>
      <c r="F775" t="s">
        <v>6257</v>
      </c>
      <c r="H775" t="s">
        <v>6258</v>
      </c>
      <c r="I775" t="s">
        <v>576</v>
      </c>
      <c r="J775" t="str">
        <f>"98288"</f>
        <v>98288</v>
      </c>
      <c r="K775" t="s">
        <v>1998</v>
      </c>
      <c r="L775" t="s">
        <v>231</v>
      </c>
      <c r="M775" t="s">
        <v>2000</v>
      </c>
      <c r="N775" t="s">
        <v>1992</v>
      </c>
      <c r="O775" t="s">
        <v>1992</v>
      </c>
      <c r="P775" t="s">
        <v>1992</v>
      </c>
      <c r="Q775" t="s">
        <v>1992</v>
      </c>
      <c r="R775" t="s">
        <v>1992</v>
      </c>
      <c r="S775" t="s">
        <v>1992</v>
      </c>
      <c r="T775" t="s">
        <v>1992</v>
      </c>
      <c r="U775" t="s">
        <v>1992</v>
      </c>
      <c r="V775" t="s">
        <v>1991</v>
      </c>
      <c r="Z775" t="s">
        <v>1991</v>
      </c>
      <c r="AB775" t="s">
        <v>6259</v>
      </c>
      <c r="AF775" t="s">
        <v>2064</v>
      </c>
      <c r="AG775" t="s">
        <v>1991</v>
      </c>
      <c r="AH775">
        <v>15</v>
      </c>
      <c r="AI775">
        <v>15</v>
      </c>
      <c r="AJ775" t="s">
        <v>6260</v>
      </c>
      <c r="AK775">
        <v>933</v>
      </c>
      <c r="AL775">
        <v>300</v>
      </c>
      <c r="AM775" t="s">
        <v>6261</v>
      </c>
      <c r="BX775" t="str">
        <f>""</f>
        <v/>
      </c>
      <c r="BY775" t="str">
        <f>""</f>
        <v/>
      </c>
      <c r="BZ775" t="str">
        <f>""</f>
        <v/>
      </c>
      <c r="CA775" t="str">
        <f>""</f>
        <v/>
      </c>
      <c r="CB775" t="str">
        <f>""</f>
        <v/>
      </c>
      <c r="CC775" t="str">
        <f>""</f>
        <v/>
      </c>
      <c r="CD775" t="str">
        <f>""</f>
        <v/>
      </c>
      <c r="CE775" t="str">
        <f>""</f>
        <v/>
      </c>
      <c r="CF775" t="str">
        <f>""</f>
        <v/>
      </c>
      <c r="CG775" t="str">
        <f>""</f>
        <v/>
      </c>
      <c r="CH775" t="str">
        <f>""</f>
        <v/>
      </c>
    </row>
    <row r="776" spans="1:86" x14ac:dyDescent="0.25">
      <c r="A776" t="s">
        <v>6262</v>
      </c>
      <c r="B776" t="s">
        <v>6263</v>
      </c>
      <c r="C776" t="s">
        <v>1991</v>
      </c>
      <c r="D776" t="s">
        <v>2010</v>
      </c>
      <c r="E776" t="s">
        <v>6264</v>
      </c>
      <c r="H776" t="s">
        <v>6265</v>
      </c>
      <c r="I776" t="s">
        <v>2061</v>
      </c>
      <c r="J776" t="str">
        <f>"95203"</f>
        <v>95203</v>
      </c>
      <c r="K776" t="s">
        <v>1998</v>
      </c>
      <c r="L776" t="s">
        <v>2062</v>
      </c>
      <c r="M776" t="s">
        <v>6266</v>
      </c>
      <c r="N776" t="s">
        <v>1991</v>
      </c>
      <c r="O776" t="s">
        <v>1991</v>
      </c>
      <c r="P776" t="s">
        <v>1992</v>
      </c>
      <c r="Q776" t="s">
        <v>1991</v>
      </c>
      <c r="R776" t="s">
        <v>1992</v>
      </c>
      <c r="S776" t="s">
        <v>1992</v>
      </c>
      <c r="T776" t="s">
        <v>1992</v>
      </c>
      <c r="U776" t="s">
        <v>1991</v>
      </c>
      <c r="V776" t="s">
        <v>1991</v>
      </c>
      <c r="W776" t="s">
        <v>1991</v>
      </c>
      <c r="X776" t="s">
        <v>1992</v>
      </c>
      <c r="Y776" t="s">
        <v>1991</v>
      </c>
      <c r="Z776" t="s">
        <v>1992</v>
      </c>
      <c r="AA776" t="s">
        <v>1991</v>
      </c>
      <c r="AB776" t="s">
        <v>6267</v>
      </c>
      <c r="AE776" t="s">
        <v>2047</v>
      </c>
      <c r="AF776" t="s">
        <v>2064</v>
      </c>
      <c r="AG776" t="s">
        <v>1991</v>
      </c>
      <c r="AH776">
        <v>45</v>
      </c>
      <c r="AI776">
        <v>30</v>
      </c>
      <c r="AJ776" t="s">
        <v>6268</v>
      </c>
      <c r="AK776">
        <v>17</v>
      </c>
      <c r="AL776">
        <v>290141</v>
      </c>
      <c r="AM776" t="s">
        <v>2298</v>
      </c>
      <c r="AN776" t="s">
        <v>1053</v>
      </c>
      <c r="AO776" t="s">
        <v>1053</v>
      </c>
      <c r="AQ776" t="s">
        <v>1053</v>
      </c>
      <c r="AS776" t="s">
        <v>6262</v>
      </c>
      <c r="AT776" t="s">
        <v>6269</v>
      </c>
      <c r="AU776" t="s">
        <v>1053</v>
      </c>
      <c r="AV776" t="s">
        <v>1053</v>
      </c>
      <c r="AX776" t="s">
        <v>1053</v>
      </c>
      <c r="AZ776" t="s">
        <v>6262</v>
      </c>
      <c r="BA776" t="s">
        <v>6269</v>
      </c>
      <c r="BB776" t="s">
        <v>1053</v>
      </c>
      <c r="BD776" t="s">
        <v>1053</v>
      </c>
      <c r="BF776" t="s">
        <v>1053</v>
      </c>
      <c r="BG776" t="s">
        <v>2067</v>
      </c>
      <c r="BH776" t="s">
        <v>3252</v>
      </c>
      <c r="BI776" t="s">
        <v>1053</v>
      </c>
      <c r="BJ776" t="s">
        <v>2069</v>
      </c>
      <c r="BK776" t="s">
        <v>1053</v>
      </c>
      <c r="BL776" t="s">
        <v>2069</v>
      </c>
      <c r="BM776" t="s">
        <v>2070</v>
      </c>
      <c r="BN776" t="s">
        <v>2071</v>
      </c>
      <c r="BO776" t="s">
        <v>1053</v>
      </c>
      <c r="BP776" t="s">
        <v>675</v>
      </c>
      <c r="BQ776" t="s">
        <v>2073</v>
      </c>
      <c r="BR776" t="s">
        <v>1053</v>
      </c>
      <c r="BS776" t="s">
        <v>1053</v>
      </c>
      <c r="BT776" t="s">
        <v>1053</v>
      </c>
      <c r="BU776" t="s">
        <v>1053</v>
      </c>
      <c r="BV776" t="s">
        <v>2074</v>
      </c>
      <c r="BX776" t="str">
        <f>"SMTWTFS 0700-2030"</f>
        <v>SMTWTFS 0700-2030</v>
      </c>
      <c r="BY776" t="str">
        <f>"SMTWTFS 0700-2000"</f>
        <v>SMTWTFS 0700-2000</v>
      </c>
      <c r="BZ776" t="str">
        <f>"SMTWTFS 0700-2005"</f>
        <v>SMTWTFS 0700-2005</v>
      </c>
      <c r="CA776" t="str">
        <f>"SMTWTFS 0700-2005"</f>
        <v>SMTWTFS 0700-2005</v>
      </c>
      <c r="CB776" t="str">
        <f>""</f>
        <v/>
      </c>
      <c r="CC776" t="str">
        <f>"SMTWTFS 0700-2030"</f>
        <v>SMTWTFS 0700-2030</v>
      </c>
      <c r="CD776" t="str">
        <f>""</f>
        <v/>
      </c>
      <c r="CE776" t="str">
        <f>""</f>
        <v/>
      </c>
      <c r="CF776" t="str">
        <f>""</f>
        <v/>
      </c>
      <c r="CG776" t="str">
        <f>""</f>
        <v/>
      </c>
      <c r="CH776" t="str">
        <f>"SMTWTFS 0001-2359"</f>
        <v>SMTWTFS 0001-2359</v>
      </c>
    </row>
    <row r="777" spans="1:86" x14ac:dyDescent="0.25">
      <c r="A777" t="s">
        <v>6270</v>
      </c>
      <c r="B777" t="s">
        <v>6271</v>
      </c>
      <c r="C777" t="s">
        <v>1992</v>
      </c>
      <c r="D777" t="s">
        <v>2028</v>
      </c>
      <c r="E777" t="s">
        <v>6272</v>
      </c>
      <c r="F777" t="s">
        <v>6273</v>
      </c>
      <c r="H777" t="s">
        <v>6265</v>
      </c>
      <c r="I777" t="s">
        <v>2061</v>
      </c>
      <c r="J777" t="str">
        <f>"95202"</f>
        <v>95202</v>
      </c>
      <c r="K777" t="s">
        <v>1998</v>
      </c>
      <c r="L777" t="s">
        <v>2062</v>
      </c>
      <c r="M777" t="s">
        <v>2063</v>
      </c>
      <c r="N777" t="s">
        <v>1992</v>
      </c>
      <c r="O777" t="s">
        <v>1991</v>
      </c>
      <c r="P777" t="s">
        <v>1992</v>
      </c>
      <c r="Q777" t="s">
        <v>1992</v>
      </c>
      <c r="R777" t="s">
        <v>1992</v>
      </c>
      <c r="S777" t="s">
        <v>1992</v>
      </c>
      <c r="T777" t="s">
        <v>1992</v>
      </c>
      <c r="U777" t="s">
        <v>1992</v>
      </c>
      <c r="V777" t="s">
        <v>1991</v>
      </c>
      <c r="W777" t="s">
        <v>1991</v>
      </c>
      <c r="X777" t="s">
        <v>1991</v>
      </c>
      <c r="Y777" t="s">
        <v>1991</v>
      </c>
      <c r="Z777" t="s">
        <v>1992</v>
      </c>
      <c r="AA777" t="s">
        <v>1992</v>
      </c>
      <c r="AB777" t="s">
        <v>6267</v>
      </c>
      <c r="AF777" t="s">
        <v>2064</v>
      </c>
      <c r="AG777" t="s">
        <v>1991</v>
      </c>
      <c r="AH777">
        <v>30</v>
      </c>
      <c r="AI777">
        <v>30</v>
      </c>
      <c r="AJ777" t="s">
        <v>6274</v>
      </c>
      <c r="AK777">
        <v>19</v>
      </c>
      <c r="AM777" t="s">
        <v>2298</v>
      </c>
      <c r="AN777" t="s">
        <v>6275</v>
      </c>
      <c r="AO777" t="s">
        <v>2063</v>
      </c>
      <c r="BF777" t="s">
        <v>1053</v>
      </c>
      <c r="BG777" t="s">
        <v>2067</v>
      </c>
      <c r="BH777" t="s">
        <v>3820</v>
      </c>
      <c r="BI777" t="s">
        <v>1053</v>
      </c>
      <c r="BK777" t="s">
        <v>1053</v>
      </c>
      <c r="BM777" t="s">
        <v>2070</v>
      </c>
      <c r="BN777">
        <v>0</v>
      </c>
      <c r="BO777" t="s">
        <v>1053</v>
      </c>
      <c r="BP777" t="s">
        <v>614</v>
      </c>
      <c r="BQ777" t="s">
        <v>2073</v>
      </c>
      <c r="BR777" t="s">
        <v>1053</v>
      </c>
      <c r="BS777" t="s">
        <v>1053</v>
      </c>
      <c r="BT777" t="s">
        <v>1053</v>
      </c>
      <c r="BU777" t="s">
        <v>1053</v>
      </c>
      <c r="BV777" t="s">
        <v>2074</v>
      </c>
      <c r="BX777" t="str">
        <f>""</f>
        <v/>
      </c>
      <c r="BY777" t="str">
        <f>""</f>
        <v/>
      </c>
      <c r="BZ777" t="str">
        <f>""</f>
        <v/>
      </c>
      <c r="CA777" t="str">
        <f>""</f>
        <v/>
      </c>
      <c r="CB777" t="str">
        <f>""</f>
        <v/>
      </c>
      <c r="CC777" t="str">
        <f>"SMTWTFS 0000-2359"</f>
        <v>SMTWTFS 0000-2359</v>
      </c>
      <c r="CD777" t="str">
        <f>""</f>
        <v/>
      </c>
      <c r="CE777" t="str">
        <f>""</f>
        <v/>
      </c>
      <c r="CF777" t="str">
        <f>""</f>
        <v/>
      </c>
      <c r="CG777" t="str">
        <f>""</f>
        <v/>
      </c>
      <c r="CH777" t="str">
        <f>""</f>
        <v/>
      </c>
    </row>
    <row r="778" spans="1:86" x14ac:dyDescent="0.25">
      <c r="A778" t="s">
        <v>6276</v>
      </c>
      <c r="B778" t="s">
        <v>6277</v>
      </c>
      <c r="C778" t="s">
        <v>1992</v>
      </c>
      <c r="D778" t="s">
        <v>1993</v>
      </c>
      <c r="E778" t="s">
        <v>6278</v>
      </c>
      <c r="F778" t="s">
        <v>6279</v>
      </c>
      <c r="H778" t="s">
        <v>6258</v>
      </c>
      <c r="I778" t="s">
        <v>576</v>
      </c>
      <c r="J778" t="str">
        <f>"98288"</f>
        <v>98288</v>
      </c>
      <c r="K778" t="s">
        <v>1998</v>
      </c>
      <c r="L778" t="s">
        <v>231</v>
      </c>
      <c r="M778" t="s">
        <v>2000</v>
      </c>
      <c r="N778" t="s">
        <v>1992</v>
      </c>
      <c r="O778" t="s">
        <v>1992</v>
      </c>
      <c r="P778" t="s">
        <v>1992</v>
      </c>
      <c r="Q778" t="s">
        <v>1992</v>
      </c>
      <c r="R778" t="s">
        <v>1992</v>
      </c>
      <c r="S778" t="s">
        <v>1992</v>
      </c>
      <c r="T778" t="s">
        <v>1992</v>
      </c>
      <c r="U778" t="s">
        <v>1992</v>
      </c>
      <c r="V778" t="s">
        <v>1991</v>
      </c>
      <c r="W778" t="s">
        <v>1992</v>
      </c>
      <c r="X778" t="s">
        <v>1992</v>
      </c>
      <c r="Y778" t="s">
        <v>1992</v>
      </c>
      <c r="Z778" t="s">
        <v>1991</v>
      </c>
      <c r="AB778" t="s">
        <v>6259</v>
      </c>
      <c r="AF778" t="s">
        <v>2064</v>
      </c>
      <c r="AG778" t="s">
        <v>1991</v>
      </c>
      <c r="AH778">
        <v>15</v>
      </c>
      <c r="AI778">
        <v>15</v>
      </c>
      <c r="AJ778" t="s">
        <v>6280</v>
      </c>
      <c r="AK778">
        <v>939</v>
      </c>
      <c r="AL778">
        <v>300</v>
      </c>
      <c r="AM778" t="s">
        <v>6281</v>
      </c>
      <c r="AN778" t="s">
        <v>1053</v>
      </c>
      <c r="AO778" t="s">
        <v>1053</v>
      </c>
      <c r="BF778" t="s">
        <v>1053</v>
      </c>
      <c r="BG778" t="s">
        <v>394</v>
      </c>
      <c r="BH778" t="s">
        <v>311</v>
      </c>
      <c r="BI778" t="s">
        <v>1053</v>
      </c>
      <c r="BJ778" t="s">
        <v>1053</v>
      </c>
      <c r="BK778" t="s">
        <v>1053</v>
      </c>
      <c r="BL778" t="s">
        <v>1053</v>
      </c>
      <c r="BX778" t="str">
        <f>""</f>
        <v/>
      </c>
      <c r="BY778" t="str">
        <f>""</f>
        <v/>
      </c>
      <c r="BZ778" t="str">
        <f>""</f>
        <v/>
      </c>
      <c r="CA778" t="str">
        <f>""</f>
        <v/>
      </c>
      <c r="CB778" t="str">
        <f>""</f>
        <v/>
      </c>
      <c r="CC778" t="str">
        <f>""</f>
        <v/>
      </c>
      <c r="CD778" t="str">
        <f>""</f>
        <v/>
      </c>
      <c r="CE778" t="str">
        <f>""</f>
        <v/>
      </c>
      <c r="CF778" t="str">
        <f>""</f>
        <v/>
      </c>
      <c r="CG778" t="str">
        <f>""</f>
        <v/>
      </c>
      <c r="CH778" t="str">
        <f>""</f>
        <v/>
      </c>
    </row>
    <row r="779" spans="1:86" x14ac:dyDescent="0.25">
      <c r="A779" t="s">
        <v>6282</v>
      </c>
      <c r="B779" t="s">
        <v>6283</v>
      </c>
      <c r="C779" t="s">
        <v>1992</v>
      </c>
      <c r="D779" t="s">
        <v>2028</v>
      </c>
      <c r="E779" t="s">
        <v>6284</v>
      </c>
      <c r="F779" t="s">
        <v>6285</v>
      </c>
      <c r="H779" t="s">
        <v>6286</v>
      </c>
      <c r="I779" t="s">
        <v>2334</v>
      </c>
      <c r="J779" t="str">
        <f>"44870-3165"</f>
        <v>44870-3165</v>
      </c>
      <c r="K779" t="s">
        <v>1998</v>
      </c>
      <c r="L779" t="s">
        <v>1999</v>
      </c>
      <c r="M779" t="s">
        <v>2063</v>
      </c>
      <c r="N779" t="s">
        <v>1992</v>
      </c>
      <c r="O779" t="s">
        <v>1992</v>
      </c>
      <c r="P779" t="s">
        <v>1992</v>
      </c>
      <c r="Q779" t="s">
        <v>1992</v>
      </c>
      <c r="R779" t="s">
        <v>1992</v>
      </c>
      <c r="S779" t="s">
        <v>1992</v>
      </c>
      <c r="T779" t="s">
        <v>1992</v>
      </c>
      <c r="U779" t="s">
        <v>1992</v>
      </c>
      <c r="V779" t="s">
        <v>1991</v>
      </c>
      <c r="W779" t="s">
        <v>1991</v>
      </c>
      <c r="X779" t="s">
        <v>1992</v>
      </c>
      <c r="Y779" t="s">
        <v>1992</v>
      </c>
      <c r="Z779" t="s">
        <v>1992</v>
      </c>
      <c r="AF779" t="s">
        <v>2016</v>
      </c>
      <c r="AG779" t="s">
        <v>1991</v>
      </c>
      <c r="AH779">
        <v>30</v>
      </c>
      <c r="AI779">
        <v>30</v>
      </c>
      <c r="AJ779" t="s">
        <v>6287</v>
      </c>
      <c r="AK779">
        <v>597</v>
      </c>
      <c r="AL779">
        <v>61963</v>
      </c>
      <c r="AN779" t="s">
        <v>2066</v>
      </c>
      <c r="AO779" t="s">
        <v>2063</v>
      </c>
      <c r="BF779" t="s">
        <v>1053</v>
      </c>
      <c r="BG779" t="s">
        <v>2097</v>
      </c>
      <c r="BH779" t="s">
        <v>2312</v>
      </c>
      <c r="BI779" t="s">
        <v>1053</v>
      </c>
      <c r="BJ779" t="s">
        <v>2069</v>
      </c>
      <c r="BK779" t="s">
        <v>1053</v>
      </c>
      <c r="BL779" t="s">
        <v>2069</v>
      </c>
      <c r="BM779" t="s">
        <v>2313</v>
      </c>
      <c r="BN779" t="s">
        <v>2314</v>
      </c>
      <c r="BO779" t="s">
        <v>1053</v>
      </c>
      <c r="BP779" t="s">
        <v>2315</v>
      </c>
      <c r="BQ779" t="s">
        <v>2316</v>
      </c>
      <c r="BR779" t="s">
        <v>1053</v>
      </c>
      <c r="BT779" t="s">
        <v>1053</v>
      </c>
      <c r="BX779" t="str">
        <f>""</f>
        <v/>
      </c>
      <c r="BY779" t="str">
        <f>""</f>
        <v/>
      </c>
      <c r="BZ779" t="str">
        <f>""</f>
        <v/>
      </c>
      <c r="CA779" t="str">
        <f>""</f>
        <v/>
      </c>
      <c r="CB779" t="str">
        <f>""</f>
        <v/>
      </c>
      <c r="CC779" t="str">
        <f>""</f>
        <v/>
      </c>
      <c r="CD779" t="str">
        <f>""</f>
        <v/>
      </c>
      <c r="CE779" t="str">
        <f>""</f>
        <v/>
      </c>
      <c r="CF779" t="str">
        <f>""</f>
        <v/>
      </c>
      <c r="CG779" t="str">
        <f>""</f>
        <v/>
      </c>
      <c r="CH779" t="str">
        <f>""</f>
        <v/>
      </c>
    </row>
    <row r="780" spans="1:86" x14ac:dyDescent="0.25">
      <c r="A780" t="s">
        <v>6288</v>
      </c>
      <c r="B780" t="s">
        <v>6289</v>
      </c>
      <c r="C780" t="s">
        <v>1992</v>
      </c>
      <c r="D780" t="s">
        <v>2010</v>
      </c>
      <c r="E780" t="s">
        <v>6290</v>
      </c>
      <c r="F780" t="s">
        <v>6291</v>
      </c>
      <c r="H780" t="s">
        <v>6292</v>
      </c>
      <c r="I780" t="s">
        <v>5059</v>
      </c>
      <c r="J780" t="str">
        <f>"84101"</f>
        <v>84101</v>
      </c>
      <c r="K780" t="s">
        <v>1998</v>
      </c>
      <c r="L780" t="s">
        <v>2062</v>
      </c>
      <c r="M780" t="s">
        <v>2000</v>
      </c>
      <c r="N780" t="s">
        <v>1992</v>
      </c>
      <c r="O780" t="s">
        <v>1992</v>
      </c>
      <c r="P780" t="s">
        <v>1992</v>
      </c>
      <c r="Q780" t="s">
        <v>1992</v>
      </c>
      <c r="R780" t="s">
        <v>1992</v>
      </c>
      <c r="S780" t="s">
        <v>1992</v>
      </c>
      <c r="T780" t="s">
        <v>1992</v>
      </c>
      <c r="U780" t="s">
        <v>1992</v>
      </c>
      <c r="V780" t="s">
        <v>1991</v>
      </c>
      <c r="Z780" t="s">
        <v>1991</v>
      </c>
      <c r="AB780" t="s">
        <v>6293</v>
      </c>
      <c r="AE780" t="s">
        <v>3631</v>
      </c>
      <c r="AF780" t="s">
        <v>2048</v>
      </c>
      <c r="AG780" t="s">
        <v>1991</v>
      </c>
      <c r="AH780">
        <v>30</v>
      </c>
      <c r="AI780">
        <v>30</v>
      </c>
      <c r="AJ780" t="s">
        <v>6294</v>
      </c>
      <c r="AK780">
        <v>4232</v>
      </c>
      <c r="AL780">
        <v>950000</v>
      </c>
      <c r="AM780" t="s">
        <v>6295</v>
      </c>
      <c r="BX780" t="str">
        <f>""</f>
        <v/>
      </c>
      <c r="BY780" t="str">
        <f>""</f>
        <v/>
      </c>
      <c r="BZ780" t="str">
        <f>""</f>
        <v/>
      </c>
      <c r="CA780" t="str">
        <f>""</f>
        <v/>
      </c>
      <c r="CB780" t="str">
        <f>""</f>
        <v/>
      </c>
      <c r="CC780" t="str">
        <f>""</f>
        <v/>
      </c>
      <c r="CD780" t="str">
        <f>""</f>
        <v/>
      </c>
      <c r="CE780" t="str">
        <f>""</f>
        <v/>
      </c>
      <c r="CF780" t="str">
        <f>""</f>
        <v/>
      </c>
      <c r="CG780" t="str">
        <f>""</f>
        <v/>
      </c>
      <c r="CH780" t="str">
        <f>""</f>
        <v/>
      </c>
    </row>
    <row r="781" spans="1:86" x14ac:dyDescent="0.25">
      <c r="A781" t="s">
        <v>6296</v>
      </c>
      <c r="B781" t="s">
        <v>6297</v>
      </c>
      <c r="C781" t="s">
        <v>1991</v>
      </c>
      <c r="D781" t="s">
        <v>2010</v>
      </c>
      <c r="E781" t="s">
        <v>6298</v>
      </c>
      <c r="H781" t="s">
        <v>6292</v>
      </c>
      <c r="I781" t="s">
        <v>5059</v>
      </c>
      <c r="J781" t="str">
        <f>"84101"</f>
        <v>84101</v>
      </c>
      <c r="K781" t="s">
        <v>1998</v>
      </c>
      <c r="L781" t="s">
        <v>2062</v>
      </c>
      <c r="M781" t="s">
        <v>6299</v>
      </c>
      <c r="N781" t="s">
        <v>1991</v>
      </c>
      <c r="O781" t="s">
        <v>1992</v>
      </c>
      <c r="P781" t="s">
        <v>1992</v>
      </c>
      <c r="Q781" t="s">
        <v>1991</v>
      </c>
      <c r="R781" t="s">
        <v>1992</v>
      </c>
      <c r="S781" t="s">
        <v>1992</v>
      </c>
      <c r="T781" t="s">
        <v>1992</v>
      </c>
      <c r="U781" t="s">
        <v>1992</v>
      </c>
      <c r="V781" t="s">
        <v>1991</v>
      </c>
      <c r="W781" t="s">
        <v>1991</v>
      </c>
      <c r="X781" t="s">
        <v>1992</v>
      </c>
      <c r="Y781" t="s">
        <v>1992</v>
      </c>
      <c r="Z781" t="s">
        <v>1991</v>
      </c>
      <c r="AA781" t="s">
        <v>1991</v>
      </c>
      <c r="AB781" t="s">
        <v>6293</v>
      </c>
      <c r="AE781" t="s">
        <v>2047</v>
      </c>
      <c r="AF781" t="s">
        <v>2048</v>
      </c>
      <c r="AG781" t="s">
        <v>1991</v>
      </c>
      <c r="AH781">
        <v>60</v>
      </c>
      <c r="AI781">
        <v>30</v>
      </c>
      <c r="AJ781" t="s">
        <v>6300</v>
      </c>
      <c r="AK781">
        <v>4231</v>
      </c>
      <c r="AL781">
        <v>950000</v>
      </c>
      <c r="AN781" t="s">
        <v>1053</v>
      </c>
      <c r="AO781" t="s">
        <v>1053</v>
      </c>
      <c r="AP781" t="s">
        <v>2069</v>
      </c>
      <c r="AQ781" t="s">
        <v>1053</v>
      </c>
      <c r="AR781" t="s">
        <v>2069</v>
      </c>
      <c r="AS781" t="s">
        <v>6296</v>
      </c>
      <c r="AT781" t="s">
        <v>6301</v>
      </c>
      <c r="AU781" t="s">
        <v>1414</v>
      </c>
      <c r="AV781" t="s">
        <v>1053</v>
      </c>
      <c r="AW781" t="s">
        <v>2069</v>
      </c>
      <c r="AX781" t="s">
        <v>1053</v>
      </c>
      <c r="AY781" t="s">
        <v>2069</v>
      </c>
      <c r="AZ781" t="s">
        <v>6296</v>
      </c>
      <c r="BA781" t="s">
        <v>6301</v>
      </c>
      <c r="BB781" t="s">
        <v>1053</v>
      </c>
      <c r="BC781" t="s">
        <v>2069</v>
      </c>
      <c r="BD781" t="s">
        <v>1053</v>
      </c>
      <c r="BE781" t="s">
        <v>2069</v>
      </c>
      <c r="BF781" t="s">
        <v>1053</v>
      </c>
      <c r="BG781" t="s">
        <v>2067</v>
      </c>
      <c r="BH781" t="s">
        <v>348</v>
      </c>
      <c r="BI781" t="s">
        <v>1053</v>
      </c>
      <c r="BK781" t="s">
        <v>1053</v>
      </c>
      <c r="BO781" t="s">
        <v>1053</v>
      </c>
      <c r="BP781" t="s">
        <v>675</v>
      </c>
      <c r="BQ781" t="s">
        <v>5141</v>
      </c>
      <c r="BR781" t="s">
        <v>1053</v>
      </c>
      <c r="BS781" t="s">
        <v>1053</v>
      </c>
      <c r="BX781" t="str">
        <f>"SMTWTFS 0000-0515 2200-2359"</f>
        <v>SMTWTFS 0000-0515 2200-2359</v>
      </c>
      <c r="BY781" t="str">
        <f>"SMTWTFS 0000-0515 2230-2359"</f>
        <v>SMTWTFS 0000-0515 2230-2359</v>
      </c>
      <c r="BZ781" t="str">
        <f>"SMTWTFS 0000-0515 2200-2359"</f>
        <v>SMTWTFS 0000-0515 2200-2359</v>
      </c>
      <c r="CA781" t="str">
        <f>"SMTWTFS 0000-0515 2230-2359"</f>
        <v>SMTWTFS 0000-0515 2230-2359</v>
      </c>
      <c r="CB781" t="str">
        <f>""</f>
        <v/>
      </c>
      <c r="CC781" t="str">
        <f>""</f>
        <v/>
      </c>
      <c r="CD781" t="str">
        <f>""</f>
        <v/>
      </c>
      <c r="CE781" t="str">
        <f>""</f>
        <v/>
      </c>
      <c r="CF781" t="str">
        <f>"SMTWTFS 0000-0515 2230-2359"</f>
        <v>SMTWTFS 0000-0515 2230-2359</v>
      </c>
      <c r="CG781" t="str">
        <f>""</f>
        <v/>
      </c>
      <c r="CH781" t="str">
        <f>""</f>
        <v/>
      </c>
    </row>
    <row r="782" spans="1:86" x14ac:dyDescent="0.25">
      <c r="A782" t="s">
        <v>6302</v>
      </c>
      <c r="B782" t="s">
        <v>6303</v>
      </c>
      <c r="C782" t="s">
        <v>1992</v>
      </c>
      <c r="D782" t="s">
        <v>2010</v>
      </c>
      <c r="E782" t="s">
        <v>6304</v>
      </c>
      <c r="F782" t="s">
        <v>743</v>
      </c>
      <c r="H782" t="s">
        <v>6305</v>
      </c>
      <c r="I782" t="s">
        <v>2295</v>
      </c>
      <c r="J782" t="str">
        <f>"97301-3725"</f>
        <v>97301-3725</v>
      </c>
      <c r="K782" t="s">
        <v>1998</v>
      </c>
      <c r="L782" t="s">
        <v>231</v>
      </c>
      <c r="M782" t="s">
        <v>6306</v>
      </c>
      <c r="N782" t="s">
        <v>1992</v>
      </c>
      <c r="O782" t="s">
        <v>1992</v>
      </c>
      <c r="P782" t="s">
        <v>1992</v>
      </c>
      <c r="Q782" t="s">
        <v>1992</v>
      </c>
      <c r="R782" t="s">
        <v>1992</v>
      </c>
      <c r="S782" t="s">
        <v>1992</v>
      </c>
      <c r="T782" t="s">
        <v>1992</v>
      </c>
      <c r="U782" t="s">
        <v>1992</v>
      </c>
      <c r="V782" t="s">
        <v>1991</v>
      </c>
      <c r="Z782" t="s">
        <v>1991</v>
      </c>
      <c r="AB782" t="s">
        <v>6307</v>
      </c>
      <c r="AE782" t="s">
        <v>3631</v>
      </c>
      <c r="AF782" t="s">
        <v>2064</v>
      </c>
      <c r="AG782" t="s">
        <v>1991</v>
      </c>
      <c r="AH782">
        <v>30</v>
      </c>
      <c r="AI782">
        <v>30</v>
      </c>
      <c r="AJ782" t="s">
        <v>6308</v>
      </c>
      <c r="AK782">
        <v>160</v>
      </c>
      <c r="AM782" t="s">
        <v>6309</v>
      </c>
      <c r="BX782" t="str">
        <f>""</f>
        <v/>
      </c>
      <c r="BY782" t="str">
        <f>""</f>
        <v/>
      </c>
      <c r="BZ782" t="str">
        <f>""</f>
        <v/>
      </c>
      <c r="CA782" t="str">
        <f>""</f>
        <v/>
      </c>
      <c r="CB782" t="str">
        <f>""</f>
        <v/>
      </c>
      <c r="CC782" t="str">
        <f>""</f>
        <v/>
      </c>
      <c r="CD782" t="str">
        <f>""</f>
        <v/>
      </c>
      <c r="CE782" t="str">
        <f>""</f>
        <v/>
      </c>
      <c r="CF782" t="str">
        <f>""</f>
        <v/>
      </c>
      <c r="CG782" t="str">
        <f>""</f>
        <v/>
      </c>
      <c r="CH782" t="str">
        <f>""</f>
        <v/>
      </c>
    </row>
    <row r="783" spans="1:86" x14ac:dyDescent="0.25">
      <c r="A783" t="s">
        <v>6310</v>
      </c>
      <c r="B783" t="s">
        <v>6311</v>
      </c>
      <c r="C783" t="s">
        <v>1992</v>
      </c>
      <c r="D783" t="s">
        <v>1993</v>
      </c>
      <c r="E783" t="s">
        <v>6312</v>
      </c>
      <c r="F783" t="s">
        <v>2285</v>
      </c>
      <c r="H783" t="s">
        <v>6313</v>
      </c>
      <c r="I783" t="s">
        <v>2061</v>
      </c>
      <c r="J783" t="str">
        <f>"96150"</f>
        <v>96150</v>
      </c>
      <c r="K783" t="s">
        <v>1998</v>
      </c>
      <c r="L783" t="s">
        <v>2062</v>
      </c>
      <c r="M783" t="s">
        <v>2063</v>
      </c>
      <c r="N783" t="s">
        <v>1992</v>
      </c>
      <c r="O783" t="s">
        <v>1992</v>
      </c>
      <c r="P783" t="s">
        <v>1992</v>
      </c>
      <c r="Q783" t="s">
        <v>1992</v>
      </c>
      <c r="R783" t="s">
        <v>1992</v>
      </c>
      <c r="S783" t="s">
        <v>1992</v>
      </c>
      <c r="T783" t="s">
        <v>1992</v>
      </c>
      <c r="U783" t="s">
        <v>1992</v>
      </c>
      <c r="V783" t="s">
        <v>1991</v>
      </c>
      <c r="W783" t="s">
        <v>1992</v>
      </c>
      <c r="X783" t="s">
        <v>1992</v>
      </c>
      <c r="Y783" t="s">
        <v>1991</v>
      </c>
      <c r="Z783" t="s">
        <v>1992</v>
      </c>
      <c r="AA783" t="s">
        <v>1992</v>
      </c>
      <c r="AF783" t="s">
        <v>2064</v>
      </c>
      <c r="AG783" t="s">
        <v>1991</v>
      </c>
      <c r="AH783">
        <v>30</v>
      </c>
      <c r="AI783">
        <v>30</v>
      </c>
      <c r="AJ783" t="s">
        <v>6314</v>
      </c>
      <c r="AK783">
        <v>6293</v>
      </c>
      <c r="AM783" t="s">
        <v>2298</v>
      </c>
      <c r="AN783" t="s">
        <v>450</v>
      </c>
      <c r="AO783" t="s">
        <v>2063</v>
      </c>
      <c r="BF783" t="s">
        <v>1053</v>
      </c>
      <c r="BG783" t="s">
        <v>309</v>
      </c>
      <c r="BH783" t="s">
        <v>2301</v>
      </c>
      <c r="BI783" t="s">
        <v>1053</v>
      </c>
      <c r="BK783" t="s">
        <v>1053</v>
      </c>
      <c r="BO783" t="s">
        <v>1053</v>
      </c>
      <c r="BP783" t="s">
        <v>310</v>
      </c>
      <c r="BQ783" t="s">
        <v>311</v>
      </c>
      <c r="BR783" t="s">
        <v>1053</v>
      </c>
      <c r="BS783" t="s">
        <v>1053</v>
      </c>
      <c r="BT783" t="s">
        <v>1053</v>
      </c>
      <c r="BU783" t="s">
        <v>1053</v>
      </c>
      <c r="BX783" t="str">
        <f>""</f>
        <v/>
      </c>
      <c r="BY783" t="str">
        <f>""</f>
        <v/>
      </c>
      <c r="BZ783" t="str">
        <f>""</f>
        <v/>
      </c>
      <c r="CA783" t="str">
        <f>""</f>
        <v/>
      </c>
      <c r="CB783" t="str">
        <f>""</f>
        <v/>
      </c>
      <c r="CC783" t="str">
        <f>""</f>
        <v/>
      </c>
      <c r="CD783" t="str">
        <f>""</f>
        <v/>
      </c>
      <c r="CE783" t="str">
        <f>""</f>
        <v/>
      </c>
      <c r="CF783" t="str">
        <f>""</f>
        <v/>
      </c>
      <c r="CG783" t="str">
        <f>""</f>
        <v/>
      </c>
      <c r="CH783" t="str">
        <f>""</f>
        <v/>
      </c>
    </row>
    <row r="784" spans="1:86" x14ac:dyDescent="0.25">
      <c r="A784" t="s">
        <v>6315</v>
      </c>
      <c r="B784" t="s">
        <v>6316</v>
      </c>
      <c r="C784" t="s">
        <v>1991</v>
      </c>
      <c r="D784" t="s">
        <v>2010</v>
      </c>
      <c r="E784" t="s">
        <v>6317</v>
      </c>
      <c r="H784" t="s">
        <v>6305</v>
      </c>
      <c r="I784" t="s">
        <v>2295</v>
      </c>
      <c r="J784" t="str">
        <f>"97301"</f>
        <v>97301</v>
      </c>
      <c r="K784" t="s">
        <v>1998</v>
      </c>
      <c r="L784" t="s">
        <v>231</v>
      </c>
      <c r="M784" t="s">
        <v>6318</v>
      </c>
      <c r="N784" t="s">
        <v>1991</v>
      </c>
      <c r="O784" t="s">
        <v>1991</v>
      </c>
      <c r="P784" t="s">
        <v>1992</v>
      </c>
      <c r="Q784" t="s">
        <v>1991</v>
      </c>
      <c r="R784" t="s">
        <v>1991</v>
      </c>
      <c r="S784" t="s">
        <v>1992</v>
      </c>
      <c r="T784" t="s">
        <v>1992</v>
      </c>
      <c r="U784" t="s">
        <v>1991</v>
      </c>
      <c r="V784" t="s">
        <v>1991</v>
      </c>
      <c r="W784" t="s">
        <v>1991</v>
      </c>
      <c r="X784" t="s">
        <v>1992</v>
      </c>
      <c r="Y784" t="s">
        <v>1991</v>
      </c>
      <c r="Z784" t="s">
        <v>1992</v>
      </c>
      <c r="AA784" t="s">
        <v>1992</v>
      </c>
      <c r="AB784" t="s">
        <v>6307</v>
      </c>
      <c r="AE784" t="s">
        <v>2047</v>
      </c>
      <c r="AF784" t="s">
        <v>2064</v>
      </c>
      <c r="AG784" t="s">
        <v>1991</v>
      </c>
      <c r="AH784">
        <v>45</v>
      </c>
      <c r="AI784">
        <v>30</v>
      </c>
      <c r="AJ784" t="s">
        <v>6319</v>
      </c>
      <c r="AK784">
        <v>165</v>
      </c>
      <c r="AL784">
        <v>100000</v>
      </c>
      <c r="AN784" t="s">
        <v>1053</v>
      </c>
      <c r="AO784" t="s">
        <v>1053</v>
      </c>
      <c r="AP784" t="s">
        <v>2069</v>
      </c>
      <c r="AQ784" t="s">
        <v>1053</v>
      </c>
      <c r="AR784" t="s">
        <v>2069</v>
      </c>
      <c r="AS784" t="s">
        <v>6315</v>
      </c>
      <c r="AT784" t="s">
        <v>6320</v>
      </c>
      <c r="AU784" t="s">
        <v>1053</v>
      </c>
      <c r="AV784" t="s">
        <v>1053</v>
      </c>
      <c r="AW784" t="s">
        <v>2069</v>
      </c>
      <c r="AX784" t="s">
        <v>1053</v>
      </c>
      <c r="AY784" t="s">
        <v>2069</v>
      </c>
      <c r="AZ784" t="s">
        <v>6315</v>
      </c>
      <c r="BA784" t="s">
        <v>6320</v>
      </c>
      <c r="BB784" t="s">
        <v>1053</v>
      </c>
      <c r="BC784" t="s">
        <v>2069</v>
      </c>
      <c r="BD784" t="s">
        <v>1053</v>
      </c>
      <c r="BE784" t="s">
        <v>2069</v>
      </c>
      <c r="BF784" t="s">
        <v>1053</v>
      </c>
      <c r="BG784" t="s">
        <v>349</v>
      </c>
      <c r="BH784" t="s">
        <v>236</v>
      </c>
      <c r="BI784" t="s">
        <v>1053</v>
      </c>
      <c r="BJ784" t="s">
        <v>1053</v>
      </c>
      <c r="BK784" t="s">
        <v>1053</v>
      </c>
      <c r="BL784" t="s">
        <v>1053</v>
      </c>
      <c r="BM784" t="s">
        <v>237</v>
      </c>
      <c r="BN784" t="s">
        <v>238</v>
      </c>
      <c r="BO784" t="s">
        <v>1053</v>
      </c>
      <c r="BP784" t="s">
        <v>239</v>
      </c>
      <c r="BQ784" t="s">
        <v>6321</v>
      </c>
      <c r="BR784" t="s">
        <v>1053</v>
      </c>
      <c r="BS784" t="s">
        <v>1053</v>
      </c>
      <c r="BT784" t="s">
        <v>1053</v>
      </c>
      <c r="BU784" t="s">
        <v>1053</v>
      </c>
      <c r="BV784" t="s">
        <v>241</v>
      </c>
      <c r="BW784" t="s">
        <v>242</v>
      </c>
      <c r="BX784" t="str">
        <f>"SMTWTFS 0600-2000"</f>
        <v>SMTWTFS 0600-2000</v>
      </c>
      <c r="BY784" t="str">
        <f>"SMTWTFS 0600-1930"</f>
        <v>SMTWTFS 0600-1930</v>
      </c>
      <c r="BZ784" t="str">
        <f>"SMTWTFS 0600-1945"</f>
        <v>SMTWTFS 0600-1945</v>
      </c>
      <c r="CA784" t="str">
        <f>"SMTWTFS 0600-1945"</f>
        <v>SMTWTFS 0600-1945</v>
      </c>
      <c r="CB784" t="str">
        <f>""</f>
        <v/>
      </c>
      <c r="CC784" t="str">
        <f>"SMTWTFS 0600-2000"</f>
        <v>SMTWTFS 0600-2000</v>
      </c>
      <c r="CD784" t="str">
        <f>""</f>
        <v/>
      </c>
      <c r="CE784" t="str">
        <f>""</f>
        <v/>
      </c>
      <c r="CF784" t="str">
        <f>"SMTWTFS 0700-1800"</f>
        <v>SMTWTFS 0700-1800</v>
      </c>
      <c r="CG784" t="str">
        <f>""</f>
        <v/>
      </c>
      <c r="CH784" t="str">
        <f>""</f>
        <v/>
      </c>
    </row>
    <row r="785" spans="1:86" x14ac:dyDescent="0.25">
      <c r="A785" t="s">
        <v>6322</v>
      </c>
      <c r="B785" t="s">
        <v>6323</v>
      </c>
      <c r="C785" t="s">
        <v>1992</v>
      </c>
      <c r="D785" t="s">
        <v>1993</v>
      </c>
      <c r="E785" t="s">
        <v>6324</v>
      </c>
      <c r="F785" t="s">
        <v>6325</v>
      </c>
      <c r="H785" t="s">
        <v>6313</v>
      </c>
      <c r="I785" t="s">
        <v>1371</v>
      </c>
      <c r="J785" t="str">
        <f>"89449"</f>
        <v>89449</v>
      </c>
      <c r="K785" t="s">
        <v>1998</v>
      </c>
      <c r="L785" t="s">
        <v>2062</v>
      </c>
      <c r="M785" t="s">
        <v>2000</v>
      </c>
      <c r="N785" t="s">
        <v>1992</v>
      </c>
      <c r="O785" t="s">
        <v>1992</v>
      </c>
      <c r="P785" t="s">
        <v>1992</v>
      </c>
      <c r="Q785" t="s">
        <v>1992</v>
      </c>
      <c r="R785" t="s">
        <v>1992</v>
      </c>
      <c r="S785" t="s">
        <v>1992</v>
      </c>
      <c r="T785" t="s">
        <v>1992</v>
      </c>
      <c r="U785" t="s">
        <v>1992</v>
      </c>
      <c r="V785" t="s">
        <v>1991</v>
      </c>
      <c r="Y785" t="s">
        <v>1991</v>
      </c>
      <c r="AF785" t="s">
        <v>2064</v>
      </c>
      <c r="AG785" t="s">
        <v>1991</v>
      </c>
      <c r="AH785">
        <v>15</v>
      </c>
      <c r="AI785">
        <v>15</v>
      </c>
      <c r="AJ785" t="s">
        <v>6326</v>
      </c>
      <c r="AK785">
        <v>6325</v>
      </c>
      <c r="BF785" t="s">
        <v>1053</v>
      </c>
      <c r="BG785" t="s">
        <v>6198</v>
      </c>
      <c r="BH785" t="s">
        <v>5469</v>
      </c>
      <c r="BI785" t="s">
        <v>1053</v>
      </c>
      <c r="BK785" t="s">
        <v>1053</v>
      </c>
      <c r="BO785" t="s">
        <v>1053</v>
      </c>
      <c r="BP785" t="s">
        <v>6199</v>
      </c>
      <c r="BQ785" t="s">
        <v>311</v>
      </c>
      <c r="BR785" t="s">
        <v>1053</v>
      </c>
      <c r="BS785" t="s">
        <v>1053</v>
      </c>
      <c r="BT785" t="s">
        <v>1053</v>
      </c>
      <c r="BU785" t="s">
        <v>1053</v>
      </c>
      <c r="BX785" t="str">
        <f>""</f>
        <v/>
      </c>
      <c r="BY785" t="str">
        <f>""</f>
        <v/>
      </c>
      <c r="BZ785" t="str">
        <f>""</f>
        <v/>
      </c>
      <c r="CA785" t="str">
        <f>""</f>
        <v/>
      </c>
      <c r="CB785" t="str">
        <f>""</f>
        <v/>
      </c>
      <c r="CC785" t="str">
        <f>""</f>
        <v/>
      </c>
      <c r="CD785" t="str">
        <f>""</f>
        <v/>
      </c>
      <c r="CE785" t="str">
        <f>""</f>
        <v/>
      </c>
      <c r="CF785" t="str">
        <f>""</f>
        <v/>
      </c>
      <c r="CG785" t="str">
        <f>""</f>
        <v/>
      </c>
      <c r="CH785" t="str">
        <f>""</f>
        <v/>
      </c>
    </row>
    <row r="786" spans="1:86" x14ac:dyDescent="0.25">
      <c r="A786" t="s">
        <v>6327</v>
      </c>
      <c r="B786" t="s">
        <v>6328</v>
      </c>
      <c r="C786" t="s">
        <v>1991</v>
      </c>
      <c r="D786" t="s">
        <v>2010</v>
      </c>
      <c r="E786" t="s">
        <v>6329</v>
      </c>
      <c r="H786" t="s">
        <v>6330</v>
      </c>
      <c r="I786" t="s">
        <v>2061</v>
      </c>
      <c r="J786" t="str">
        <f>"93401-4449"</f>
        <v>93401-4449</v>
      </c>
      <c r="K786" t="s">
        <v>1998</v>
      </c>
      <c r="L786" t="s">
        <v>2045</v>
      </c>
      <c r="M786" t="s">
        <v>6331</v>
      </c>
      <c r="N786" t="s">
        <v>1991</v>
      </c>
      <c r="O786" t="s">
        <v>1991</v>
      </c>
      <c r="P786" t="s">
        <v>1991</v>
      </c>
      <c r="Q786" t="s">
        <v>1991</v>
      </c>
      <c r="R786" t="s">
        <v>1991</v>
      </c>
      <c r="S786" t="s">
        <v>1992</v>
      </c>
      <c r="T786" t="s">
        <v>1992</v>
      </c>
      <c r="U786" t="s">
        <v>1991</v>
      </c>
      <c r="V786" t="s">
        <v>1991</v>
      </c>
      <c r="W786" t="s">
        <v>1991</v>
      </c>
      <c r="X786" t="s">
        <v>1992</v>
      </c>
      <c r="Y786" t="s">
        <v>1991</v>
      </c>
      <c r="Z786" t="s">
        <v>1992</v>
      </c>
      <c r="AA786" t="s">
        <v>1992</v>
      </c>
      <c r="AB786" t="s">
        <v>6332</v>
      </c>
      <c r="AE786" t="s">
        <v>2047</v>
      </c>
      <c r="AF786" t="s">
        <v>2064</v>
      </c>
      <c r="AG786" t="s">
        <v>1991</v>
      </c>
      <c r="AH786">
        <v>60</v>
      </c>
      <c r="AI786">
        <v>30</v>
      </c>
      <c r="AJ786" t="s">
        <v>6333</v>
      </c>
      <c r="AK786">
        <v>248</v>
      </c>
      <c r="AL786">
        <v>41200</v>
      </c>
      <c r="AM786" t="s">
        <v>2298</v>
      </c>
      <c r="AN786" t="s">
        <v>1053</v>
      </c>
      <c r="AO786" t="s">
        <v>1053</v>
      </c>
      <c r="AP786" t="s">
        <v>2069</v>
      </c>
      <c r="AQ786" t="s">
        <v>1053</v>
      </c>
      <c r="AR786" t="s">
        <v>2069</v>
      </c>
      <c r="AS786" t="s">
        <v>6327</v>
      </c>
      <c r="AT786" t="s">
        <v>6334</v>
      </c>
      <c r="AU786" t="s">
        <v>1053</v>
      </c>
      <c r="AV786" t="s">
        <v>1053</v>
      </c>
      <c r="AW786" t="s">
        <v>2069</v>
      </c>
      <c r="AX786" t="s">
        <v>1053</v>
      </c>
      <c r="AY786" t="s">
        <v>2069</v>
      </c>
      <c r="AZ786" t="s">
        <v>6327</v>
      </c>
      <c r="BA786" t="s">
        <v>6334</v>
      </c>
      <c r="BB786" t="s">
        <v>1053</v>
      </c>
      <c r="BC786" t="s">
        <v>2069</v>
      </c>
      <c r="BD786" t="s">
        <v>1053</v>
      </c>
      <c r="BE786" t="s">
        <v>2069</v>
      </c>
      <c r="BF786" t="s">
        <v>1053</v>
      </c>
      <c r="BG786" t="s">
        <v>2067</v>
      </c>
      <c r="BH786" t="s">
        <v>275</v>
      </c>
      <c r="BI786" t="s">
        <v>1053</v>
      </c>
      <c r="BJ786" t="s">
        <v>2069</v>
      </c>
      <c r="BK786" t="s">
        <v>1053</v>
      </c>
      <c r="BL786" t="s">
        <v>2069</v>
      </c>
      <c r="BM786" t="s">
        <v>276</v>
      </c>
      <c r="BN786" t="s">
        <v>277</v>
      </c>
      <c r="BO786" t="s">
        <v>1053</v>
      </c>
      <c r="BP786" t="s">
        <v>2067</v>
      </c>
      <c r="BQ786" t="s">
        <v>275</v>
      </c>
      <c r="BR786" t="s">
        <v>1053</v>
      </c>
      <c r="BX786" t="str">
        <f>"SMTWTFS 0545-2100"</f>
        <v>SMTWTFS 0545-2100</v>
      </c>
      <c r="BY786" t="str">
        <f>"SMTWTFS 0545-2100"</f>
        <v>SMTWTFS 0545-2100</v>
      </c>
      <c r="BZ786" t="str">
        <f>"SMTWTFS 0545-1615"</f>
        <v>SMTWTFS 0545-1615</v>
      </c>
      <c r="CA786" t="str">
        <f>"SMTWTFS 0545-2030"</f>
        <v>SMTWTFS 0545-2030</v>
      </c>
      <c r="CB786" t="str">
        <f>""</f>
        <v/>
      </c>
      <c r="CC786" t="str">
        <f>"SMTWTFS 0545-2030"</f>
        <v>SMTWTFS 0545-2030</v>
      </c>
      <c r="CD786" t="str">
        <f>"SMTWTFS 0545-2030"</f>
        <v>SMTWTFS 0545-2030</v>
      </c>
      <c r="CE786" t="str">
        <f>""</f>
        <v/>
      </c>
      <c r="CF786" t="str">
        <f>"SMTWTFS 0700-1200 1730-1930"</f>
        <v>SMTWTFS 0700-1200 1730-1930</v>
      </c>
      <c r="CG786" t="str">
        <f>""</f>
        <v/>
      </c>
      <c r="CH786" t="str">
        <f>""</f>
        <v/>
      </c>
    </row>
    <row r="787" spans="1:86" x14ac:dyDescent="0.25">
      <c r="A787" t="s">
        <v>6335</v>
      </c>
      <c r="B787" t="s">
        <v>6336</v>
      </c>
      <c r="C787" t="s">
        <v>1992</v>
      </c>
      <c r="D787" t="s">
        <v>1993</v>
      </c>
      <c r="E787" t="s">
        <v>6337</v>
      </c>
      <c r="F787" t="s">
        <v>6338</v>
      </c>
      <c r="H787" t="s">
        <v>6330</v>
      </c>
      <c r="I787" t="s">
        <v>2061</v>
      </c>
      <c r="J787" t="str">
        <f>"93401"</f>
        <v>93401</v>
      </c>
      <c r="K787" t="s">
        <v>1998</v>
      </c>
      <c r="L787" t="s">
        <v>2045</v>
      </c>
      <c r="M787" t="s">
        <v>2063</v>
      </c>
      <c r="N787" t="s">
        <v>1992</v>
      </c>
      <c r="O787" t="s">
        <v>1992</v>
      </c>
      <c r="P787" t="s">
        <v>1992</v>
      </c>
      <c r="Q787" t="s">
        <v>1992</v>
      </c>
      <c r="R787" t="s">
        <v>1992</v>
      </c>
      <c r="S787" t="s">
        <v>1992</v>
      </c>
      <c r="T787" t="s">
        <v>1992</v>
      </c>
      <c r="U787" t="s">
        <v>1992</v>
      </c>
      <c r="V787" t="s">
        <v>1991</v>
      </c>
      <c r="W787" t="s">
        <v>1992</v>
      </c>
      <c r="X787" t="s">
        <v>1992</v>
      </c>
      <c r="Y787" t="s">
        <v>1991</v>
      </c>
      <c r="Z787" t="s">
        <v>1991</v>
      </c>
      <c r="AB787" t="s">
        <v>6332</v>
      </c>
      <c r="AF787" t="s">
        <v>2064</v>
      </c>
      <c r="AG787" t="s">
        <v>1991</v>
      </c>
      <c r="AH787">
        <v>30</v>
      </c>
      <c r="AI787">
        <v>30</v>
      </c>
      <c r="AJ787" t="s">
        <v>6339</v>
      </c>
      <c r="AK787">
        <v>391</v>
      </c>
      <c r="AL787">
        <v>40400</v>
      </c>
      <c r="AM787" t="s">
        <v>2298</v>
      </c>
      <c r="AN787" t="s">
        <v>1053</v>
      </c>
      <c r="AO787" t="s">
        <v>1053</v>
      </c>
      <c r="BF787" t="s">
        <v>1053</v>
      </c>
      <c r="BG787" t="s">
        <v>309</v>
      </c>
      <c r="BH787" t="s">
        <v>2301</v>
      </c>
      <c r="BI787" t="s">
        <v>1053</v>
      </c>
      <c r="BK787" t="s">
        <v>1053</v>
      </c>
      <c r="BO787" t="s">
        <v>1053</v>
      </c>
      <c r="BP787" t="s">
        <v>310</v>
      </c>
      <c r="BQ787" t="s">
        <v>311</v>
      </c>
      <c r="BR787" t="s">
        <v>1053</v>
      </c>
      <c r="BS787" t="s">
        <v>1053</v>
      </c>
      <c r="BT787" t="s">
        <v>1053</v>
      </c>
      <c r="BU787" t="s">
        <v>1053</v>
      </c>
      <c r="BX787" t="str">
        <f>""</f>
        <v/>
      </c>
      <c r="BY787" t="str">
        <f>""</f>
        <v/>
      </c>
      <c r="BZ787" t="str">
        <f>""</f>
        <v/>
      </c>
      <c r="CA787" t="str">
        <f>""</f>
        <v/>
      </c>
      <c r="CB787" t="str">
        <f>""</f>
        <v/>
      </c>
      <c r="CC787" t="str">
        <f>""</f>
        <v/>
      </c>
      <c r="CD787" t="str">
        <f>""</f>
        <v/>
      </c>
      <c r="CE787" t="str">
        <f>""</f>
        <v/>
      </c>
      <c r="CF787" t="str">
        <f>""</f>
        <v/>
      </c>
      <c r="CG787" t="str">
        <f>""</f>
        <v/>
      </c>
      <c r="CH787" t="str">
        <f>""</f>
        <v/>
      </c>
    </row>
    <row r="788" spans="1:86" x14ac:dyDescent="0.25">
      <c r="A788" t="s">
        <v>6340</v>
      </c>
      <c r="B788" t="s">
        <v>6341</v>
      </c>
      <c r="C788" t="s">
        <v>1991</v>
      </c>
      <c r="D788" t="s">
        <v>2010</v>
      </c>
      <c r="E788" t="s">
        <v>6342</v>
      </c>
      <c r="H788" t="s">
        <v>6343</v>
      </c>
      <c r="I788" t="s">
        <v>3895</v>
      </c>
      <c r="J788" t="str">
        <f>"J4P 2G5"</f>
        <v>J4P 2G5</v>
      </c>
      <c r="K788" t="s">
        <v>373</v>
      </c>
      <c r="L788" t="s">
        <v>374</v>
      </c>
      <c r="M788" t="s">
        <v>375</v>
      </c>
      <c r="N788" t="s">
        <v>1991</v>
      </c>
      <c r="O788" t="s">
        <v>1992</v>
      </c>
      <c r="P788" t="s">
        <v>1992</v>
      </c>
      <c r="Q788" t="s">
        <v>1992</v>
      </c>
      <c r="R788" t="s">
        <v>1992</v>
      </c>
      <c r="S788" t="s">
        <v>1992</v>
      </c>
      <c r="T788" t="s">
        <v>1992</v>
      </c>
      <c r="U788" t="s">
        <v>1992</v>
      </c>
      <c r="V788" t="s">
        <v>1991</v>
      </c>
      <c r="W788" t="s">
        <v>1991</v>
      </c>
      <c r="X788" t="s">
        <v>1991</v>
      </c>
      <c r="Y788" t="s">
        <v>1992</v>
      </c>
      <c r="Z788" t="s">
        <v>1992</v>
      </c>
      <c r="AD788" t="s">
        <v>6344</v>
      </c>
      <c r="AE788" t="s">
        <v>296</v>
      </c>
      <c r="AF788" t="s">
        <v>2016</v>
      </c>
      <c r="AG788" t="s">
        <v>1991</v>
      </c>
      <c r="AH788">
        <v>45</v>
      </c>
      <c r="AI788">
        <v>30</v>
      </c>
      <c r="AJ788" t="s">
        <v>6345</v>
      </c>
      <c r="AK788">
        <v>69</v>
      </c>
      <c r="AL788">
        <v>50000</v>
      </c>
      <c r="AM788" t="s">
        <v>379</v>
      </c>
      <c r="AN788" t="s">
        <v>380</v>
      </c>
      <c r="AO788" t="s">
        <v>1053</v>
      </c>
      <c r="AP788" t="s">
        <v>2069</v>
      </c>
      <c r="AQ788" t="s">
        <v>2063</v>
      </c>
      <c r="AR788" t="s">
        <v>2069</v>
      </c>
      <c r="AS788">
        <v>0</v>
      </c>
      <c r="AT788" t="s">
        <v>357</v>
      </c>
      <c r="AU788" t="s">
        <v>380</v>
      </c>
      <c r="AV788" t="s">
        <v>1053</v>
      </c>
      <c r="AW788" t="s">
        <v>2069</v>
      </c>
      <c r="AX788" t="s">
        <v>2063</v>
      </c>
      <c r="AY788" t="s">
        <v>2069</v>
      </c>
      <c r="AZ788">
        <v>0</v>
      </c>
      <c r="BA788" t="s">
        <v>357</v>
      </c>
      <c r="BB788" t="s">
        <v>1053</v>
      </c>
      <c r="BC788" t="s">
        <v>2069</v>
      </c>
      <c r="BD788" t="s">
        <v>1053</v>
      </c>
      <c r="BE788" t="s">
        <v>2069</v>
      </c>
      <c r="BF788" t="s">
        <v>1053</v>
      </c>
      <c r="BG788" t="s">
        <v>6346</v>
      </c>
      <c r="BH788" t="s">
        <v>6347</v>
      </c>
      <c r="BI788" t="s">
        <v>1053</v>
      </c>
      <c r="BJ788" t="s">
        <v>2069</v>
      </c>
      <c r="BK788" t="s">
        <v>1053</v>
      </c>
      <c r="BL788" t="s">
        <v>2069</v>
      </c>
      <c r="BM788" t="s">
        <v>1222</v>
      </c>
      <c r="BN788" t="s">
        <v>3901</v>
      </c>
      <c r="BO788" t="s">
        <v>1053</v>
      </c>
      <c r="BP788" t="s">
        <v>6346</v>
      </c>
      <c r="BQ788" t="s">
        <v>6347</v>
      </c>
      <c r="BR788" t="s">
        <v>1053</v>
      </c>
      <c r="BS788" t="s">
        <v>2069</v>
      </c>
      <c r="BT788" t="s">
        <v>1053</v>
      </c>
      <c r="BU788" t="s">
        <v>2069</v>
      </c>
      <c r="BV788" t="s">
        <v>1222</v>
      </c>
      <c r="BW788" t="s">
        <v>3901</v>
      </c>
      <c r="BX788" t="str">
        <f>"S------ 0730-1315 1500-2100; -MTWTF- 0600-1345 1500-2100; ------S 0730-1400 1500-2100"</f>
        <v>S------ 0730-1315 1500-2100; -MTWTF- 0600-1345 1500-2100; ------S 0730-1400 1500-2100</v>
      </c>
      <c r="BY788" t="str">
        <f>"S------ 0730-1315 1500-2100; -MTWTF- 0600-1345 1500-2100; ------S 0730-1400 1500-2100"</f>
        <v>S------ 0730-1315 1500-2100; -MTWTF- 0600-1345 1500-2100; ------S 0730-1400 1500-2100</v>
      </c>
      <c r="BZ788" t="str">
        <f>"S------ 0730-1315 1500-2100; -MTWTF- 0600-1345 1500-2100; ------S 0730-1400 1500-2100"</f>
        <v>S------ 0730-1315 1500-2100; -MTWTF- 0600-1345 1500-2100; ------S 0730-1400 1500-2100</v>
      </c>
      <c r="CA788" t="str">
        <f>""</f>
        <v/>
      </c>
      <c r="CB788" t="str">
        <f>"S------ 0730-1315 1500-2100; -MTWTF- 0600-1345 1500-2100; ------S 0730-1400 1500-2100"</f>
        <v>S------ 0730-1315 1500-2100; -MTWTF- 0600-1345 1500-2100; ------S 0730-1400 1500-2100</v>
      </c>
      <c r="CC788" t="str">
        <f>""</f>
        <v/>
      </c>
      <c r="CD788" t="str">
        <f>""</f>
        <v/>
      </c>
      <c r="CE788" t="str">
        <f>""</f>
        <v/>
      </c>
      <c r="CF788" t="str">
        <f>""</f>
        <v/>
      </c>
      <c r="CG788" t="str">
        <f>""</f>
        <v/>
      </c>
      <c r="CH788" t="str">
        <f>""</f>
        <v/>
      </c>
    </row>
    <row r="789" spans="1:86" x14ac:dyDescent="0.25">
      <c r="A789" t="s">
        <v>6348</v>
      </c>
      <c r="B789" t="s">
        <v>6349</v>
      </c>
      <c r="C789" t="s">
        <v>1992</v>
      </c>
      <c r="D789" t="s">
        <v>1993</v>
      </c>
      <c r="E789" t="s">
        <v>6350</v>
      </c>
      <c r="F789" t="s">
        <v>6351</v>
      </c>
      <c r="H789" t="s">
        <v>5490</v>
      </c>
      <c r="I789" t="s">
        <v>2014</v>
      </c>
      <c r="J789" t="str">
        <f>"21801"</f>
        <v>21801</v>
      </c>
      <c r="K789" t="s">
        <v>1998</v>
      </c>
      <c r="L789" t="s">
        <v>2015</v>
      </c>
      <c r="M789" t="s">
        <v>976</v>
      </c>
      <c r="N789" t="s">
        <v>1992</v>
      </c>
      <c r="O789" t="s">
        <v>1992</v>
      </c>
      <c r="P789" t="s">
        <v>1992</v>
      </c>
      <c r="Q789" t="s">
        <v>1992</v>
      </c>
      <c r="R789" t="s">
        <v>1992</v>
      </c>
      <c r="S789" t="s">
        <v>1992</v>
      </c>
      <c r="T789" t="s">
        <v>1992</v>
      </c>
      <c r="U789" t="s">
        <v>1992</v>
      </c>
      <c r="V789" t="s">
        <v>1991</v>
      </c>
      <c r="Z789" t="s">
        <v>1991</v>
      </c>
      <c r="AF789" t="s">
        <v>2016</v>
      </c>
      <c r="AG789" t="s">
        <v>1991</v>
      </c>
      <c r="AH789">
        <v>15</v>
      </c>
      <c r="AI789">
        <v>15</v>
      </c>
      <c r="AJ789" t="s">
        <v>6352</v>
      </c>
      <c r="AK789">
        <v>8</v>
      </c>
      <c r="BX789" t="str">
        <f>""</f>
        <v/>
      </c>
      <c r="BY789" t="str">
        <f>""</f>
        <v/>
      </c>
      <c r="BZ789" t="str">
        <f>""</f>
        <v/>
      </c>
      <c r="CA789" t="str">
        <f>""</f>
        <v/>
      </c>
      <c r="CB789" t="str">
        <f>""</f>
        <v/>
      </c>
      <c r="CC789" t="str">
        <f>""</f>
        <v/>
      </c>
      <c r="CD789" t="str">
        <f>""</f>
        <v/>
      </c>
      <c r="CE789" t="str">
        <f>""</f>
        <v/>
      </c>
      <c r="CF789" t="str">
        <f>""</f>
        <v/>
      </c>
      <c r="CG789" t="str">
        <f>""</f>
        <v/>
      </c>
      <c r="CH789" t="str">
        <f>""</f>
        <v/>
      </c>
    </row>
    <row r="790" spans="1:86" x14ac:dyDescent="0.25">
      <c r="A790" t="s">
        <v>6353</v>
      </c>
      <c r="B790" t="s">
        <v>6354</v>
      </c>
      <c r="C790" t="s">
        <v>1992</v>
      </c>
      <c r="D790" t="s">
        <v>1993</v>
      </c>
      <c r="E790" t="s">
        <v>6355</v>
      </c>
      <c r="F790" t="s">
        <v>6356</v>
      </c>
      <c r="H790" t="s">
        <v>6357</v>
      </c>
      <c r="I790" t="s">
        <v>2061</v>
      </c>
      <c r="J790" t="str">
        <f>"96151"</f>
        <v>96151</v>
      </c>
      <c r="K790" t="s">
        <v>1998</v>
      </c>
      <c r="L790" t="s">
        <v>2062</v>
      </c>
      <c r="M790" t="s">
        <v>2063</v>
      </c>
      <c r="N790" t="s">
        <v>1992</v>
      </c>
      <c r="O790" t="s">
        <v>1992</v>
      </c>
      <c r="P790" t="s">
        <v>1992</v>
      </c>
      <c r="Q790" t="s">
        <v>1992</v>
      </c>
      <c r="R790" t="s">
        <v>1992</v>
      </c>
      <c r="S790" t="s">
        <v>1992</v>
      </c>
      <c r="T790" t="s">
        <v>1992</v>
      </c>
      <c r="U790" t="s">
        <v>1992</v>
      </c>
      <c r="V790" t="s">
        <v>1991</v>
      </c>
      <c r="W790" t="s">
        <v>1992</v>
      </c>
      <c r="X790" t="s">
        <v>1992</v>
      </c>
      <c r="Y790" t="s">
        <v>1991</v>
      </c>
      <c r="Z790" t="s">
        <v>1992</v>
      </c>
      <c r="AA790" t="s">
        <v>1992</v>
      </c>
      <c r="AF790" t="s">
        <v>2064</v>
      </c>
      <c r="AG790" t="s">
        <v>1991</v>
      </c>
      <c r="AH790">
        <v>30</v>
      </c>
      <c r="AI790">
        <v>30</v>
      </c>
      <c r="AJ790" t="s">
        <v>6358</v>
      </c>
      <c r="AK790">
        <v>6271</v>
      </c>
      <c r="AL790">
        <v>23100</v>
      </c>
      <c r="AM790" t="s">
        <v>2298</v>
      </c>
      <c r="BF790" t="s">
        <v>1053</v>
      </c>
      <c r="BG790" t="s">
        <v>309</v>
      </c>
      <c r="BH790" t="s">
        <v>2301</v>
      </c>
      <c r="BI790" t="s">
        <v>1053</v>
      </c>
      <c r="BK790" t="s">
        <v>1053</v>
      </c>
      <c r="BO790" t="s">
        <v>1053</v>
      </c>
      <c r="BP790" t="s">
        <v>394</v>
      </c>
      <c r="BQ790" t="s">
        <v>2055</v>
      </c>
      <c r="BR790" t="s">
        <v>1053</v>
      </c>
      <c r="BS790" t="s">
        <v>1053</v>
      </c>
      <c r="BT790" t="s">
        <v>1053</v>
      </c>
      <c r="BX790" t="str">
        <f>""</f>
        <v/>
      </c>
      <c r="BY790" t="str">
        <f>""</f>
        <v/>
      </c>
      <c r="BZ790" t="str">
        <f>""</f>
        <v/>
      </c>
      <c r="CA790" t="str">
        <f>""</f>
        <v/>
      </c>
      <c r="CB790" t="str">
        <f>""</f>
        <v/>
      </c>
      <c r="CC790" t="str">
        <f>""</f>
        <v/>
      </c>
      <c r="CD790" t="str">
        <f>""</f>
        <v/>
      </c>
      <c r="CE790" t="str">
        <f>""</f>
        <v/>
      </c>
      <c r="CF790" t="str">
        <f>""</f>
        <v/>
      </c>
      <c r="CG790" t="str">
        <f>""</f>
        <v/>
      </c>
      <c r="CH790" t="str">
        <f>""</f>
        <v/>
      </c>
    </row>
    <row r="791" spans="1:86" x14ac:dyDescent="0.25">
      <c r="A791" t="s">
        <v>6359</v>
      </c>
      <c r="B791" t="s">
        <v>6360</v>
      </c>
      <c r="C791" t="s">
        <v>1992</v>
      </c>
      <c r="D791" t="s">
        <v>1993</v>
      </c>
      <c r="E791" t="s">
        <v>6361</v>
      </c>
      <c r="H791" t="s">
        <v>6362</v>
      </c>
      <c r="I791" t="s">
        <v>2061</v>
      </c>
      <c r="J791" t="str">
        <f>"93463"</f>
        <v>93463</v>
      </c>
      <c r="K791" t="s">
        <v>1998</v>
      </c>
      <c r="L791" t="s">
        <v>2045</v>
      </c>
      <c r="M791" t="s">
        <v>2063</v>
      </c>
      <c r="N791" t="s">
        <v>1992</v>
      </c>
      <c r="O791" t="s">
        <v>1992</v>
      </c>
      <c r="P791" t="s">
        <v>1992</v>
      </c>
      <c r="Q791" t="s">
        <v>1992</v>
      </c>
      <c r="R791" t="s">
        <v>1992</v>
      </c>
      <c r="S791" t="s">
        <v>1992</v>
      </c>
      <c r="T791" t="s">
        <v>1992</v>
      </c>
      <c r="U791" t="s">
        <v>1992</v>
      </c>
      <c r="V791" t="s">
        <v>1991</v>
      </c>
      <c r="W791" t="s">
        <v>1992</v>
      </c>
      <c r="X791" t="s">
        <v>1992</v>
      </c>
      <c r="Y791" t="s">
        <v>1991</v>
      </c>
      <c r="Z791" t="s">
        <v>1992</v>
      </c>
      <c r="AA791" t="s">
        <v>1992</v>
      </c>
      <c r="AF791" t="s">
        <v>2064</v>
      </c>
      <c r="AG791" t="s">
        <v>1991</v>
      </c>
      <c r="AH791">
        <v>30</v>
      </c>
      <c r="AI791">
        <v>30</v>
      </c>
      <c r="AJ791" t="s">
        <v>6363</v>
      </c>
      <c r="AK791">
        <v>495</v>
      </c>
      <c r="AL791">
        <v>20000</v>
      </c>
      <c r="AM791" t="s">
        <v>2298</v>
      </c>
      <c r="AN791" t="s">
        <v>3260</v>
      </c>
      <c r="AO791" t="s">
        <v>2063</v>
      </c>
      <c r="AP791" t="s">
        <v>2083</v>
      </c>
      <c r="AQ791" t="s">
        <v>2063</v>
      </c>
      <c r="AR791" t="s">
        <v>2083</v>
      </c>
      <c r="AU791" t="s">
        <v>3260</v>
      </c>
      <c r="BF791" t="s">
        <v>1053</v>
      </c>
      <c r="BG791" t="s">
        <v>309</v>
      </c>
      <c r="BH791" t="s">
        <v>2301</v>
      </c>
      <c r="BI791" t="s">
        <v>1053</v>
      </c>
      <c r="BK791" t="s">
        <v>1053</v>
      </c>
      <c r="BO791" t="s">
        <v>1053</v>
      </c>
      <c r="BP791" t="s">
        <v>235</v>
      </c>
      <c r="BQ791" t="s">
        <v>851</v>
      </c>
      <c r="BR791" t="s">
        <v>1053</v>
      </c>
      <c r="BS791" t="s">
        <v>2083</v>
      </c>
      <c r="BT791" t="s">
        <v>1053</v>
      </c>
      <c r="BU791" t="s">
        <v>2083</v>
      </c>
      <c r="BV791" t="s">
        <v>852</v>
      </c>
      <c r="BW791" t="s">
        <v>277</v>
      </c>
      <c r="BX791" t="str">
        <f>""</f>
        <v/>
      </c>
      <c r="BY791" t="str">
        <f>""</f>
        <v/>
      </c>
      <c r="BZ791" t="str">
        <f>""</f>
        <v/>
      </c>
      <c r="CA791" t="str">
        <f>""</f>
        <v/>
      </c>
      <c r="CB791" t="str">
        <f>""</f>
        <v/>
      </c>
      <c r="CC791" t="str">
        <f>""</f>
        <v/>
      </c>
      <c r="CD791" t="str">
        <f>""</f>
        <v/>
      </c>
      <c r="CE791" t="str">
        <f>""</f>
        <v/>
      </c>
      <c r="CF791" t="str">
        <f>""</f>
        <v/>
      </c>
      <c r="CG791" t="str">
        <f>""</f>
        <v/>
      </c>
      <c r="CH791" t="str">
        <f>""</f>
        <v/>
      </c>
    </row>
    <row r="792" spans="1:86" x14ac:dyDescent="0.25">
      <c r="A792" t="s">
        <v>6364</v>
      </c>
      <c r="B792" t="s">
        <v>6365</v>
      </c>
      <c r="C792" t="s">
        <v>1992</v>
      </c>
      <c r="D792" t="s">
        <v>2010</v>
      </c>
      <c r="E792" t="s">
        <v>6366</v>
      </c>
      <c r="F792" t="s">
        <v>6367</v>
      </c>
      <c r="H792" t="s">
        <v>5490</v>
      </c>
      <c r="I792" t="s">
        <v>2014</v>
      </c>
      <c r="J792" t="str">
        <f>"21801-4126"</f>
        <v>21801-4126</v>
      </c>
      <c r="K792" t="s">
        <v>1998</v>
      </c>
      <c r="L792" t="s">
        <v>2015</v>
      </c>
      <c r="M792" t="s">
        <v>6368</v>
      </c>
      <c r="N792" t="s">
        <v>1992</v>
      </c>
      <c r="O792" t="s">
        <v>1992</v>
      </c>
      <c r="P792" t="s">
        <v>1992</v>
      </c>
      <c r="Q792" t="s">
        <v>1992</v>
      </c>
      <c r="R792" t="s">
        <v>1992</v>
      </c>
      <c r="S792" t="s">
        <v>1992</v>
      </c>
      <c r="T792" t="s">
        <v>1992</v>
      </c>
      <c r="U792" t="s">
        <v>1992</v>
      </c>
      <c r="V792" t="s">
        <v>1991</v>
      </c>
      <c r="W792" t="s">
        <v>1992</v>
      </c>
      <c r="X792" t="s">
        <v>1992</v>
      </c>
      <c r="Y792" t="s">
        <v>1992</v>
      </c>
      <c r="Z792" t="s">
        <v>1991</v>
      </c>
      <c r="AE792" t="s">
        <v>3631</v>
      </c>
      <c r="AF792" t="s">
        <v>2016</v>
      </c>
      <c r="AG792" t="s">
        <v>1991</v>
      </c>
      <c r="AH792">
        <v>30</v>
      </c>
      <c r="AI792">
        <v>30</v>
      </c>
      <c r="AJ792" t="s">
        <v>6369</v>
      </c>
      <c r="AK792">
        <v>29</v>
      </c>
      <c r="BX792" t="str">
        <f>"-MTWTF- 0800-1630"</f>
        <v>-MTWTF- 0800-1630</v>
      </c>
      <c r="BY792" t="str">
        <f>""</f>
        <v/>
      </c>
      <c r="BZ792" t="str">
        <f>""</f>
        <v/>
      </c>
      <c r="CA792" t="str">
        <f>""</f>
        <v/>
      </c>
      <c r="CB792" t="str">
        <f>"-MTWTF- 0800-1630"</f>
        <v>-MTWTF- 0800-1630</v>
      </c>
      <c r="CC792" t="str">
        <f>""</f>
        <v/>
      </c>
      <c r="CD792" t="str">
        <f>""</f>
        <v/>
      </c>
      <c r="CE792" t="str">
        <f>""</f>
        <v/>
      </c>
      <c r="CF792" t="str">
        <f>""</f>
        <v/>
      </c>
      <c r="CG792" t="str">
        <f>""</f>
        <v/>
      </c>
      <c r="CH792" t="str">
        <f>""</f>
        <v/>
      </c>
    </row>
    <row r="793" spans="1:86" x14ac:dyDescent="0.25">
      <c r="A793" t="s">
        <v>6370</v>
      </c>
      <c r="B793" t="s">
        <v>6371</v>
      </c>
      <c r="C793" t="s">
        <v>1992</v>
      </c>
      <c r="D793" t="s">
        <v>2028</v>
      </c>
      <c r="E793" t="s">
        <v>6372</v>
      </c>
      <c r="F793" t="s">
        <v>6373</v>
      </c>
      <c r="H793" t="s">
        <v>6374</v>
      </c>
      <c r="I793" t="s">
        <v>2381</v>
      </c>
      <c r="J793" t="str">
        <f>"78666-6310"</f>
        <v>78666-6310</v>
      </c>
      <c r="K793" t="s">
        <v>1998</v>
      </c>
      <c r="L793" t="s">
        <v>2045</v>
      </c>
      <c r="M793" t="s">
        <v>2063</v>
      </c>
      <c r="N793" t="s">
        <v>1992</v>
      </c>
      <c r="O793" t="s">
        <v>1992</v>
      </c>
      <c r="P793" t="s">
        <v>1992</v>
      </c>
      <c r="Q793" t="s">
        <v>1992</v>
      </c>
      <c r="R793" t="s">
        <v>1992</v>
      </c>
      <c r="S793" t="s">
        <v>1992</v>
      </c>
      <c r="T793" t="s">
        <v>1992</v>
      </c>
      <c r="U793" t="s">
        <v>1992</v>
      </c>
      <c r="V793" t="s">
        <v>1991</v>
      </c>
      <c r="W793" t="s">
        <v>1991</v>
      </c>
      <c r="X793" t="s">
        <v>1992</v>
      </c>
      <c r="Y793" t="s">
        <v>1992</v>
      </c>
      <c r="Z793" t="s">
        <v>1992</v>
      </c>
      <c r="AF793" t="s">
        <v>2001</v>
      </c>
      <c r="AG793" t="s">
        <v>1991</v>
      </c>
      <c r="AH793">
        <v>30</v>
      </c>
      <c r="AI793">
        <v>30</v>
      </c>
      <c r="AJ793" t="s">
        <v>6375</v>
      </c>
      <c r="AK793">
        <v>573</v>
      </c>
      <c r="AL793">
        <v>29800</v>
      </c>
      <c r="AN793" t="s">
        <v>425</v>
      </c>
      <c r="AO793" t="s">
        <v>2063</v>
      </c>
      <c r="BF793" t="s">
        <v>1053</v>
      </c>
      <c r="BG793" t="s">
        <v>235</v>
      </c>
      <c r="BH793" t="s">
        <v>2098</v>
      </c>
      <c r="BI793" t="s">
        <v>1053</v>
      </c>
      <c r="BJ793" t="s">
        <v>2069</v>
      </c>
      <c r="BK793" t="s">
        <v>1053</v>
      </c>
      <c r="BL793" t="s">
        <v>2069</v>
      </c>
      <c r="BM793" t="s">
        <v>2099</v>
      </c>
      <c r="BN793" t="s">
        <v>2100</v>
      </c>
      <c r="BO793" t="s">
        <v>1053</v>
      </c>
      <c r="BP793" t="s">
        <v>2101</v>
      </c>
      <c r="BQ793" t="s">
        <v>2055</v>
      </c>
      <c r="BR793" t="s">
        <v>1053</v>
      </c>
      <c r="BS793" t="s">
        <v>1053</v>
      </c>
      <c r="BT793" t="s">
        <v>1053</v>
      </c>
      <c r="BU793" t="s">
        <v>1053</v>
      </c>
      <c r="BV793" t="s">
        <v>2056</v>
      </c>
      <c r="BX793" t="str">
        <f>"S------ 0800-1200 1400-1900; -MTWTF- 0700-2100; ------S 0700-1200 1400-2100"</f>
        <v>S------ 0800-1200 1400-1900; -MTWTF- 0700-2100; ------S 0700-1200 1400-2100</v>
      </c>
      <c r="BY793" t="str">
        <f>""</f>
        <v/>
      </c>
      <c r="BZ793" t="str">
        <f>""</f>
        <v/>
      </c>
      <c r="CA793" t="str">
        <f>""</f>
        <v/>
      </c>
      <c r="CB793" t="str">
        <f>""</f>
        <v/>
      </c>
      <c r="CC793" t="str">
        <f>""</f>
        <v/>
      </c>
      <c r="CD793" t="str">
        <f>""</f>
        <v/>
      </c>
      <c r="CE793" t="str">
        <f>""</f>
        <v/>
      </c>
      <c r="CF793" t="str">
        <f>""</f>
        <v/>
      </c>
      <c r="CG793" t="str">
        <f>""</f>
        <v/>
      </c>
      <c r="CH793" t="str">
        <f>""</f>
        <v/>
      </c>
    </row>
    <row r="794" spans="1:86" x14ac:dyDescent="0.25">
      <c r="A794" t="s">
        <v>6376</v>
      </c>
      <c r="B794" t="s">
        <v>6377</v>
      </c>
      <c r="C794" t="s">
        <v>1992</v>
      </c>
      <c r="D794" t="s">
        <v>1993</v>
      </c>
      <c r="E794" t="s">
        <v>6378</v>
      </c>
      <c r="F794" t="s">
        <v>6379</v>
      </c>
      <c r="H794" t="s">
        <v>3677</v>
      </c>
      <c r="I794" t="s">
        <v>1997</v>
      </c>
      <c r="J794" t="str">
        <f>"53716"</f>
        <v>53716</v>
      </c>
      <c r="K794" t="s">
        <v>1998</v>
      </c>
      <c r="L794" t="s">
        <v>1999</v>
      </c>
      <c r="M794" t="s">
        <v>2063</v>
      </c>
      <c r="N794" t="s">
        <v>1992</v>
      </c>
      <c r="O794" t="s">
        <v>1992</v>
      </c>
      <c r="P794" t="s">
        <v>1992</v>
      </c>
      <c r="Q794" t="s">
        <v>1992</v>
      </c>
      <c r="R794" t="s">
        <v>1992</v>
      </c>
      <c r="S794" t="s">
        <v>1992</v>
      </c>
      <c r="T794" t="s">
        <v>1992</v>
      </c>
      <c r="U794" t="s">
        <v>1992</v>
      </c>
      <c r="V794" t="s">
        <v>1991</v>
      </c>
      <c r="W794" t="s">
        <v>1992</v>
      </c>
      <c r="X794" t="s">
        <v>1992</v>
      </c>
      <c r="Y794" t="s">
        <v>1991</v>
      </c>
      <c r="Z794" t="s">
        <v>1991</v>
      </c>
      <c r="AB794" t="s">
        <v>1178</v>
      </c>
      <c r="AF794" t="s">
        <v>2001</v>
      </c>
      <c r="AG794" t="s">
        <v>1991</v>
      </c>
      <c r="AH794">
        <v>30</v>
      </c>
      <c r="AI794">
        <v>30</v>
      </c>
      <c r="AJ794" t="s">
        <v>6380</v>
      </c>
      <c r="AK794">
        <v>851</v>
      </c>
      <c r="BX794" t="str">
        <f>""</f>
        <v/>
      </c>
      <c r="BY794" t="str">
        <f>""</f>
        <v/>
      </c>
      <c r="BZ794" t="str">
        <f>""</f>
        <v/>
      </c>
      <c r="CA794" t="str">
        <f>""</f>
        <v/>
      </c>
      <c r="CB794" t="str">
        <f>""</f>
        <v/>
      </c>
      <c r="CC794" t="str">
        <f>""</f>
        <v/>
      </c>
      <c r="CD794" t="str">
        <f>""</f>
        <v/>
      </c>
      <c r="CE794" t="str">
        <f>""</f>
        <v/>
      </c>
      <c r="CF794" t="str">
        <f>""</f>
        <v/>
      </c>
      <c r="CG794" t="str">
        <f>""</f>
        <v/>
      </c>
      <c r="CH794" t="str">
        <f>""</f>
        <v/>
      </c>
    </row>
    <row r="795" spans="1:86" x14ac:dyDescent="0.25">
      <c r="A795" t="s">
        <v>6381</v>
      </c>
      <c r="B795" t="s">
        <v>6382</v>
      </c>
      <c r="C795" t="s">
        <v>1992</v>
      </c>
      <c r="D795" t="s">
        <v>1993</v>
      </c>
      <c r="E795" t="s">
        <v>6383</v>
      </c>
      <c r="F795" t="s">
        <v>6384</v>
      </c>
      <c r="H795" t="s">
        <v>6385</v>
      </c>
      <c r="I795" t="s">
        <v>2352</v>
      </c>
      <c r="J795" t="str">
        <f>"49783-3619"</f>
        <v>49783-3619</v>
      </c>
      <c r="K795" t="s">
        <v>1998</v>
      </c>
      <c r="L795" t="s">
        <v>1999</v>
      </c>
      <c r="M795" t="s">
        <v>2000</v>
      </c>
      <c r="N795" t="s">
        <v>1992</v>
      </c>
      <c r="O795" t="s">
        <v>1992</v>
      </c>
      <c r="P795" t="s">
        <v>1992</v>
      </c>
      <c r="Q795" t="s">
        <v>1992</v>
      </c>
      <c r="R795" t="s">
        <v>1992</v>
      </c>
      <c r="S795" t="s">
        <v>1992</v>
      </c>
      <c r="T795" t="s">
        <v>1992</v>
      </c>
      <c r="U795" t="s">
        <v>1992</v>
      </c>
      <c r="V795" t="s">
        <v>1991</v>
      </c>
      <c r="Z795" t="s">
        <v>1991</v>
      </c>
      <c r="AF795" t="s">
        <v>2016</v>
      </c>
      <c r="AG795" t="s">
        <v>1991</v>
      </c>
      <c r="AH795">
        <v>15</v>
      </c>
      <c r="AI795">
        <v>15</v>
      </c>
      <c r="AJ795" t="s">
        <v>6386</v>
      </c>
      <c r="AK795">
        <v>701</v>
      </c>
      <c r="BF795" t="s">
        <v>1053</v>
      </c>
      <c r="BG795" t="s">
        <v>541</v>
      </c>
      <c r="BH795" t="s">
        <v>2312</v>
      </c>
      <c r="BI795" t="s">
        <v>1053</v>
      </c>
      <c r="BK795" t="s">
        <v>1053</v>
      </c>
      <c r="BO795" t="s">
        <v>1053</v>
      </c>
      <c r="BP795" t="s">
        <v>542</v>
      </c>
      <c r="BQ795" t="s">
        <v>2316</v>
      </c>
      <c r="BR795" t="s">
        <v>1053</v>
      </c>
      <c r="BT795" t="s">
        <v>1053</v>
      </c>
      <c r="BX795" t="str">
        <f>""</f>
        <v/>
      </c>
      <c r="BY795" t="str">
        <f>""</f>
        <v/>
      </c>
      <c r="BZ795" t="str">
        <f>""</f>
        <v/>
      </c>
      <c r="CA795" t="str">
        <f>""</f>
        <v/>
      </c>
      <c r="CB795" t="str">
        <f>""</f>
        <v/>
      </c>
      <c r="CC795" t="str">
        <f>""</f>
        <v/>
      </c>
      <c r="CD795" t="str">
        <f>""</f>
        <v/>
      </c>
      <c r="CE795" t="str">
        <f>""</f>
        <v/>
      </c>
      <c r="CF795" t="str">
        <f>""</f>
        <v/>
      </c>
      <c r="CG795" t="str">
        <f>""</f>
        <v/>
      </c>
      <c r="CH795" t="str">
        <f>""</f>
        <v/>
      </c>
    </row>
    <row r="796" spans="1:86" x14ac:dyDescent="0.25">
      <c r="A796" t="s">
        <v>6387</v>
      </c>
      <c r="B796" t="s">
        <v>6388</v>
      </c>
      <c r="C796" t="s">
        <v>1992</v>
      </c>
      <c r="D796" t="s">
        <v>1993</v>
      </c>
      <c r="E796" t="s">
        <v>6389</v>
      </c>
      <c r="F796" t="s">
        <v>6390</v>
      </c>
      <c r="H796" t="s">
        <v>6391</v>
      </c>
      <c r="I796" t="s">
        <v>2061</v>
      </c>
      <c r="J796" t="str">
        <f>"95567"</f>
        <v>95567</v>
      </c>
      <c r="K796" t="s">
        <v>1998</v>
      </c>
      <c r="L796" t="s">
        <v>2062</v>
      </c>
      <c r="M796" t="s">
        <v>2000</v>
      </c>
      <c r="N796" t="s">
        <v>1992</v>
      </c>
      <c r="O796" t="s">
        <v>1992</v>
      </c>
      <c r="P796" t="s">
        <v>1992</v>
      </c>
      <c r="Q796" t="s">
        <v>1992</v>
      </c>
      <c r="R796" t="s">
        <v>1992</v>
      </c>
      <c r="S796" t="s">
        <v>1992</v>
      </c>
      <c r="T796" t="s">
        <v>1992</v>
      </c>
      <c r="U796" t="s">
        <v>1992</v>
      </c>
      <c r="V796" t="s">
        <v>1991</v>
      </c>
      <c r="Y796" t="s">
        <v>1992</v>
      </c>
      <c r="Z796" t="s">
        <v>1991</v>
      </c>
      <c r="AF796" t="s">
        <v>2064</v>
      </c>
      <c r="AG796" t="s">
        <v>1991</v>
      </c>
      <c r="AH796">
        <v>15</v>
      </c>
      <c r="AI796">
        <v>15</v>
      </c>
      <c r="AJ796" t="s">
        <v>6392</v>
      </c>
      <c r="AK796">
        <v>79</v>
      </c>
      <c r="BX796" t="str">
        <f>""</f>
        <v/>
      </c>
      <c r="BY796" t="str">
        <f>""</f>
        <v/>
      </c>
      <c r="BZ796" t="str">
        <f>""</f>
        <v/>
      </c>
      <c r="CA796" t="str">
        <f>""</f>
        <v/>
      </c>
      <c r="CB796" t="str">
        <f>""</f>
        <v/>
      </c>
      <c r="CC796" t="str">
        <f>""</f>
        <v/>
      </c>
      <c r="CD796" t="str">
        <f>""</f>
        <v/>
      </c>
      <c r="CE796" t="str">
        <f>""</f>
        <v/>
      </c>
      <c r="CF796" t="str">
        <f>""</f>
        <v/>
      </c>
      <c r="CG796" t="str">
        <f>""</f>
        <v/>
      </c>
      <c r="CH796" t="str">
        <f>""</f>
        <v/>
      </c>
    </row>
    <row r="797" spans="1:86" x14ac:dyDescent="0.25">
      <c r="A797" t="s">
        <v>6393</v>
      </c>
      <c r="B797" t="s">
        <v>6394</v>
      </c>
      <c r="C797" t="s">
        <v>1992</v>
      </c>
      <c r="D797" t="s">
        <v>2028</v>
      </c>
      <c r="E797" t="s">
        <v>6395</v>
      </c>
      <c r="H797" t="s">
        <v>6396</v>
      </c>
      <c r="I797" t="s">
        <v>2367</v>
      </c>
      <c r="J797" t="str">
        <f>"60501"</f>
        <v>60501</v>
      </c>
      <c r="K797" t="s">
        <v>1998</v>
      </c>
      <c r="L797" t="s">
        <v>1999</v>
      </c>
      <c r="M797" t="s">
        <v>2063</v>
      </c>
      <c r="N797" t="s">
        <v>1992</v>
      </c>
      <c r="O797" t="s">
        <v>1992</v>
      </c>
      <c r="P797" t="s">
        <v>1992</v>
      </c>
      <c r="Q797" t="s">
        <v>1992</v>
      </c>
      <c r="R797" t="s">
        <v>1992</v>
      </c>
      <c r="S797" t="s">
        <v>1992</v>
      </c>
      <c r="T797" t="s">
        <v>1992</v>
      </c>
      <c r="U797" t="s">
        <v>1992</v>
      </c>
      <c r="V797" t="s">
        <v>1991</v>
      </c>
      <c r="W797" t="s">
        <v>1991</v>
      </c>
      <c r="X797" t="s">
        <v>1992</v>
      </c>
      <c r="Y797" t="s">
        <v>1992</v>
      </c>
      <c r="Z797" t="s">
        <v>1992</v>
      </c>
      <c r="AF797" t="s">
        <v>2001</v>
      </c>
      <c r="AG797" t="s">
        <v>1991</v>
      </c>
      <c r="AH797">
        <v>30</v>
      </c>
      <c r="AI797">
        <v>30</v>
      </c>
      <c r="AJ797" t="s">
        <v>6397</v>
      </c>
      <c r="AK797">
        <v>600</v>
      </c>
      <c r="AL797">
        <v>11000</v>
      </c>
      <c r="AN797" t="s">
        <v>6398</v>
      </c>
      <c r="AO797" t="s">
        <v>2063</v>
      </c>
      <c r="BF797" t="s">
        <v>1053</v>
      </c>
      <c r="BG797" t="s">
        <v>2371</v>
      </c>
      <c r="BH797" t="s">
        <v>798</v>
      </c>
      <c r="BI797" t="s">
        <v>1053</v>
      </c>
      <c r="BK797" t="s">
        <v>1053</v>
      </c>
      <c r="BL797" t="s">
        <v>1053</v>
      </c>
      <c r="BO797" t="s">
        <v>1053</v>
      </c>
      <c r="BP797" t="s">
        <v>653</v>
      </c>
      <c r="BQ797" t="s">
        <v>2376</v>
      </c>
      <c r="BR797" t="s">
        <v>1053</v>
      </c>
      <c r="BX797" t="str">
        <f>""</f>
        <v/>
      </c>
      <c r="BY797" t="str">
        <f>""</f>
        <v/>
      </c>
      <c r="BZ797" t="str">
        <f>""</f>
        <v/>
      </c>
      <c r="CA797" t="str">
        <f>""</f>
        <v/>
      </c>
      <c r="CB797" t="str">
        <f>""</f>
        <v/>
      </c>
      <c r="CC797" t="str">
        <f>""</f>
        <v/>
      </c>
      <c r="CD797" t="str">
        <f>""</f>
        <v/>
      </c>
      <c r="CE797" t="str">
        <f>""</f>
        <v/>
      </c>
      <c r="CF797" t="str">
        <f>""</f>
        <v/>
      </c>
      <c r="CG797" t="str">
        <f>""</f>
        <v/>
      </c>
      <c r="CH797" t="str">
        <f>""</f>
        <v/>
      </c>
    </row>
    <row r="798" spans="1:86" x14ac:dyDescent="0.25">
      <c r="A798" t="s">
        <v>6399</v>
      </c>
      <c r="B798" t="s">
        <v>6400</v>
      </c>
      <c r="C798" t="s">
        <v>1991</v>
      </c>
      <c r="D798" t="s">
        <v>2010</v>
      </c>
      <c r="E798" t="s">
        <v>6401</v>
      </c>
      <c r="F798" t="s">
        <v>6402</v>
      </c>
      <c r="H798" t="s">
        <v>6403</v>
      </c>
      <c r="I798" t="s">
        <v>2061</v>
      </c>
      <c r="J798" t="str">
        <f>"92701"</f>
        <v>92701</v>
      </c>
      <c r="K798" t="s">
        <v>1998</v>
      </c>
      <c r="L798" t="s">
        <v>2045</v>
      </c>
      <c r="M798" t="s">
        <v>6404</v>
      </c>
      <c r="N798" t="s">
        <v>1991</v>
      </c>
      <c r="O798" t="s">
        <v>1991</v>
      </c>
      <c r="P798" t="s">
        <v>1991</v>
      </c>
      <c r="Q798" t="s">
        <v>1991</v>
      </c>
      <c r="R798" t="s">
        <v>1992</v>
      </c>
      <c r="S798" t="s">
        <v>1992</v>
      </c>
      <c r="T798" t="s">
        <v>1992</v>
      </c>
      <c r="U798" t="s">
        <v>1991</v>
      </c>
      <c r="V798" t="s">
        <v>1991</v>
      </c>
      <c r="W798" t="s">
        <v>1991</v>
      </c>
      <c r="X798" t="s">
        <v>1991</v>
      </c>
      <c r="Y798" t="s">
        <v>1991</v>
      </c>
      <c r="Z798" t="s">
        <v>1992</v>
      </c>
      <c r="AA798" t="s">
        <v>1991</v>
      </c>
      <c r="AE798" t="s">
        <v>2047</v>
      </c>
      <c r="AF798" t="s">
        <v>2064</v>
      </c>
      <c r="AG798" t="s">
        <v>1991</v>
      </c>
      <c r="AH798">
        <v>45</v>
      </c>
      <c r="AI798">
        <v>30</v>
      </c>
      <c r="AJ798" t="s">
        <v>6405</v>
      </c>
      <c r="AK798">
        <v>137</v>
      </c>
      <c r="AL798">
        <v>210000</v>
      </c>
      <c r="AM798" t="s">
        <v>2298</v>
      </c>
      <c r="AN798" t="s">
        <v>1053</v>
      </c>
      <c r="AO798" t="s">
        <v>1053</v>
      </c>
      <c r="AP798" t="s">
        <v>2069</v>
      </c>
      <c r="AQ798" t="s">
        <v>1053</v>
      </c>
      <c r="AR798" t="s">
        <v>2069</v>
      </c>
      <c r="AS798" t="s">
        <v>6399</v>
      </c>
      <c r="AT798" t="s">
        <v>6406</v>
      </c>
      <c r="AU798" t="s">
        <v>1053</v>
      </c>
      <c r="AV798" t="s">
        <v>1053</v>
      </c>
      <c r="AW798" t="s">
        <v>2069</v>
      </c>
      <c r="AX798" t="s">
        <v>1053</v>
      </c>
      <c r="AY798" t="s">
        <v>2069</v>
      </c>
      <c r="AZ798" t="s">
        <v>6399</v>
      </c>
      <c r="BA798" t="s">
        <v>6406</v>
      </c>
      <c r="BB798" t="s">
        <v>1053</v>
      </c>
      <c r="BC798" t="s">
        <v>2069</v>
      </c>
      <c r="BD798" t="s">
        <v>1053</v>
      </c>
      <c r="BE798" t="s">
        <v>2069</v>
      </c>
      <c r="BF798" t="s">
        <v>1053</v>
      </c>
      <c r="BG798" t="s">
        <v>2067</v>
      </c>
      <c r="BH798" t="s">
        <v>275</v>
      </c>
      <c r="BI798" t="s">
        <v>1053</v>
      </c>
      <c r="BJ798" t="s">
        <v>2069</v>
      </c>
      <c r="BK798" t="s">
        <v>1053</v>
      </c>
      <c r="BL798" t="s">
        <v>2069</v>
      </c>
      <c r="BM798" t="s">
        <v>276</v>
      </c>
      <c r="BN798" t="s">
        <v>277</v>
      </c>
      <c r="BO798" t="s">
        <v>1053</v>
      </c>
      <c r="BP798" t="s">
        <v>2067</v>
      </c>
      <c r="BQ798" t="s">
        <v>275</v>
      </c>
      <c r="BR798" t="s">
        <v>1053</v>
      </c>
      <c r="BX798" t="str">
        <f>"SMTWTFS 0500-2359"</f>
        <v>SMTWTFS 0500-2359</v>
      </c>
      <c r="BY798" t="str">
        <f>"SMTWTFS 0630-2200"</f>
        <v>SMTWTFS 0630-2200</v>
      </c>
      <c r="BZ798" t="str">
        <f>"SMTWTFS 0630-2300"</f>
        <v>SMTWTFS 0630-2300</v>
      </c>
      <c r="CA798" t="str">
        <f>"SMTWTFS 0630-2235"</f>
        <v>SMTWTFS 0630-2235</v>
      </c>
      <c r="CB798" t="str">
        <f>""</f>
        <v/>
      </c>
      <c r="CC798" t="str">
        <f>"SMTWTFS 0500-2359"</f>
        <v>SMTWTFS 0500-2359</v>
      </c>
      <c r="CD798" t="str">
        <f>"SMTWTFS 0000-2359"</f>
        <v>SMTWTFS 0000-2359</v>
      </c>
      <c r="CE798" t="str">
        <f>""</f>
        <v/>
      </c>
      <c r="CF798" t="str">
        <f>""</f>
        <v/>
      </c>
      <c r="CG798" t="str">
        <f>""</f>
        <v/>
      </c>
      <c r="CH798" t="str">
        <f>""</f>
        <v/>
      </c>
    </row>
    <row r="799" spans="1:86" x14ac:dyDescent="0.25">
      <c r="A799" t="s">
        <v>6407</v>
      </c>
      <c r="B799" t="s">
        <v>6408</v>
      </c>
      <c r="C799" t="s">
        <v>1992</v>
      </c>
      <c r="D799" t="s">
        <v>2010</v>
      </c>
      <c r="E799" t="s">
        <v>6409</v>
      </c>
      <c r="H799" t="s">
        <v>6410</v>
      </c>
      <c r="I799" t="s">
        <v>2061</v>
      </c>
      <c r="J799" t="str">
        <f>"92410-1715"</f>
        <v>92410-1715</v>
      </c>
      <c r="K799" t="s">
        <v>1998</v>
      </c>
      <c r="L799" t="s">
        <v>2045</v>
      </c>
      <c r="M799" t="s">
        <v>2063</v>
      </c>
      <c r="N799" t="s">
        <v>1992</v>
      </c>
      <c r="O799" t="s">
        <v>1992</v>
      </c>
      <c r="P799" t="s">
        <v>1991</v>
      </c>
      <c r="Q799" t="s">
        <v>1992</v>
      </c>
      <c r="R799" t="s">
        <v>1992</v>
      </c>
      <c r="S799" t="s">
        <v>1992</v>
      </c>
      <c r="T799" t="s">
        <v>1992</v>
      </c>
      <c r="U799" t="s">
        <v>1992</v>
      </c>
      <c r="V799" t="s">
        <v>1991</v>
      </c>
      <c r="W799" t="s">
        <v>1991</v>
      </c>
      <c r="X799" t="s">
        <v>1992</v>
      </c>
      <c r="Y799" t="s">
        <v>1991</v>
      </c>
      <c r="Z799" t="s">
        <v>1992</v>
      </c>
      <c r="AA799" t="s">
        <v>1992</v>
      </c>
      <c r="AF799" t="s">
        <v>2064</v>
      </c>
      <c r="AG799" t="s">
        <v>1991</v>
      </c>
      <c r="AH799">
        <v>60</v>
      </c>
      <c r="AI799">
        <v>45</v>
      </c>
      <c r="AJ799" t="s">
        <v>6411</v>
      </c>
      <c r="AK799">
        <v>1064</v>
      </c>
      <c r="AL799">
        <v>187000</v>
      </c>
      <c r="AM799" t="s">
        <v>3185</v>
      </c>
      <c r="AN799" t="s">
        <v>2066</v>
      </c>
      <c r="BF799" t="s">
        <v>1053</v>
      </c>
      <c r="BG799" t="s">
        <v>2019</v>
      </c>
      <c r="BH799" t="s">
        <v>275</v>
      </c>
      <c r="BI799" t="s">
        <v>1053</v>
      </c>
      <c r="BK799" t="s">
        <v>1053</v>
      </c>
      <c r="BM799" t="s">
        <v>852</v>
      </c>
      <c r="BN799" t="s">
        <v>277</v>
      </c>
      <c r="BO799" t="s">
        <v>1053</v>
      </c>
      <c r="BP799" t="s">
        <v>542</v>
      </c>
      <c r="BQ799" t="s">
        <v>2055</v>
      </c>
      <c r="BR799" t="s">
        <v>1053</v>
      </c>
      <c r="BS799" t="s">
        <v>1053</v>
      </c>
      <c r="BV799" t="s">
        <v>2056</v>
      </c>
      <c r="BX799" t="str">
        <f>"SMTWTFS 0500-0600 2000-2100"</f>
        <v>SMTWTFS 0500-0600 2000-2100</v>
      </c>
      <c r="BY799" t="str">
        <f>""</f>
        <v/>
      </c>
      <c r="BZ799" t="str">
        <f>""</f>
        <v/>
      </c>
      <c r="CA799" t="str">
        <f>""</f>
        <v/>
      </c>
      <c r="CB799" t="str">
        <f>""</f>
        <v/>
      </c>
      <c r="CC799" t="str">
        <f>""</f>
        <v/>
      </c>
      <c r="CD799" t="str">
        <f>"SMTWTFS 0000-2359"</f>
        <v>SMTWTFS 0000-2359</v>
      </c>
      <c r="CE799" t="str">
        <f>""</f>
        <v/>
      </c>
      <c r="CF799" t="str">
        <f>""</f>
        <v/>
      </c>
      <c r="CG799" t="str">
        <f>""</f>
        <v/>
      </c>
      <c r="CH799" t="str">
        <f>""</f>
        <v/>
      </c>
    </row>
    <row r="800" spans="1:86" x14ac:dyDescent="0.25">
      <c r="A800" t="s">
        <v>6412</v>
      </c>
      <c r="B800" t="s">
        <v>6413</v>
      </c>
      <c r="C800" t="s">
        <v>1991</v>
      </c>
      <c r="D800" t="s">
        <v>2010</v>
      </c>
      <c r="E800" t="s">
        <v>6414</v>
      </c>
      <c r="H800" t="s">
        <v>6415</v>
      </c>
      <c r="I800" t="s">
        <v>2061</v>
      </c>
      <c r="J800" t="str">
        <f>"92675"</f>
        <v>92675</v>
      </c>
      <c r="K800" t="s">
        <v>1998</v>
      </c>
      <c r="L800" t="s">
        <v>2045</v>
      </c>
      <c r="M800" t="s">
        <v>6416</v>
      </c>
      <c r="N800" t="s">
        <v>1991</v>
      </c>
      <c r="O800" t="s">
        <v>1991</v>
      </c>
      <c r="P800" t="s">
        <v>1991</v>
      </c>
      <c r="Q800" t="s">
        <v>1992</v>
      </c>
      <c r="R800" t="s">
        <v>1992</v>
      </c>
      <c r="S800" t="s">
        <v>1992</v>
      </c>
      <c r="T800" t="s">
        <v>1992</v>
      </c>
      <c r="U800" t="s">
        <v>1991</v>
      </c>
      <c r="V800" t="s">
        <v>1991</v>
      </c>
      <c r="W800" t="s">
        <v>1991</v>
      </c>
      <c r="X800" t="s">
        <v>1991</v>
      </c>
      <c r="Y800" t="s">
        <v>1992</v>
      </c>
      <c r="Z800" t="s">
        <v>1992</v>
      </c>
      <c r="AA800" t="s">
        <v>1992</v>
      </c>
      <c r="AF800" t="s">
        <v>2064</v>
      </c>
      <c r="AG800" t="s">
        <v>1991</v>
      </c>
      <c r="AH800">
        <v>30</v>
      </c>
      <c r="AI800">
        <v>30</v>
      </c>
      <c r="AJ800" t="s">
        <v>6417</v>
      </c>
      <c r="AK800">
        <v>112</v>
      </c>
      <c r="AL800">
        <v>25000</v>
      </c>
      <c r="AM800" t="s">
        <v>2298</v>
      </c>
      <c r="AN800" t="s">
        <v>1053</v>
      </c>
      <c r="AO800" t="s">
        <v>1053</v>
      </c>
      <c r="AP800" t="s">
        <v>2069</v>
      </c>
      <c r="AQ800" t="s">
        <v>1053</v>
      </c>
      <c r="AR800" t="s">
        <v>2069</v>
      </c>
      <c r="AS800" t="s">
        <v>6412</v>
      </c>
      <c r="AT800" t="s">
        <v>3026</v>
      </c>
      <c r="AU800" t="s">
        <v>1053</v>
      </c>
      <c r="AV800" t="s">
        <v>1053</v>
      </c>
      <c r="AW800" t="s">
        <v>2069</v>
      </c>
      <c r="AX800" t="s">
        <v>1053</v>
      </c>
      <c r="AY800" t="s">
        <v>2069</v>
      </c>
      <c r="AZ800" t="s">
        <v>6412</v>
      </c>
      <c r="BA800" t="s">
        <v>3026</v>
      </c>
      <c r="BB800" t="s">
        <v>2063</v>
      </c>
      <c r="BC800" t="s">
        <v>2083</v>
      </c>
      <c r="BD800" t="s">
        <v>1053</v>
      </c>
      <c r="BE800" t="s">
        <v>2083</v>
      </c>
      <c r="BF800" t="s">
        <v>1053</v>
      </c>
      <c r="BG800" t="s">
        <v>2067</v>
      </c>
      <c r="BH800" t="s">
        <v>275</v>
      </c>
      <c r="BI800" t="s">
        <v>1053</v>
      </c>
      <c r="BJ800" t="s">
        <v>2069</v>
      </c>
      <c r="BK800" t="s">
        <v>1053</v>
      </c>
      <c r="BL800" t="s">
        <v>2069</v>
      </c>
      <c r="BM800" t="s">
        <v>276</v>
      </c>
      <c r="BN800" t="s">
        <v>277</v>
      </c>
      <c r="BO800" t="s">
        <v>1053</v>
      </c>
      <c r="BP800" t="s">
        <v>2067</v>
      </c>
      <c r="BQ800" t="s">
        <v>275</v>
      </c>
      <c r="BR800" t="s">
        <v>1053</v>
      </c>
      <c r="BX800" t="str">
        <f>"S----FS 0700-1730; -MTWT-- 0700-1500"</f>
        <v>S----FS 0700-1730; -MTWT-- 0700-1500</v>
      </c>
      <c r="BY800" t="str">
        <f>""</f>
        <v/>
      </c>
      <c r="BZ800" t="str">
        <f>"S----FS 1000-1430"</f>
        <v>S----FS 1000-1430</v>
      </c>
      <c r="CA800" t="str">
        <f>"S----FS 0700-1730; -MTWT-- 0700-1500"</f>
        <v>S----FS 0700-1730; -MTWT-- 0700-1500</v>
      </c>
      <c r="CB800" t="str">
        <f>""</f>
        <v/>
      </c>
      <c r="CC800" t="str">
        <f>"SMTWTFS 0000-2359"</f>
        <v>SMTWTFS 0000-2359</v>
      </c>
      <c r="CD800" t="str">
        <f>"SMTWTFS 0000-2359"</f>
        <v>SMTWTFS 0000-2359</v>
      </c>
      <c r="CE800" t="str">
        <f>""</f>
        <v/>
      </c>
      <c r="CF800" t="str">
        <f>""</f>
        <v/>
      </c>
      <c r="CG800" t="str">
        <f>""</f>
        <v/>
      </c>
      <c r="CH800" t="str">
        <f>""</f>
        <v/>
      </c>
    </row>
    <row r="801" spans="1:86" x14ac:dyDescent="0.25">
      <c r="A801" t="s">
        <v>6418</v>
      </c>
      <c r="B801" t="s">
        <v>6419</v>
      </c>
      <c r="C801" t="s">
        <v>1992</v>
      </c>
      <c r="D801" t="s">
        <v>2028</v>
      </c>
      <c r="E801" t="s">
        <v>6420</v>
      </c>
      <c r="H801" t="s">
        <v>6421</v>
      </c>
      <c r="I801" t="s">
        <v>2381</v>
      </c>
      <c r="J801" t="str">
        <f>"79848"</f>
        <v>79848</v>
      </c>
      <c r="K801" t="s">
        <v>1998</v>
      </c>
      <c r="L801" t="s">
        <v>2045</v>
      </c>
      <c r="M801" t="s">
        <v>2063</v>
      </c>
      <c r="N801" t="s">
        <v>1992</v>
      </c>
      <c r="O801" t="s">
        <v>1992</v>
      </c>
      <c r="P801" t="s">
        <v>1992</v>
      </c>
      <c r="Q801" t="s">
        <v>1992</v>
      </c>
      <c r="R801" t="s">
        <v>1992</v>
      </c>
      <c r="S801" t="s">
        <v>1992</v>
      </c>
      <c r="T801" t="s">
        <v>1992</v>
      </c>
      <c r="U801" t="s">
        <v>1992</v>
      </c>
      <c r="V801" t="s">
        <v>1991</v>
      </c>
      <c r="W801" t="s">
        <v>1991</v>
      </c>
      <c r="X801" t="s">
        <v>1992</v>
      </c>
      <c r="Y801" t="s">
        <v>1992</v>
      </c>
      <c r="Z801" t="s">
        <v>1992</v>
      </c>
      <c r="AF801" t="s">
        <v>2001</v>
      </c>
      <c r="AG801" t="s">
        <v>1991</v>
      </c>
      <c r="AH801">
        <v>30</v>
      </c>
      <c r="AI801">
        <v>30</v>
      </c>
      <c r="AJ801" t="s">
        <v>6422</v>
      </c>
      <c r="AK801">
        <v>2774</v>
      </c>
      <c r="AL801">
        <v>974</v>
      </c>
      <c r="AN801" t="s">
        <v>2066</v>
      </c>
      <c r="AO801" t="s">
        <v>2063</v>
      </c>
      <c r="BF801" t="s">
        <v>1053</v>
      </c>
      <c r="BG801" t="s">
        <v>2019</v>
      </c>
      <c r="BH801" t="s">
        <v>2383</v>
      </c>
      <c r="BI801" t="s">
        <v>1053</v>
      </c>
      <c r="BJ801" t="s">
        <v>2069</v>
      </c>
      <c r="BK801" t="s">
        <v>1053</v>
      </c>
      <c r="BL801" t="s">
        <v>2069</v>
      </c>
      <c r="BM801" t="s">
        <v>2099</v>
      </c>
      <c r="BN801" t="s">
        <v>2100</v>
      </c>
      <c r="BO801" t="s">
        <v>1053</v>
      </c>
      <c r="BP801" t="s">
        <v>2101</v>
      </c>
      <c r="BQ801" t="s">
        <v>2055</v>
      </c>
      <c r="BR801" t="s">
        <v>1053</v>
      </c>
      <c r="BS801" t="s">
        <v>1053</v>
      </c>
      <c r="BT801" t="s">
        <v>1053</v>
      </c>
      <c r="BU801" t="s">
        <v>1053</v>
      </c>
      <c r="BV801" t="s">
        <v>2056</v>
      </c>
      <c r="BX801" t="str">
        <f>""</f>
        <v/>
      </c>
      <c r="BY801" t="str">
        <f>""</f>
        <v/>
      </c>
      <c r="BZ801" t="str">
        <f>""</f>
        <v/>
      </c>
      <c r="CA801" t="str">
        <f>""</f>
        <v/>
      </c>
      <c r="CB801" t="str">
        <f>""</f>
        <v/>
      </c>
      <c r="CC801" t="str">
        <f>""</f>
        <v/>
      </c>
      <c r="CD801" t="str">
        <f>""</f>
        <v/>
      </c>
      <c r="CE801" t="str">
        <f>""</f>
        <v/>
      </c>
      <c r="CF801" t="str">
        <f>""</f>
        <v/>
      </c>
      <c r="CG801" t="str">
        <f>""</f>
        <v/>
      </c>
      <c r="CH801" t="str">
        <f>""</f>
        <v/>
      </c>
    </row>
    <row r="802" spans="1:86" x14ac:dyDescent="0.25">
      <c r="A802" t="s">
        <v>6423</v>
      </c>
      <c r="B802" t="s">
        <v>6424</v>
      </c>
      <c r="C802" t="s">
        <v>1992</v>
      </c>
      <c r="D802" t="s">
        <v>2331</v>
      </c>
      <c r="E802" t="s">
        <v>6425</v>
      </c>
      <c r="F802" t="s">
        <v>6426</v>
      </c>
      <c r="H802" t="s">
        <v>6427</v>
      </c>
      <c r="I802" t="s">
        <v>2061</v>
      </c>
      <c r="J802" t="str">
        <f>"92672-5301"</f>
        <v>92672-5301</v>
      </c>
      <c r="K802" t="s">
        <v>1998</v>
      </c>
      <c r="L802" t="s">
        <v>2045</v>
      </c>
      <c r="M802" t="s">
        <v>2063</v>
      </c>
      <c r="N802" t="s">
        <v>1992</v>
      </c>
      <c r="O802" t="s">
        <v>1992</v>
      </c>
      <c r="P802" t="s">
        <v>1991</v>
      </c>
      <c r="Q802" t="s">
        <v>1992</v>
      </c>
      <c r="R802" t="s">
        <v>1992</v>
      </c>
      <c r="S802" t="s">
        <v>1992</v>
      </c>
      <c r="T802" t="s">
        <v>1992</v>
      </c>
      <c r="U802" t="s">
        <v>1992</v>
      </c>
      <c r="V802" t="s">
        <v>1991</v>
      </c>
      <c r="W802" t="s">
        <v>1991</v>
      </c>
      <c r="X802" t="s">
        <v>1992</v>
      </c>
      <c r="Y802" t="s">
        <v>1992</v>
      </c>
      <c r="Z802" t="s">
        <v>1992</v>
      </c>
      <c r="AA802" t="s">
        <v>1992</v>
      </c>
      <c r="AF802" t="s">
        <v>2064</v>
      </c>
      <c r="AG802" t="s">
        <v>1991</v>
      </c>
      <c r="AH802">
        <v>30</v>
      </c>
      <c r="AI802">
        <v>30</v>
      </c>
      <c r="AJ802" t="s">
        <v>6428</v>
      </c>
      <c r="AK802">
        <v>18</v>
      </c>
      <c r="AL802">
        <v>50000</v>
      </c>
      <c r="AN802" t="s">
        <v>2066</v>
      </c>
      <c r="AO802" t="s">
        <v>2063</v>
      </c>
      <c r="BF802" t="s">
        <v>1053</v>
      </c>
      <c r="BG802" t="s">
        <v>2067</v>
      </c>
      <c r="BH802" t="s">
        <v>851</v>
      </c>
      <c r="BI802" t="s">
        <v>1053</v>
      </c>
      <c r="BJ802" t="s">
        <v>2069</v>
      </c>
      <c r="BK802" t="s">
        <v>1053</v>
      </c>
      <c r="BL802" t="s">
        <v>2069</v>
      </c>
      <c r="BM802" t="s">
        <v>276</v>
      </c>
      <c r="BN802" t="s">
        <v>277</v>
      </c>
      <c r="BO802" t="s">
        <v>1053</v>
      </c>
      <c r="BP802" t="s">
        <v>2067</v>
      </c>
      <c r="BQ802" t="s">
        <v>275</v>
      </c>
      <c r="BR802" t="s">
        <v>1053</v>
      </c>
      <c r="BX802" t="str">
        <f>""</f>
        <v/>
      </c>
      <c r="BY802" t="str">
        <f>""</f>
        <v/>
      </c>
      <c r="BZ802" t="str">
        <f>""</f>
        <v/>
      </c>
      <c r="CA802" t="str">
        <f>""</f>
        <v/>
      </c>
      <c r="CB802" t="str">
        <f>""</f>
        <v/>
      </c>
      <c r="CC802" t="str">
        <f>""</f>
        <v/>
      </c>
      <c r="CD802" t="str">
        <f>"SMTWTFS 0000-2359"</f>
        <v>SMTWTFS 0000-2359</v>
      </c>
      <c r="CE802" t="str">
        <f>""</f>
        <v/>
      </c>
      <c r="CF802" t="str">
        <f>""</f>
        <v/>
      </c>
      <c r="CG802" t="str">
        <f>""</f>
        <v/>
      </c>
      <c r="CH802" t="str">
        <f>""</f>
        <v/>
      </c>
    </row>
    <row r="803" spans="1:86" x14ac:dyDescent="0.25">
      <c r="A803" t="s">
        <v>6429</v>
      </c>
      <c r="B803" t="s">
        <v>6430</v>
      </c>
      <c r="C803" t="s">
        <v>1991</v>
      </c>
      <c r="D803" t="s">
        <v>2010</v>
      </c>
      <c r="E803" t="s">
        <v>6431</v>
      </c>
      <c r="F803" t="s">
        <v>6432</v>
      </c>
      <c r="H803" t="s">
        <v>6433</v>
      </c>
      <c r="I803" t="s">
        <v>2061</v>
      </c>
      <c r="J803" t="str">
        <f>"93901-1432"</f>
        <v>93901-1432</v>
      </c>
      <c r="K803" t="s">
        <v>1998</v>
      </c>
      <c r="L803" t="s">
        <v>2062</v>
      </c>
      <c r="M803" t="s">
        <v>6434</v>
      </c>
      <c r="N803" t="s">
        <v>1991</v>
      </c>
      <c r="O803" t="s">
        <v>1992</v>
      </c>
      <c r="P803" t="s">
        <v>1992</v>
      </c>
      <c r="Q803" t="s">
        <v>1991</v>
      </c>
      <c r="R803" t="s">
        <v>1991</v>
      </c>
      <c r="S803" t="s">
        <v>1992</v>
      </c>
      <c r="T803" t="s">
        <v>1992</v>
      </c>
      <c r="U803" t="s">
        <v>1991</v>
      </c>
      <c r="V803" t="s">
        <v>1991</v>
      </c>
      <c r="W803" t="s">
        <v>1991</v>
      </c>
      <c r="X803" t="s">
        <v>1992</v>
      </c>
      <c r="Y803" t="s">
        <v>1991</v>
      </c>
      <c r="Z803" t="s">
        <v>1992</v>
      </c>
      <c r="AA803" t="s">
        <v>1991</v>
      </c>
      <c r="AE803" t="s">
        <v>2047</v>
      </c>
      <c r="AF803" t="s">
        <v>2064</v>
      </c>
      <c r="AG803" t="s">
        <v>1991</v>
      </c>
      <c r="AH803">
        <v>45</v>
      </c>
      <c r="AI803">
        <v>30</v>
      </c>
      <c r="AJ803" t="s">
        <v>6435</v>
      </c>
      <c r="AK803">
        <v>52</v>
      </c>
      <c r="AL803">
        <v>145032</v>
      </c>
      <c r="AM803" t="s">
        <v>6436</v>
      </c>
      <c r="AN803" t="s">
        <v>1053</v>
      </c>
      <c r="AO803" t="s">
        <v>1053</v>
      </c>
      <c r="AQ803" t="s">
        <v>1053</v>
      </c>
      <c r="AR803" t="s">
        <v>1638</v>
      </c>
      <c r="AS803" t="s">
        <v>6429</v>
      </c>
      <c r="AT803" t="s">
        <v>6437</v>
      </c>
      <c r="AU803" t="s">
        <v>1053</v>
      </c>
      <c r="AV803" t="s">
        <v>1053</v>
      </c>
      <c r="AX803" t="s">
        <v>1053</v>
      </c>
      <c r="AZ803" t="s">
        <v>6429</v>
      </c>
      <c r="BA803" t="s">
        <v>6437</v>
      </c>
      <c r="BB803" t="s">
        <v>1053</v>
      </c>
      <c r="BC803" t="s">
        <v>2069</v>
      </c>
      <c r="BD803" t="s">
        <v>1053</v>
      </c>
      <c r="BE803" t="s">
        <v>1638</v>
      </c>
      <c r="BF803" t="s">
        <v>1053</v>
      </c>
      <c r="BG803" t="s">
        <v>2067</v>
      </c>
      <c r="BH803" t="s">
        <v>3252</v>
      </c>
      <c r="BI803" t="s">
        <v>1053</v>
      </c>
      <c r="BK803" t="s">
        <v>1053</v>
      </c>
      <c r="BL803" t="s">
        <v>1638</v>
      </c>
      <c r="BM803" t="s">
        <v>2070</v>
      </c>
      <c r="BN803" t="s">
        <v>2071</v>
      </c>
      <c r="BO803" t="s">
        <v>1053</v>
      </c>
      <c r="BP803" t="s">
        <v>614</v>
      </c>
      <c r="BQ803" t="s">
        <v>2073</v>
      </c>
      <c r="BR803" t="s">
        <v>1053</v>
      </c>
      <c r="BS803" t="s">
        <v>1053</v>
      </c>
      <c r="BT803" t="s">
        <v>1053</v>
      </c>
      <c r="BU803" t="s">
        <v>1053</v>
      </c>
      <c r="BV803" t="s">
        <v>2074</v>
      </c>
      <c r="BX803" t="str">
        <f>"SMTWTFS 1000-1400 1500-2000"</f>
        <v>SMTWTFS 1000-1400 1500-2000</v>
      </c>
      <c r="BY803" t="str">
        <f>"SMTWTFS 1000-1400 1500-1930"</f>
        <v>SMTWTFS 1000-1400 1500-1930</v>
      </c>
      <c r="BZ803" t="str">
        <f>"SMTWTFS 1000-1400 1500-1930"</f>
        <v>SMTWTFS 1000-1400 1500-1930</v>
      </c>
      <c r="CA803" t="str">
        <f>"SMTWTFS 1000-1400 1500-1930"</f>
        <v>SMTWTFS 1000-1400 1500-1930</v>
      </c>
      <c r="CB803" t="str">
        <f>""</f>
        <v/>
      </c>
      <c r="CC803" t="str">
        <f>""</f>
        <v/>
      </c>
      <c r="CD803" t="str">
        <f>""</f>
        <v/>
      </c>
      <c r="CE803" t="str">
        <f>""</f>
        <v/>
      </c>
      <c r="CF803" t="str">
        <f>"SMTWTFS 1000-1330 1500-1900"</f>
        <v>SMTWTFS 1000-1330 1500-1900</v>
      </c>
      <c r="CG803" t="str">
        <f>""</f>
        <v/>
      </c>
      <c r="CH803" t="str">
        <f>""</f>
        <v/>
      </c>
    </row>
    <row r="804" spans="1:86" x14ac:dyDescent="0.25">
      <c r="A804" t="s">
        <v>6438</v>
      </c>
      <c r="B804" t="s">
        <v>6439</v>
      </c>
      <c r="C804" t="s">
        <v>1992</v>
      </c>
      <c r="D804" t="s">
        <v>1993</v>
      </c>
      <c r="E804" t="s">
        <v>6440</v>
      </c>
      <c r="F804" t="s">
        <v>6441</v>
      </c>
      <c r="H804" t="s">
        <v>6442</v>
      </c>
      <c r="I804" t="s">
        <v>1997</v>
      </c>
      <c r="J804" t="str">
        <f>"54768"</f>
        <v>54768</v>
      </c>
      <c r="K804" t="s">
        <v>1998</v>
      </c>
      <c r="L804" t="s">
        <v>1999</v>
      </c>
      <c r="M804" t="s">
        <v>2000</v>
      </c>
      <c r="N804" t="s">
        <v>1992</v>
      </c>
      <c r="O804" t="s">
        <v>1992</v>
      </c>
      <c r="P804" t="s">
        <v>1992</v>
      </c>
      <c r="Q804" t="s">
        <v>1992</v>
      </c>
      <c r="R804" t="s">
        <v>1992</v>
      </c>
      <c r="S804" t="s">
        <v>1992</v>
      </c>
      <c r="T804" t="s">
        <v>1992</v>
      </c>
      <c r="U804" t="s">
        <v>1992</v>
      </c>
      <c r="V804" t="s">
        <v>1991</v>
      </c>
      <c r="Z804" t="s">
        <v>1991</v>
      </c>
      <c r="AF804" t="s">
        <v>2001</v>
      </c>
      <c r="AG804" t="s">
        <v>1991</v>
      </c>
      <c r="AH804">
        <v>15</v>
      </c>
      <c r="AI804">
        <v>15</v>
      </c>
      <c r="AJ804" t="s">
        <v>6443</v>
      </c>
      <c r="AK804">
        <v>1065</v>
      </c>
      <c r="BF804" t="s">
        <v>1053</v>
      </c>
      <c r="BG804" t="s">
        <v>1039</v>
      </c>
      <c r="BH804" t="s">
        <v>2004</v>
      </c>
      <c r="BI804" t="s">
        <v>1053</v>
      </c>
      <c r="BK804" t="s">
        <v>1053</v>
      </c>
      <c r="BM804" t="s">
        <v>287</v>
      </c>
      <c r="BO804" t="s">
        <v>1053</v>
      </c>
      <c r="BP804" t="s">
        <v>2005</v>
      </c>
      <c r="BQ804" t="s">
        <v>2006</v>
      </c>
      <c r="BR804" t="s">
        <v>1053</v>
      </c>
      <c r="BS804" t="s">
        <v>1053</v>
      </c>
      <c r="BT804" t="s">
        <v>1053</v>
      </c>
      <c r="BU804" t="s">
        <v>1053</v>
      </c>
      <c r="BX804" t="str">
        <f>""</f>
        <v/>
      </c>
      <c r="BY804" t="str">
        <f>""</f>
        <v/>
      </c>
      <c r="BZ804" t="str">
        <f>""</f>
        <v/>
      </c>
      <c r="CA804" t="str">
        <f>""</f>
        <v/>
      </c>
      <c r="CB804" t="str">
        <f>""</f>
        <v/>
      </c>
      <c r="CC804" t="str">
        <f>""</f>
        <v/>
      </c>
      <c r="CD804" t="str">
        <f>""</f>
        <v/>
      </c>
      <c r="CE804" t="str">
        <f>""</f>
        <v/>
      </c>
      <c r="CF804" t="str">
        <f>""</f>
        <v/>
      </c>
      <c r="CG804" t="str">
        <f>""</f>
        <v/>
      </c>
      <c r="CH804" t="str">
        <f>""</f>
        <v/>
      </c>
    </row>
    <row r="805" spans="1:86" x14ac:dyDescent="0.25">
      <c r="A805" t="s">
        <v>6444</v>
      </c>
      <c r="B805" t="s">
        <v>6445</v>
      </c>
      <c r="C805" t="s">
        <v>1991</v>
      </c>
      <c r="D805" t="s">
        <v>2010</v>
      </c>
      <c r="E805" t="s">
        <v>6446</v>
      </c>
      <c r="H805" t="s">
        <v>6447</v>
      </c>
      <c r="I805" t="s">
        <v>3623</v>
      </c>
      <c r="J805" t="str">
        <f>"46628"</f>
        <v>46628</v>
      </c>
      <c r="K805" t="s">
        <v>1998</v>
      </c>
      <c r="L805" t="s">
        <v>1999</v>
      </c>
      <c r="M805" t="s">
        <v>6448</v>
      </c>
      <c r="N805" t="s">
        <v>1991</v>
      </c>
      <c r="O805" t="s">
        <v>1992</v>
      </c>
      <c r="P805" t="s">
        <v>1992</v>
      </c>
      <c r="Q805" t="s">
        <v>1991</v>
      </c>
      <c r="R805" t="s">
        <v>1991</v>
      </c>
      <c r="S805" t="s">
        <v>1992</v>
      </c>
      <c r="T805" t="s">
        <v>1992</v>
      </c>
      <c r="U805" t="s">
        <v>1991</v>
      </c>
      <c r="V805" t="s">
        <v>1991</v>
      </c>
      <c r="W805" t="s">
        <v>1991</v>
      </c>
      <c r="X805" t="s">
        <v>1992</v>
      </c>
      <c r="Y805" t="s">
        <v>1992</v>
      </c>
      <c r="Z805" t="s">
        <v>1992</v>
      </c>
      <c r="AE805" t="s">
        <v>2047</v>
      </c>
      <c r="AF805" t="s">
        <v>2016</v>
      </c>
      <c r="AG805" t="s">
        <v>1991</v>
      </c>
      <c r="AH805">
        <v>45</v>
      </c>
      <c r="AI805">
        <v>30</v>
      </c>
      <c r="AJ805" t="s">
        <v>6449</v>
      </c>
      <c r="AK805">
        <v>715</v>
      </c>
      <c r="AL805">
        <v>125580</v>
      </c>
      <c r="AN805" t="s">
        <v>1053</v>
      </c>
      <c r="AO805" t="s">
        <v>1053</v>
      </c>
      <c r="AP805" t="s">
        <v>2069</v>
      </c>
      <c r="AQ805" t="s">
        <v>1053</v>
      </c>
      <c r="AR805" t="s">
        <v>2069</v>
      </c>
      <c r="AS805" t="s">
        <v>6444</v>
      </c>
      <c r="AT805" t="s">
        <v>6450</v>
      </c>
      <c r="AU805" t="s">
        <v>1053</v>
      </c>
      <c r="AV805" t="s">
        <v>1053</v>
      </c>
      <c r="AW805" t="s">
        <v>2069</v>
      </c>
      <c r="AX805" t="s">
        <v>1053</v>
      </c>
      <c r="AY805" t="s">
        <v>2069</v>
      </c>
      <c r="AZ805" t="s">
        <v>6444</v>
      </c>
      <c r="BA805" t="s">
        <v>6450</v>
      </c>
      <c r="BB805" t="s">
        <v>1053</v>
      </c>
      <c r="BC805" t="s">
        <v>2069</v>
      </c>
      <c r="BD805" t="s">
        <v>1053</v>
      </c>
      <c r="BE805" t="s">
        <v>2069</v>
      </c>
      <c r="BF805" t="s">
        <v>1053</v>
      </c>
      <c r="BG805" t="s">
        <v>2097</v>
      </c>
      <c r="BH805" t="s">
        <v>2312</v>
      </c>
      <c r="BI805" t="s">
        <v>1053</v>
      </c>
      <c r="BJ805" t="s">
        <v>2069</v>
      </c>
      <c r="BK805" t="s">
        <v>1053</v>
      </c>
      <c r="BL805" t="s">
        <v>2069</v>
      </c>
      <c r="BM805" t="s">
        <v>2313</v>
      </c>
      <c r="BN805" t="s">
        <v>2314</v>
      </c>
      <c r="BO805" t="s">
        <v>1053</v>
      </c>
      <c r="BP805" t="s">
        <v>301</v>
      </c>
      <c r="BQ805" t="s">
        <v>2316</v>
      </c>
      <c r="BR805" t="s">
        <v>1053</v>
      </c>
      <c r="BT805" t="s">
        <v>1053</v>
      </c>
      <c r="BX805" t="str">
        <f>"SMTWTFS 0000-0100 0630-1400 1730-2359"</f>
        <v>SMTWTFS 0000-0100 0630-1400 1730-2359</v>
      </c>
      <c r="BY805" t="str">
        <f>"SMTWTFS 0000-0100 0630-1400 1730-2359"</f>
        <v>SMTWTFS 0000-0100 0630-1400 1730-2359</v>
      </c>
      <c r="BZ805" t="str">
        <f>"SMTWTFS 0000-0100 0630-1400 1730-2359"</f>
        <v>SMTWTFS 0000-0100 0630-1400 1730-2359</v>
      </c>
      <c r="CA805" t="str">
        <f>"SMTWTFS 0000-0100 0630-1400 1730-2359"</f>
        <v>SMTWTFS 0000-0100 0630-1400 1730-2359</v>
      </c>
      <c r="CB805" t="str">
        <f>""</f>
        <v/>
      </c>
      <c r="CC805" t="str">
        <f>""</f>
        <v/>
      </c>
      <c r="CD805" t="str">
        <f>""</f>
        <v/>
      </c>
      <c r="CE805" t="str">
        <f>""</f>
        <v/>
      </c>
      <c r="CF805" t="str">
        <f>"SMTWTFS 0000-0100 0630-1400 1730-2359"</f>
        <v>SMTWTFS 0000-0100 0630-1400 1730-2359</v>
      </c>
      <c r="CG805" t="str">
        <f>""</f>
        <v/>
      </c>
      <c r="CH805" t="str">
        <f>""</f>
        <v/>
      </c>
    </row>
    <row r="806" spans="1:86" x14ac:dyDescent="0.25">
      <c r="A806" t="s">
        <v>6451</v>
      </c>
      <c r="B806" t="s">
        <v>6452</v>
      </c>
      <c r="C806" t="s">
        <v>1991</v>
      </c>
      <c r="D806" t="s">
        <v>2010</v>
      </c>
      <c r="E806" t="s">
        <v>6453</v>
      </c>
      <c r="F806" t="s">
        <v>6454</v>
      </c>
      <c r="H806" t="s">
        <v>6455</v>
      </c>
      <c r="I806" t="s">
        <v>2061</v>
      </c>
      <c r="J806" t="str">
        <f>"92075"</f>
        <v>92075</v>
      </c>
      <c r="K806" t="s">
        <v>1998</v>
      </c>
      <c r="L806" t="s">
        <v>2045</v>
      </c>
      <c r="M806" t="s">
        <v>6456</v>
      </c>
      <c r="N806" t="s">
        <v>1991</v>
      </c>
      <c r="O806" t="s">
        <v>1991</v>
      </c>
      <c r="P806" t="s">
        <v>1991</v>
      </c>
      <c r="Q806" t="s">
        <v>1992</v>
      </c>
      <c r="R806" t="s">
        <v>1992</v>
      </c>
      <c r="S806" t="s">
        <v>1992</v>
      </c>
      <c r="T806" t="s">
        <v>1992</v>
      </c>
      <c r="U806" t="s">
        <v>1991</v>
      </c>
      <c r="V806" t="s">
        <v>1991</v>
      </c>
      <c r="W806" t="s">
        <v>1991</v>
      </c>
      <c r="X806" t="s">
        <v>1991</v>
      </c>
      <c r="Y806" t="s">
        <v>1991</v>
      </c>
      <c r="Z806" t="s">
        <v>1992</v>
      </c>
      <c r="AA806" t="s">
        <v>1992</v>
      </c>
      <c r="AE806" t="s">
        <v>2047</v>
      </c>
      <c r="AF806" t="s">
        <v>2064</v>
      </c>
      <c r="AG806" t="s">
        <v>1991</v>
      </c>
      <c r="AH806">
        <v>45</v>
      </c>
      <c r="AI806">
        <v>30</v>
      </c>
      <c r="AJ806" t="s">
        <v>6457</v>
      </c>
      <c r="AK806">
        <v>79</v>
      </c>
      <c r="AL806">
        <v>17000</v>
      </c>
      <c r="AN806" t="s">
        <v>1053</v>
      </c>
      <c r="AO806" t="s">
        <v>1053</v>
      </c>
      <c r="AP806" t="s">
        <v>2083</v>
      </c>
      <c r="AQ806" t="s">
        <v>1053</v>
      </c>
      <c r="AR806" t="s">
        <v>2083</v>
      </c>
      <c r="AS806" t="s">
        <v>6451</v>
      </c>
      <c r="AT806" t="s">
        <v>6458</v>
      </c>
      <c r="AU806" t="s">
        <v>1053</v>
      </c>
      <c r="AV806" t="s">
        <v>1053</v>
      </c>
      <c r="AW806" t="s">
        <v>2083</v>
      </c>
      <c r="AX806" t="s">
        <v>1053</v>
      </c>
      <c r="AY806" t="s">
        <v>2083</v>
      </c>
      <c r="AZ806" t="s">
        <v>6451</v>
      </c>
      <c r="BA806" t="s">
        <v>6458</v>
      </c>
      <c r="BB806" t="s">
        <v>1053</v>
      </c>
      <c r="BC806" t="s">
        <v>2083</v>
      </c>
      <c r="BD806" t="s">
        <v>1053</v>
      </c>
      <c r="BE806" t="s">
        <v>2083</v>
      </c>
      <c r="BF806" t="s">
        <v>1053</v>
      </c>
      <c r="BG806" t="s">
        <v>2067</v>
      </c>
      <c r="BH806" t="s">
        <v>275</v>
      </c>
      <c r="BI806" t="s">
        <v>1053</v>
      </c>
      <c r="BJ806" t="s">
        <v>2083</v>
      </c>
      <c r="BK806" t="s">
        <v>1053</v>
      </c>
      <c r="BL806" t="s">
        <v>2083</v>
      </c>
      <c r="BM806" t="s">
        <v>276</v>
      </c>
      <c r="BN806" t="s">
        <v>277</v>
      </c>
      <c r="BO806" t="s">
        <v>1053</v>
      </c>
      <c r="BP806" t="s">
        <v>2067</v>
      </c>
      <c r="BQ806" t="s">
        <v>275</v>
      </c>
      <c r="BR806" t="s">
        <v>1053</v>
      </c>
      <c r="BX806" t="str">
        <f>"SMTWTFS 0600-2100"</f>
        <v>SMTWTFS 0600-2100</v>
      </c>
      <c r="BY806" t="str">
        <f>""</f>
        <v/>
      </c>
      <c r="BZ806" t="str">
        <f>"SMTWTFS 0630-1400"</f>
        <v>SMTWTFS 0630-1400</v>
      </c>
      <c r="CA806" t="str">
        <f>"SMTWTFS 0600-2100"</f>
        <v>SMTWTFS 0600-2100</v>
      </c>
      <c r="CB806" t="str">
        <f>""</f>
        <v/>
      </c>
      <c r="CC806" t="str">
        <f>"SMTWTFS 0600-2100"</f>
        <v>SMTWTFS 0600-2100</v>
      </c>
      <c r="CD806" t="str">
        <f>"SMTWTFS 0000-2359"</f>
        <v>SMTWTFS 0000-2359</v>
      </c>
      <c r="CE806" t="str">
        <f>""</f>
        <v/>
      </c>
      <c r="CF806" t="str">
        <f>""</f>
        <v/>
      </c>
      <c r="CG806" t="str">
        <f>""</f>
        <v/>
      </c>
      <c r="CH806" t="str">
        <f>""</f>
        <v/>
      </c>
    </row>
    <row r="807" spans="1:86" x14ac:dyDescent="0.25">
      <c r="A807" t="s">
        <v>6459</v>
      </c>
      <c r="B807" t="s">
        <v>6460</v>
      </c>
      <c r="C807" t="s">
        <v>1992</v>
      </c>
      <c r="D807" t="s">
        <v>2010</v>
      </c>
      <c r="E807" t="s">
        <v>6461</v>
      </c>
      <c r="H807" t="s">
        <v>6462</v>
      </c>
      <c r="I807" t="s">
        <v>700</v>
      </c>
      <c r="J807" t="str">
        <f>"28387"</f>
        <v>28387</v>
      </c>
      <c r="K807" t="s">
        <v>1998</v>
      </c>
      <c r="L807" t="s">
        <v>408</v>
      </c>
      <c r="M807" t="s">
        <v>2063</v>
      </c>
      <c r="N807" t="s">
        <v>1992</v>
      </c>
      <c r="O807" t="s">
        <v>1991</v>
      </c>
      <c r="P807" t="s">
        <v>1992</v>
      </c>
      <c r="Q807" t="s">
        <v>1992</v>
      </c>
      <c r="R807" t="s">
        <v>1992</v>
      </c>
      <c r="S807" t="s">
        <v>1992</v>
      </c>
      <c r="T807" t="s">
        <v>1992</v>
      </c>
      <c r="U807" t="s">
        <v>1992</v>
      </c>
      <c r="V807" t="s">
        <v>1991</v>
      </c>
      <c r="W807" t="s">
        <v>1991</v>
      </c>
      <c r="X807" t="s">
        <v>1992</v>
      </c>
      <c r="Y807" t="s">
        <v>1992</v>
      </c>
      <c r="Z807" t="s">
        <v>1992</v>
      </c>
      <c r="AF807" t="s">
        <v>2016</v>
      </c>
      <c r="AG807" t="s">
        <v>1991</v>
      </c>
      <c r="AH807">
        <v>30</v>
      </c>
      <c r="AI807">
        <v>30</v>
      </c>
      <c r="AJ807" t="s">
        <v>6463</v>
      </c>
      <c r="AK807">
        <v>508</v>
      </c>
      <c r="AL807">
        <v>8800</v>
      </c>
      <c r="AN807" t="s">
        <v>916</v>
      </c>
      <c r="AU807" t="s">
        <v>916</v>
      </c>
      <c r="BF807" t="s">
        <v>1053</v>
      </c>
      <c r="BG807" t="s">
        <v>703</v>
      </c>
      <c r="BH807" t="s">
        <v>704</v>
      </c>
      <c r="BI807" t="s">
        <v>1053</v>
      </c>
      <c r="BJ807" t="s">
        <v>1053</v>
      </c>
      <c r="BK807" t="s">
        <v>1053</v>
      </c>
      <c r="BL807" t="s">
        <v>1053</v>
      </c>
      <c r="BM807" t="s">
        <v>705</v>
      </c>
      <c r="BO807" t="s">
        <v>1053</v>
      </c>
      <c r="BP807" t="s">
        <v>2375</v>
      </c>
      <c r="BQ807" t="s">
        <v>427</v>
      </c>
      <c r="BR807" t="s">
        <v>1053</v>
      </c>
      <c r="BS807" t="s">
        <v>1053</v>
      </c>
      <c r="BT807" t="s">
        <v>1053</v>
      </c>
      <c r="BU807" t="s">
        <v>1053</v>
      </c>
      <c r="BV807" t="s">
        <v>416</v>
      </c>
      <c r="BW807" t="s">
        <v>417</v>
      </c>
      <c r="BX807" t="str">
        <f>"SMTWTFS 0600-0815 2130-2345"</f>
        <v>SMTWTFS 0600-0815 2130-2345</v>
      </c>
      <c r="BY807" t="str">
        <f>""</f>
        <v/>
      </c>
      <c r="BZ807" t="str">
        <f>""</f>
        <v/>
      </c>
      <c r="CA807" t="str">
        <f>""</f>
        <v/>
      </c>
      <c r="CB807" t="str">
        <f>""</f>
        <v/>
      </c>
      <c r="CC807" t="str">
        <f>"SMTWTFS 0600-0815 2130-2345"</f>
        <v>SMTWTFS 0600-0815 2130-2345</v>
      </c>
      <c r="CD807" t="str">
        <f>""</f>
        <v/>
      </c>
      <c r="CE807" t="str">
        <f>""</f>
        <v/>
      </c>
      <c r="CF807" t="str">
        <f>""</f>
        <v/>
      </c>
      <c r="CG807" t="str">
        <f>""</f>
        <v/>
      </c>
      <c r="CH807" t="str">
        <f>""</f>
        <v/>
      </c>
    </row>
    <row r="808" spans="1:86" x14ac:dyDescent="0.25">
      <c r="A808" t="s">
        <v>6464</v>
      </c>
      <c r="B808" t="s">
        <v>6465</v>
      </c>
      <c r="C808" t="s">
        <v>1992</v>
      </c>
      <c r="D808" t="s">
        <v>2010</v>
      </c>
      <c r="E808" t="s">
        <v>6466</v>
      </c>
      <c r="H808" t="s">
        <v>6467</v>
      </c>
      <c r="I808" t="s">
        <v>914</v>
      </c>
      <c r="J808" t="str">
        <f>"29303"</f>
        <v>29303</v>
      </c>
      <c r="K808" t="s">
        <v>1998</v>
      </c>
      <c r="L808" t="s">
        <v>408</v>
      </c>
      <c r="M808" t="s">
        <v>2063</v>
      </c>
      <c r="N808" t="s">
        <v>1992</v>
      </c>
      <c r="O808" t="s">
        <v>1992</v>
      </c>
      <c r="P808" t="s">
        <v>1992</v>
      </c>
      <c r="Q808" t="s">
        <v>1992</v>
      </c>
      <c r="R808" t="s">
        <v>1992</v>
      </c>
      <c r="S808" t="s">
        <v>1992</v>
      </c>
      <c r="T808" t="s">
        <v>1992</v>
      </c>
      <c r="U808" t="s">
        <v>1992</v>
      </c>
      <c r="V808" t="s">
        <v>1991</v>
      </c>
      <c r="W808" t="s">
        <v>1991</v>
      </c>
      <c r="X808" t="s">
        <v>1992</v>
      </c>
      <c r="Y808" t="s">
        <v>1992</v>
      </c>
      <c r="Z808" t="s">
        <v>1992</v>
      </c>
      <c r="AA808" t="s">
        <v>1992</v>
      </c>
      <c r="AF808" t="s">
        <v>2016</v>
      </c>
      <c r="AG808" t="s">
        <v>1991</v>
      </c>
      <c r="AH808">
        <v>30</v>
      </c>
      <c r="AI808">
        <v>30</v>
      </c>
      <c r="AJ808" t="s">
        <v>6468</v>
      </c>
      <c r="AK808">
        <v>759</v>
      </c>
      <c r="AL808">
        <v>38561</v>
      </c>
      <c r="AN808" t="s">
        <v>3855</v>
      </c>
      <c r="AU808" t="s">
        <v>3855</v>
      </c>
      <c r="BF808" t="s">
        <v>1053</v>
      </c>
      <c r="BG808" t="s">
        <v>2067</v>
      </c>
      <c r="BH808" t="s">
        <v>413</v>
      </c>
      <c r="BI808" t="s">
        <v>1053</v>
      </c>
      <c r="BJ808" t="s">
        <v>1053</v>
      </c>
      <c r="BK808" t="s">
        <v>1053</v>
      </c>
      <c r="BL808" t="s">
        <v>1053</v>
      </c>
      <c r="BM808" t="s">
        <v>414</v>
      </c>
      <c r="BN808" t="s">
        <v>412</v>
      </c>
      <c r="BO808" t="s">
        <v>1053</v>
      </c>
      <c r="BP808" t="s">
        <v>675</v>
      </c>
      <c r="BQ808" t="s">
        <v>6469</v>
      </c>
      <c r="BR808" t="s">
        <v>1053</v>
      </c>
      <c r="BS808" t="s">
        <v>1053</v>
      </c>
      <c r="BT808" t="s">
        <v>1053</v>
      </c>
      <c r="BU808" t="s">
        <v>1053</v>
      </c>
      <c r="BV808" t="s">
        <v>416</v>
      </c>
      <c r="BW808" t="s">
        <v>417</v>
      </c>
      <c r="BX808" t="str">
        <f>"SMTWTFS 0001-0600 2300-2359"</f>
        <v>SMTWTFS 0001-0600 2300-2359</v>
      </c>
      <c r="BY808" t="str">
        <f>""</f>
        <v/>
      </c>
      <c r="BZ808" t="str">
        <f>""</f>
        <v/>
      </c>
      <c r="CA808" t="str">
        <f>""</f>
        <v/>
      </c>
      <c r="CB808" t="str">
        <f>""</f>
        <v/>
      </c>
      <c r="CC808" t="str">
        <f>""</f>
        <v/>
      </c>
      <c r="CD808" t="str">
        <f>""</f>
        <v/>
      </c>
      <c r="CE808" t="str">
        <f>""</f>
        <v/>
      </c>
      <c r="CF808" t="str">
        <f>""</f>
        <v/>
      </c>
      <c r="CG808" t="str">
        <f>""</f>
        <v/>
      </c>
      <c r="CH808" t="str">
        <f>""</f>
        <v/>
      </c>
    </row>
    <row r="809" spans="1:86" x14ac:dyDescent="0.25">
      <c r="A809" t="s">
        <v>6470</v>
      </c>
      <c r="B809" t="s">
        <v>6471</v>
      </c>
      <c r="C809" t="s">
        <v>1992</v>
      </c>
      <c r="D809" t="s">
        <v>1993</v>
      </c>
      <c r="E809" t="s">
        <v>6472</v>
      </c>
      <c r="F809" t="s">
        <v>6473</v>
      </c>
      <c r="H809" t="s">
        <v>6474</v>
      </c>
      <c r="I809" t="s">
        <v>2061</v>
      </c>
      <c r="J809" t="str">
        <f>"90731"</f>
        <v>90731</v>
      </c>
      <c r="K809" t="s">
        <v>1998</v>
      </c>
      <c r="L809" t="s">
        <v>2045</v>
      </c>
      <c r="M809" t="s">
        <v>2000</v>
      </c>
      <c r="N809" t="s">
        <v>1992</v>
      </c>
      <c r="O809" t="s">
        <v>1992</v>
      </c>
      <c r="P809" t="s">
        <v>1992</v>
      </c>
      <c r="Q809" t="s">
        <v>1992</v>
      </c>
      <c r="R809" t="s">
        <v>1992</v>
      </c>
      <c r="S809" t="s">
        <v>1992</v>
      </c>
      <c r="T809" t="s">
        <v>1992</v>
      </c>
      <c r="U809" t="s">
        <v>1992</v>
      </c>
      <c r="V809" t="s">
        <v>1991</v>
      </c>
      <c r="W809" t="s">
        <v>1992</v>
      </c>
      <c r="X809" t="s">
        <v>1992</v>
      </c>
      <c r="Y809" t="s">
        <v>1991</v>
      </c>
      <c r="Z809" t="s">
        <v>1992</v>
      </c>
      <c r="AB809" t="s">
        <v>3050</v>
      </c>
      <c r="AF809" t="s">
        <v>2064</v>
      </c>
      <c r="AG809" t="s">
        <v>1991</v>
      </c>
      <c r="AH809">
        <v>30</v>
      </c>
      <c r="AI809">
        <v>30</v>
      </c>
      <c r="AJ809" t="s">
        <v>6475</v>
      </c>
      <c r="AK809">
        <v>13</v>
      </c>
      <c r="AM809" t="s">
        <v>6476</v>
      </c>
      <c r="AN809" t="s">
        <v>1053</v>
      </c>
      <c r="AO809" t="s">
        <v>1053</v>
      </c>
      <c r="BF809" t="s">
        <v>1053</v>
      </c>
      <c r="BG809" t="s">
        <v>309</v>
      </c>
      <c r="BH809" t="s">
        <v>2301</v>
      </c>
      <c r="BI809" t="s">
        <v>1053</v>
      </c>
      <c r="BK809" t="s">
        <v>1053</v>
      </c>
      <c r="BO809" t="s">
        <v>1053</v>
      </c>
      <c r="BP809" t="s">
        <v>310</v>
      </c>
      <c r="BQ809" t="s">
        <v>311</v>
      </c>
      <c r="BR809" t="s">
        <v>1053</v>
      </c>
      <c r="BS809" t="s">
        <v>1053</v>
      </c>
      <c r="BT809" t="s">
        <v>1053</v>
      </c>
      <c r="BU809" t="s">
        <v>1053</v>
      </c>
      <c r="BX809" t="str">
        <f>""</f>
        <v/>
      </c>
      <c r="BY809" t="str">
        <f>""</f>
        <v/>
      </c>
      <c r="BZ809" t="str">
        <f>""</f>
        <v/>
      </c>
      <c r="CA809" t="str">
        <f>""</f>
        <v/>
      </c>
      <c r="CB809" t="str">
        <f>""</f>
        <v/>
      </c>
      <c r="CC809" t="str">
        <f>""</f>
        <v/>
      </c>
      <c r="CD809" t="str">
        <f>""</f>
        <v/>
      </c>
      <c r="CE809" t="str">
        <f>""</f>
        <v/>
      </c>
      <c r="CF809" t="str">
        <f>""</f>
        <v/>
      </c>
      <c r="CG809" t="str">
        <f>""</f>
        <v/>
      </c>
      <c r="CH809" t="str">
        <f>""</f>
        <v/>
      </c>
    </row>
    <row r="810" spans="1:86" x14ac:dyDescent="0.25">
      <c r="A810" t="s">
        <v>251</v>
      </c>
      <c r="B810" t="s">
        <v>6477</v>
      </c>
      <c r="C810" t="s">
        <v>1991</v>
      </c>
      <c r="D810" t="s">
        <v>2010</v>
      </c>
      <c r="E810" t="s">
        <v>6478</v>
      </c>
      <c r="H810" t="s">
        <v>6479</v>
      </c>
      <c r="I810" t="s">
        <v>247</v>
      </c>
      <c r="J810" t="str">
        <f>"01103"</f>
        <v>01103</v>
      </c>
      <c r="K810" t="s">
        <v>1998</v>
      </c>
      <c r="L810" t="s">
        <v>2033</v>
      </c>
      <c r="M810" t="s">
        <v>6480</v>
      </c>
      <c r="N810" t="s">
        <v>1991</v>
      </c>
      <c r="O810" t="s">
        <v>1991</v>
      </c>
      <c r="P810" t="s">
        <v>1992</v>
      </c>
      <c r="Q810" t="s">
        <v>1991</v>
      </c>
      <c r="R810" t="s">
        <v>1992</v>
      </c>
      <c r="S810" t="s">
        <v>1992</v>
      </c>
      <c r="T810" t="s">
        <v>1992</v>
      </c>
      <c r="U810" t="s">
        <v>1991</v>
      </c>
      <c r="V810" t="s">
        <v>1991</v>
      </c>
      <c r="W810" t="s">
        <v>1991</v>
      </c>
      <c r="X810" t="s">
        <v>1992</v>
      </c>
      <c r="Y810" t="s">
        <v>1992</v>
      </c>
      <c r="Z810" t="s">
        <v>1992</v>
      </c>
      <c r="AE810" t="s">
        <v>2047</v>
      </c>
      <c r="AF810" t="s">
        <v>2016</v>
      </c>
      <c r="AG810" t="s">
        <v>1991</v>
      </c>
      <c r="AH810">
        <v>30</v>
      </c>
      <c r="AI810">
        <v>30</v>
      </c>
      <c r="AJ810" t="s">
        <v>6481</v>
      </c>
      <c r="AK810">
        <v>69</v>
      </c>
      <c r="AL810">
        <v>27900</v>
      </c>
      <c r="AN810" t="s">
        <v>1053</v>
      </c>
      <c r="AO810" t="s">
        <v>1053</v>
      </c>
      <c r="AP810" t="s">
        <v>1053</v>
      </c>
      <c r="AQ810" t="s">
        <v>1053</v>
      </c>
      <c r="AR810" t="s">
        <v>1053</v>
      </c>
      <c r="AS810" t="s">
        <v>251</v>
      </c>
      <c r="AT810" t="s">
        <v>252</v>
      </c>
      <c r="AU810" t="s">
        <v>1053</v>
      </c>
      <c r="AV810" t="s">
        <v>1053</v>
      </c>
      <c r="AW810" t="s">
        <v>1053</v>
      </c>
      <c r="AX810" t="s">
        <v>1053</v>
      </c>
      <c r="AY810" t="s">
        <v>1053</v>
      </c>
      <c r="AZ810" t="s">
        <v>251</v>
      </c>
      <c r="BA810" t="s">
        <v>252</v>
      </c>
      <c r="BB810" t="s">
        <v>1053</v>
      </c>
      <c r="BC810" t="s">
        <v>1053</v>
      </c>
      <c r="BD810" t="s">
        <v>1053</v>
      </c>
      <c r="BE810" t="s">
        <v>1053</v>
      </c>
      <c r="BF810" t="s">
        <v>1053</v>
      </c>
      <c r="BG810" t="s">
        <v>6482</v>
      </c>
      <c r="BH810" t="s">
        <v>250</v>
      </c>
      <c r="BI810" t="s">
        <v>1053</v>
      </c>
      <c r="BJ810" t="s">
        <v>1053</v>
      </c>
      <c r="BK810" t="s">
        <v>1053</v>
      </c>
      <c r="BL810" t="s">
        <v>1053</v>
      </c>
      <c r="BM810" t="s">
        <v>251</v>
      </c>
      <c r="BN810" t="s">
        <v>252</v>
      </c>
      <c r="BO810" t="s">
        <v>1053</v>
      </c>
      <c r="BP810" t="s">
        <v>6483</v>
      </c>
      <c r="BQ810" t="s">
        <v>254</v>
      </c>
      <c r="BR810" t="s">
        <v>1053</v>
      </c>
      <c r="BS810" t="s">
        <v>1053</v>
      </c>
      <c r="BT810" t="s">
        <v>1053</v>
      </c>
      <c r="BU810" t="s">
        <v>1053</v>
      </c>
      <c r="BV810" t="s">
        <v>255</v>
      </c>
      <c r="BW810" t="s">
        <v>256</v>
      </c>
      <c r="BX810" t="str">
        <f>"SMTWTFS 0500-2300"</f>
        <v>SMTWTFS 0500-2300</v>
      </c>
      <c r="BY810" t="str">
        <f>"SMTWTFS 0830-2230"</f>
        <v>SMTWTFS 0830-2230</v>
      </c>
      <c r="BZ810" t="str">
        <f>"SMTWTFS 0500-2300"</f>
        <v>SMTWTFS 0500-2300</v>
      </c>
      <c r="CA810" t="str">
        <f>"SMTWTFS 0500-2000"</f>
        <v>SMTWTFS 0500-2000</v>
      </c>
      <c r="CB810" t="str">
        <f>""</f>
        <v/>
      </c>
      <c r="CC810" t="str">
        <f>"SMTWTFS 0500-2230"</f>
        <v>SMTWTFS 0500-2230</v>
      </c>
      <c r="CD810" t="str">
        <f>""</f>
        <v/>
      </c>
      <c r="CE810" t="str">
        <f>""</f>
        <v/>
      </c>
      <c r="CF810" t="str">
        <f>"SMTWTFS 1430-1900"</f>
        <v>SMTWTFS 1430-1900</v>
      </c>
      <c r="CG810" t="str">
        <f>""</f>
        <v/>
      </c>
      <c r="CH810" t="str">
        <f>""</f>
        <v/>
      </c>
    </row>
    <row r="811" spans="1:86" x14ac:dyDescent="0.25">
      <c r="A811" t="s">
        <v>6484</v>
      </c>
      <c r="B811" t="s">
        <v>6485</v>
      </c>
      <c r="C811" t="s">
        <v>1991</v>
      </c>
      <c r="D811" t="s">
        <v>2010</v>
      </c>
      <c r="E811" t="s">
        <v>6486</v>
      </c>
      <c r="H811" t="s">
        <v>6479</v>
      </c>
      <c r="I811" t="s">
        <v>2367</v>
      </c>
      <c r="J811" t="str">
        <f>"62701-1106"</f>
        <v>62701-1106</v>
      </c>
      <c r="K811" t="s">
        <v>1998</v>
      </c>
      <c r="L811" t="s">
        <v>1999</v>
      </c>
      <c r="M811" t="s">
        <v>6487</v>
      </c>
      <c r="N811" t="s">
        <v>1991</v>
      </c>
      <c r="O811" t="s">
        <v>1992</v>
      </c>
      <c r="P811" t="s">
        <v>1992</v>
      </c>
      <c r="Q811" t="s">
        <v>1991</v>
      </c>
      <c r="R811" t="s">
        <v>1991</v>
      </c>
      <c r="S811" t="s">
        <v>1992</v>
      </c>
      <c r="T811" t="s">
        <v>1992</v>
      </c>
      <c r="U811" t="s">
        <v>1991</v>
      </c>
      <c r="V811" t="s">
        <v>1991</v>
      </c>
      <c r="W811" t="s">
        <v>1991</v>
      </c>
      <c r="X811" t="s">
        <v>1992</v>
      </c>
      <c r="Y811" t="s">
        <v>1991</v>
      </c>
      <c r="Z811" t="s">
        <v>1992</v>
      </c>
      <c r="AA811" t="s">
        <v>1992</v>
      </c>
      <c r="AE811" t="s">
        <v>2047</v>
      </c>
      <c r="AF811" t="s">
        <v>2001</v>
      </c>
      <c r="AG811" t="s">
        <v>1991</v>
      </c>
      <c r="AH811">
        <v>60</v>
      </c>
      <c r="AI811">
        <v>30</v>
      </c>
      <c r="AJ811" t="s">
        <v>6488</v>
      </c>
      <c r="AK811">
        <v>596</v>
      </c>
      <c r="AL811">
        <v>116482</v>
      </c>
      <c r="AN811" t="s">
        <v>1053</v>
      </c>
      <c r="AO811" t="s">
        <v>1053</v>
      </c>
      <c r="AP811" t="s">
        <v>2069</v>
      </c>
      <c r="AQ811" t="s">
        <v>1053</v>
      </c>
      <c r="AR811" t="s">
        <v>2069</v>
      </c>
      <c r="AS811" t="s">
        <v>6484</v>
      </c>
      <c r="AT811" t="s">
        <v>6489</v>
      </c>
      <c r="AU811" t="s">
        <v>1053</v>
      </c>
      <c r="AV811" t="s">
        <v>1053</v>
      </c>
      <c r="AW811" t="s">
        <v>2069</v>
      </c>
      <c r="AX811" t="s">
        <v>1053</v>
      </c>
      <c r="AY811" t="s">
        <v>2069</v>
      </c>
      <c r="AZ811" t="s">
        <v>6484</v>
      </c>
      <c r="BA811" t="s">
        <v>6489</v>
      </c>
      <c r="BB811" t="s">
        <v>1053</v>
      </c>
      <c r="BC811" t="s">
        <v>2069</v>
      </c>
      <c r="BD811" t="s">
        <v>1053</v>
      </c>
      <c r="BE811" t="s">
        <v>2069</v>
      </c>
      <c r="BF811" t="s">
        <v>1053</v>
      </c>
      <c r="BG811" t="s">
        <v>2371</v>
      </c>
      <c r="BH811" t="s">
        <v>176</v>
      </c>
      <c r="BI811" t="s">
        <v>1053</v>
      </c>
      <c r="BJ811" t="s">
        <v>1053</v>
      </c>
      <c r="BK811" t="s">
        <v>1053</v>
      </c>
      <c r="BL811" t="s">
        <v>1053</v>
      </c>
      <c r="BM811" t="s">
        <v>2373</v>
      </c>
      <c r="BN811" t="s">
        <v>2374</v>
      </c>
      <c r="BO811" t="s">
        <v>1053</v>
      </c>
      <c r="BP811" t="s">
        <v>653</v>
      </c>
      <c r="BQ811" t="s">
        <v>2376</v>
      </c>
      <c r="BR811" t="s">
        <v>1053</v>
      </c>
      <c r="BX811" t="str">
        <f>"SMTWTFS 0600-2300"</f>
        <v>SMTWTFS 0600-2300</v>
      </c>
      <c r="BY811" t="str">
        <f>"SMTWTFS 0600-2300"</f>
        <v>SMTWTFS 0600-2300</v>
      </c>
      <c r="BZ811" t="str">
        <f>"SMTWTFS 0600-2300"</f>
        <v>SMTWTFS 0600-2300</v>
      </c>
      <c r="CA811" t="str">
        <f>"SMTWTFS 0600-2300"</f>
        <v>SMTWTFS 0600-2300</v>
      </c>
      <c r="CB811" t="str">
        <f>""</f>
        <v/>
      </c>
      <c r="CC811" t="str">
        <f>""</f>
        <v/>
      </c>
      <c r="CD811" t="str">
        <f>""</f>
        <v/>
      </c>
      <c r="CE811" t="str">
        <f>""</f>
        <v/>
      </c>
      <c r="CF811" t="str">
        <f>"SMTWTFS 0600-2300"</f>
        <v>SMTWTFS 0600-2300</v>
      </c>
      <c r="CG811" t="str">
        <f>""</f>
        <v/>
      </c>
      <c r="CH811" t="str">
        <f>""</f>
        <v/>
      </c>
    </row>
    <row r="812" spans="1:86" x14ac:dyDescent="0.25">
      <c r="A812" t="s">
        <v>6490</v>
      </c>
      <c r="B812" t="s">
        <v>6491</v>
      </c>
      <c r="C812" t="s">
        <v>1991</v>
      </c>
      <c r="D812" t="s">
        <v>2010</v>
      </c>
      <c r="E812" t="s">
        <v>6492</v>
      </c>
      <c r="H812" t="s">
        <v>6493</v>
      </c>
      <c r="I812" t="s">
        <v>576</v>
      </c>
      <c r="J812" t="str">
        <f>"99201-3704"</f>
        <v>99201-3704</v>
      </c>
      <c r="K812" t="s">
        <v>1998</v>
      </c>
      <c r="L812" t="s">
        <v>231</v>
      </c>
      <c r="M812" t="s">
        <v>6494</v>
      </c>
      <c r="N812" t="s">
        <v>1991</v>
      </c>
      <c r="O812" t="s">
        <v>1991</v>
      </c>
      <c r="P812" t="s">
        <v>1992</v>
      </c>
      <c r="Q812" t="s">
        <v>1991</v>
      </c>
      <c r="R812" t="s">
        <v>1991</v>
      </c>
      <c r="S812" t="s">
        <v>1992</v>
      </c>
      <c r="T812" t="s">
        <v>1992</v>
      </c>
      <c r="U812" t="s">
        <v>1992</v>
      </c>
      <c r="V812" t="s">
        <v>1991</v>
      </c>
      <c r="W812" t="s">
        <v>1991</v>
      </c>
      <c r="X812" t="s">
        <v>1992</v>
      </c>
      <c r="Y812" t="s">
        <v>1992</v>
      </c>
      <c r="Z812" t="s">
        <v>1991</v>
      </c>
      <c r="AA812" t="s">
        <v>1991</v>
      </c>
      <c r="AE812" t="s">
        <v>2047</v>
      </c>
      <c r="AF812" t="s">
        <v>2064</v>
      </c>
      <c r="AG812" t="s">
        <v>1991</v>
      </c>
      <c r="AH812">
        <v>60</v>
      </c>
      <c r="AI812">
        <v>30</v>
      </c>
      <c r="AJ812" t="s">
        <v>6495</v>
      </c>
      <c r="AK812">
        <v>1905</v>
      </c>
      <c r="AL812">
        <v>200000</v>
      </c>
      <c r="AM812" t="s">
        <v>2298</v>
      </c>
      <c r="AN812" t="s">
        <v>1053</v>
      </c>
      <c r="AO812" t="s">
        <v>1053</v>
      </c>
      <c r="AP812" t="s">
        <v>2069</v>
      </c>
      <c r="AQ812" t="s">
        <v>1053</v>
      </c>
      <c r="AR812" t="s">
        <v>2069</v>
      </c>
      <c r="AS812" t="s">
        <v>6490</v>
      </c>
      <c r="AT812" t="s">
        <v>6496</v>
      </c>
      <c r="AU812" t="s">
        <v>1053</v>
      </c>
      <c r="AV812" t="s">
        <v>1053</v>
      </c>
      <c r="AW812" t="s">
        <v>2069</v>
      </c>
      <c r="AX812" t="s">
        <v>1053</v>
      </c>
      <c r="AY812" t="s">
        <v>2069</v>
      </c>
      <c r="AZ812" t="s">
        <v>6490</v>
      </c>
      <c r="BA812" t="s">
        <v>6496</v>
      </c>
      <c r="BB812" t="s">
        <v>1053</v>
      </c>
      <c r="BC812" t="s">
        <v>2069</v>
      </c>
      <c r="BD812" t="s">
        <v>1053</v>
      </c>
      <c r="BE812" t="s">
        <v>2069</v>
      </c>
      <c r="BF812" t="s">
        <v>1053</v>
      </c>
      <c r="BG812" t="s">
        <v>2745</v>
      </c>
      <c r="BH812" t="s">
        <v>240</v>
      </c>
      <c r="BI812" t="s">
        <v>1053</v>
      </c>
      <c r="BJ812" t="s">
        <v>1053</v>
      </c>
      <c r="BK812" t="s">
        <v>1053</v>
      </c>
      <c r="BM812" t="s">
        <v>241</v>
      </c>
      <c r="BN812" t="s">
        <v>242</v>
      </c>
      <c r="BO812" t="s">
        <v>1053</v>
      </c>
      <c r="BP812" t="s">
        <v>239</v>
      </c>
      <c r="BQ812" t="s">
        <v>240</v>
      </c>
      <c r="BR812" t="s">
        <v>1053</v>
      </c>
      <c r="BS812" t="s">
        <v>1053</v>
      </c>
      <c r="BT812" t="s">
        <v>1053</v>
      </c>
      <c r="BU812" t="s">
        <v>1053</v>
      </c>
      <c r="BV812" t="s">
        <v>241</v>
      </c>
      <c r="BW812" t="s">
        <v>242</v>
      </c>
      <c r="BX812" t="str">
        <f>"SMTWTFS 0000-2359"</f>
        <v>SMTWTFS 0000-2359</v>
      </c>
      <c r="BY812" t="str">
        <f>"SMTWTFS 0000-0530 2200-2359"</f>
        <v>SMTWTFS 0000-0530 2200-2359</v>
      </c>
      <c r="BZ812" t="str">
        <f>"SMTWTFS 0000-0530 2200-2359"</f>
        <v>SMTWTFS 0000-0530 2200-2359</v>
      </c>
      <c r="CA812" t="str">
        <f>"SMTWTFS 0000-0530 2200-2359"</f>
        <v>SMTWTFS 0000-0530 2200-2359</v>
      </c>
      <c r="CB812" t="str">
        <f>""</f>
        <v/>
      </c>
      <c r="CC812" t="str">
        <f>"SMTWTFS 0000-2359"</f>
        <v>SMTWTFS 0000-2359</v>
      </c>
      <c r="CD812" t="str">
        <f>""</f>
        <v/>
      </c>
      <c r="CE812" t="str">
        <f>""</f>
        <v/>
      </c>
      <c r="CF812" t="str">
        <f>"SMTWTFS 0000-0530 2200-2359"</f>
        <v>SMTWTFS 0000-0530 2200-2359</v>
      </c>
      <c r="CG812" t="str">
        <f>""</f>
        <v/>
      </c>
      <c r="CH812" t="str">
        <f>""</f>
        <v/>
      </c>
    </row>
    <row r="813" spans="1:86" x14ac:dyDescent="0.25">
      <c r="A813" t="s">
        <v>6497</v>
      </c>
      <c r="B813" t="s">
        <v>6498</v>
      </c>
      <c r="C813" t="s">
        <v>1992</v>
      </c>
      <c r="D813" t="s">
        <v>2010</v>
      </c>
      <c r="E813" t="s">
        <v>6499</v>
      </c>
      <c r="F813" t="s">
        <v>6500</v>
      </c>
      <c r="H813" t="s">
        <v>6501</v>
      </c>
      <c r="I813" t="s">
        <v>2170</v>
      </c>
      <c r="J813" t="str">
        <f>"56479"</f>
        <v>56479</v>
      </c>
      <c r="K813" t="s">
        <v>1998</v>
      </c>
      <c r="L813" t="s">
        <v>1999</v>
      </c>
      <c r="M813" t="s">
        <v>6502</v>
      </c>
      <c r="N813" t="s">
        <v>1992</v>
      </c>
      <c r="O813" t="s">
        <v>1992</v>
      </c>
      <c r="P813" t="s">
        <v>1992</v>
      </c>
      <c r="Q813" t="s">
        <v>1992</v>
      </c>
      <c r="R813" t="s">
        <v>1992</v>
      </c>
      <c r="S813" t="s">
        <v>1992</v>
      </c>
      <c r="T813" t="s">
        <v>1992</v>
      </c>
      <c r="U813" t="s">
        <v>1992</v>
      </c>
      <c r="V813" t="s">
        <v>1991</v>
      </c>
      <c r="W813" t="s">
        <v>1991</v>
      </c>
      <c r="X813" t="s">
        <v>1992</v>
      </c>
      <c r="Y813" t="s">
        <v>1992</v>
      </c>
      <c r="Z813" t="s">
        <v>1992</v>
      </c>
      <c r="AF813" t="s">
        <v>2001</v>
      </c>
      <c r="AG813" t="s">
        <v>1991</v>
      </c>
      <c r="AH813">
        <v>30</v>
      </c>
      <c r="AI813">
        <v>30</v>
      </c>
      <c r="AJ813" t="s">
        <v>6503</v>
      </c>
      <c r="AK813">
        <v>1274</v>
      </c>
      <c r="AL813">
        <v>3019</v>
      </c>
      <c r="AM813" t="s">
        <v>2172</v>
      </c>
      <c r="AN813" t="s">
        <v>6504</v>
      </c>
      <c r="AO813" t="s">
        <v>2063</v>
      </c>
      <c r="AU813" t="s">
        <v>1053</v>
      </c>
      <c r="AV813" t="s">
        <v>1053</v>
      </c>
      <c r="BF813" t="s">
        <v>1053</v>
      </c>
      <c r="BG813" t="s">
        <v>703</v>
      </c>
      <c r="BH813" t="s">
        <v>2173</v>
      </c>
      <c r="BI813" t="s">
        <v>1053</v>
      </c>
      <c r="BJ813" t="s">
        <v>2069</v>
      </c>
      <c r="BK813" t="s">
        <v>1053</v>
      </c>
      <c r="BL813" t="s">
        <v>2069</v>
      </c>
      <c r="BM813" t="s">
        <v>287</v>
      </c>
      <c r="BN813" t="s">
        <v>288</v>
      </c>
      <c r="BO813" t="s">
        <v>1053</v>
      </c>
      <c r="BP813" t="s">
        <v>950</v>
      </c>
      <c r="BQ813" t="s">
        <v>2006</v>
      </c>
      <c r="BR813" t="s">
        <v>1053</v>
      </c>
      <c r="BS813" t="s">
        <v>1053</v>
      </c>
      <c r="BT813" t="s">
        <v>1053</v>
      </c>
      <c r="BU813" t="s">
        <v>1053</v>
      </c>
      <c r="BV813" t="s">
        <v>951</v>
      </c>
      <c r="BW813" t="s">
        <v>952</v>
      </c>
      <c r="BX813" t="str">
        <f>"SMTWTFS 0045-0430"</f>
        <v>SMTWTFS 0045-0430</v>
      </c>
      <c r="BY813" t="str">
        <f>""</f>
        <v/>
      </c>
      <c r="BZ813" t="str">
        <f>""</f>
        <v/>
      </c>
      <c r="CA813" t="str">
        <f>""</f>
        <v/>
      </c>
      <c r="CB813" t="str">
        <f>""</f>
        <v/>
      </c>
      <c r="CC813" t="str">
        <f>""</f>
        <v/>
      </c>
      <c r="CD813" t="str">
        <f>""</f>
        <v/>
      </c>
      <c r="CE813" t="str">
        <f>""</f>
        <v/>
      </c>
      <c r="CF813" t="str">
        <f>""</f>
        <v/>
      </c>
      <c r="CG813" t="str">
        <f>""</f>
        <v/>
      </c>
      <c r="CH813" t="str">
        <f>""</f>
        <v/>
      </c>
    </row>
    <row r="814" spans="1:86" x14ac:dyDescent="0.25">
      <c r="A814" t="s">
        <v>6505</v>
      </c>
      <c r="B814" t="s">
        <v>6506</v>
      </c>
      <c r="C814" t="s">
        <v>1992</v>
      </c>
      <c r="D814" t="s">
        <v>2028</v>
      </c>
      <c r="E814" t="s">
        <v>6507</v>
      </c>
      <c r="H814" t="s">
        <v>6508</v>
      </c>
      <c r="I814" t="s">
        <v>2309</v>
      </c>
      <c r="J814" t="str">
        <f>"41174"</f>
        <v>41174</v>
      </c>
      <c r="K814" t="s">
        <v>1998</v>
      </c>
      <c r="L814" t="s">
        <v>1999</v>
      </c>
      <c r="M814" t="s">
        <v>2063</v>
      </c>
      <c r="N814" t="s">
        <v>1992</v>
      </c>
      <c r="O814" t="s">
        <v>1992</v>
      </c>
      <c r="P814" t="s">
        <v>1992</v>
      </c>
      <c r="Q814" t="s">
        <v>1992</v>
      </c>
      <c r="R814" t="s">
        <v>1992</v>
      </c>
      <c r="S814" t="s">
        <v>1992</v>
      </c>
      <c r="T814" t="s">
        <v>1992</v>
      </c>
      <c r="U814" t="s">
        <v>1992</v>
      </c>
      <c r="V814" t="s">
        <v>1991</v>
      </c>
      <c r="W814" t="s">
        <v>1991</v>
      </c>
      <c r="X814" t="s">
        <v>1992</v>
      </c>
      <c r="Y814" t="s">
        <v>1992</v>
      </c>
      <c r="Z814" t="s">
        <v>1992</v>
      </c>
      <c r="AF814" t="s">
        <v>2016</v>
      </c>
      <c r="AG814" t="s">
        <v>1991</v>
      </c>
      <c r="AH814">
        <v>30</v>
      </c>
      <c r="AI814">
        <v>30</v>
      </c>
      <c r="AJ814" t="s">
        <v>6509</v>
      </c>
      <c r="AK814">
        <v>532</v>
      </c>
      <c r="AL814">
        <v>34989</v>
      </c>
      <c r="AN814" t="s">
        <v>3537</v>
      </c>
      <c r="AO814" t="s">
        <v>2311</v>
      </c>
      <c r="BF814" t="s">
        <v>1053</v>
      </c>
      <c r="BG814" t="s">
        <v>2097</v>
      </c>
      <c r="BH814" t="s">
        <v>2312</v>
      </c>
      <c r="BI814" t="s">
        <v>1053</v>
      </c>
      <c r="BJ814" t="s">
        <v>2069</v>
      </c>
      <c r="BK814" t="s">
        <v>1053</v>
      </c>
      <c r="BL814" t="s">
        <v>2069</v>
      </c>
      <c r="BM814" t="s">
        <v>2313</v>
      </c>
      <c r="BN814" t="s">
        <v>2314</v>
      </c>
      <c r="BO814" t="s">
        <v>1053</v>
      </c>
      <c r="BP814" t="s">
        <v>301</v>
      </c>
      <c r="BQ814" t="s">
        <v>2316</v>
      </c>
      <c r="BR814" t="s">
        <v>1053</v>
      </c>
      <c r="BT814" t="s">
        <v>1053</v>
      </c>
      <c r="BX814" t="str">
        <f>"S--W-F- 0730-0830 2100-2200"</f>
        <v>S--W-F- 0730-0830 2100-2200</v>
      </c>
      <c r="BY814" t="str">
        <f>""</f>
        <v/>
      </c>
      <c r="BZ814" t="str">
        <f>""</f>
        <v/>
      </c>
      <c r="CA814" t="str">
        <f>""</f>
        <v/>
      </c>
      <c r="CB814" t="str">
        <f>""</f>
        <v/>
      </c>
      <c r="CC814" t="str">
        <f>""</f>
        <v/>
      </c>
      <c r="CD814" t="str">
        <f>""</f>
        <v/>
      </c>
      <c r="CE814" t="str">
        <f>""</f>
        <v/>
      </c>
      <c r="CF814" t="str">
        <f>""</f>
        <v/>
      </c>
      <c r="CG814" t="str">
        <f>""</f>
        <v/>
      </c>
      <c r="CH814" t="str">
        <f>""</f>
        <v/>
      </c>
    </row>
    <row r="815" spans="1:86" x14ac:dyDescent="0.25">
      <c r="A815" t="s">
        <v>6510</v>
      </c>
      <c r="B815" t="s">
        <v>6511</v>
      </c>
      <c r="C815" t="s">
        <v>1992</v>
      </c>
      <c r="D815" t="s">
        <v>1993</v>
      </c>
      <c r="E815" t="s">
        <v>6512</v>
      </c>
      <c r="F815" t="s">
        <v>6513</v>
      </c>
      <c r="H815" t="s">
        <v>6474</v>
      </c>
      <c r="I815" t="s">
        <v>2061</v>
      </c>
      <c r="J815" t="str">
        <f>"90731"</f>
        <v>90731</v>
      </c>
      <c r="K815" t="s">
        <v>1998</v>
      </c>
      <c r="L815" t="s">
        <v>2045</v>
      </c>
      <c r="M815" t="s">
        <v>2063</v>
      </c>
      <c r="N815" t="s">
        <v>1992</v>
      </c>
      <c r="O815" t="s">
        <v>1992</v>
      </c>
      <c r="P815" t="s">
        <v>1992</v>
      </c>
      <c r="Q815" t="s">
        <v>1992</v>
      </c>
      <c r="R815" t="s">
        <v>1992</v>
      </c>
      <c r="S815" t="s">
        <v>1992</v>
      </c>
      <c r="T815" t="s">
        <v>1992</v>
      </c>
      <c r="U815" t="s">
        <v>1992</v>
      </c>
      <c r="V815" t="s">
        <v>1991</v>
      </c>
      <c r="W815" t="s">
        <v>1992</v>
      </c>
      <c r="X815" t="s">
        <v>1992</v>
      </c>
      <c r="Y815" t="s">
        <v>1991</v>
      </c>
      <c r="AB815" t="s">
        <v>3050</v>
      </c>
      <c r="AF815" t="s">
        <v>2064</v>
      </c>
      <c r="AG815" t="s">
        <v>1991</v>
      </c>
      <c r="AH815">
        <v>30</v>
      </c>
      <c r="AI815">
        <v>30</v>
      </c>
      <c r="AJ815" t="s">
        <v>6514</v>
      </c>
      <c r="AK815">
        <v>113</v>
      </c>
      <c r="AM815" t="s">
        <v>6515</v>
      </c>
      <c r="BF815" t="s">
        <v>1053</v>
      </c>
      <c r="BG815" t="s">
        <v>309</v>
      </c>
      <c r="BH815" t="s">
        <v>2301</v>
      </c>
      <c r="BI815" t="s">
        <v>1053</v>
      </c>
      <c r="BK815" t="s">
        <v>1053</v>
      </c>
      <c r="BO815" t="s">
        <v>1053</v>
      </c>
      <c r="BP815" t="s">
        <v>310</v>
      </c>
      <c r="BQ815" t="s">
        <v>311</v>
      </c>
      <c r="BR815" t="s">
        <v>1053</v>
      </c>
      <c r="BS815" t="s">
        <v>1053</v>
      </c>
      <c r="BT815" t="s">
        <v>1053</v>
      </c>
      <c r="BU815" t="s">
        <v>1053</v>
      </c>
      <c r="BX815" t="str">
        <f>""</f>
        <v/>
      </c>
      <c r="BY815" t="str">
        <f>""</f>
        <v/>
      </c>
      <c r="BZ815" t="str">
        <f>""</f>
        <v/>
      </c>
      <c r="CA815" t="str">
        <f>""</f>
        <v/>
      </c>
      <c r="CB815" t="str">
        <f>""</f>
        <v/>
      </c>
      <c r="CC815" t="str">
        <f>""</f>
        <v/>
      </c>
      <c r="CD815" t="str">
        <f>""</f>
        <v/>
      </c>
      <c r="CE815" t="str">
        <f>""</f>
        <v/>
      </c>
      <c r="CF815" t="str">
        <f>""</f>
        <v/>
      </c>
      <c r="CG815" t="str">
        <f>""</f>
        <v/>
      </c>
      <c r="CH815" t="str">
        <f>""</f>
        <v/>
      </c>
    </row>
    <row r="816" spans="1:86" x14ac:dyDescent="0.25">
      <c r="A816" t="s">
        <v>6516</v>
      </c>
      <c r="B816" t="s">
        <v>6517</v>
      </c>
      <c r="C816" t="s">
        <v>1992</v>
      </c>
      <c r="D816" t="s">
        <v>2028</v>
      </c>
      <c r="E816" t="s">
        <v>6518</v>
      </c>
      <c r="F816" t="s">
        <v>6519</v>
      </c>
      <c r="H816" t="s">
        <v>2933</v>
      </c>
      <c r="I816" t="s">
        <v>401</v>
      </c>
      <c r="J816" t="str">
        <f>"83864"</f>
        <v>83864</v>
      </c>
      <c r="K816" t="s">
        <v>1998</v>
      </c>
      <c r="L816" t="s">
        <v>231</v>
      </c>
      <c r="M816" t="s">
        <v>2063</v>
      </c>
      <c r="N816" t="s">
        <v>1992</v>
      </c>
      <c r="O816" t="s">
        <v>1992</v>
      </c>
      <c r="P816" t="s">
        <v>1992</v>
      </c>
      <c r="Q816" t="s">
        <v>1992</v>
      </c>
      <c r="R816" t="s">
        <v>1992</v>
      </c>
      <c r="S816" t="s">
        <v>1992</v>
      </c>
      <c r="T816" t="s">
        <v>1992</v>
      </c>
      <c r="U816" t="s">
        <v>1992</v>
      </c>
      <c r="V816" t="s">
        <v>1991</v>
      </c>
      <c r="W816" t="s">
        <v>1991</v>
      </c>
      <c r="X816" t="s">
        <v>1992</v>
      </c>
      <c r="Y816" t="s">
        <v>1992</v>
      </c>
      <c r="Z816" t="s">
        <v>1992</v>
      </c>
      <c r="AA816" t="s">
        <v>1992</v>
      </c>
      <c r="AB816" t="s">
        <v>2793</v>
      </c>
      <c r="AF816" t="s">
        <v>2064</v>
      </c>
      <c r="AG816" t="s">
        <v>1991</v>
      </c>
      <c r="AH816">
        <v>30</v>
      </c>
      <c r="AI816">
        <v>30</v>
      </c>
      <c r="AJ816" t="s">
        <v>6520</v>
      </c>
      <c r="AK816">
        <v>2087</v>
      </c>
      <c r="AL816">
        <v>6835</v>
      </c>
      <c r="AM816" t="s">
        <v>6521</v>
      </c>
      <c r="AN816" t="s">
        <v>2066</v>
      </c>
      <c r="AO816" t="s">
        <v>2063</v>
      </c>
      <c r="AU816" t="s">
        <v>1053</v>
      </c>
      <c r="AV816" t="s">
        <v>2063</v>
      </c>
      <c r="BF816" t="s">
        <v>1053</v>
      </c>
      <c r="BG816" t="s">
        <v>2019</v>
      </c>
      <c r="BH816" t="s">
        <v>240</v>
      </c>
      <c r="BI816" t="s">
        <v>1053</v>
      </c>
      <c r="BJ816" t="s">
        <v>1053</v>
      </c>
      <c r="BK816" t="s">
        <v>1053</v>
      </c>
      <c r="BM816" t="s">
        <v>241</v>
      </c>
      <c r="BN816" t="s">
        <v>242</v>
      </c>
      <c r="BO816" t="s">
        <v>1053</v>
      </c>
      <c r="BP816" t="s">
        <v>239</v>
      </c>
      <c r="BQ816" t="s">
        <v>240</v>
      </c>
      <c r="BR816" t="s">
        <v>1053</v>
      </c>
      <c r="BS816" t="s">
        <v>1053</v>
      </c>
      <c r="BT816" t="s">
        <v>1053</v>
      </c>
      <c r="BU816" t="s">
        <v>1053</v>
      </c>
      <c r="BV816" t="s">
        <v>241</v>
      </c>
      <c r="BW816" t="s">
        <v>242</v>
      </c>
      <c r="BX816" t="str">
        <f>""</f>
        <v/>
      </c>
      <c r="BY816" t="str">
        <f>""</f>
        <v/>
      </c>
      <c r="BZ816" t="str">
        <f>""</f>
        <v/>
      </c>
      <c r="CA816" t="str">
        <f>""</f>
        <v/>
      </c>
      <c r="CB816" t="str">
        <f>""</f>
        <v/>
      </c>
      <c r="CC816" t="str">
        <f>""</f>
        <v/>
      </c>
      <c r="CD816" t="str">
        <f>""</f>
        <v/>
      </c>
      <c r="CE816" t="str">
        <f>""</f>
        <v/>
      </c>
      <c r="CF816" t="str">
        <f>""</f>
        <v/>
      </c>
      <c r="CG816" t="str">
        <f>""</f>
        <v/>
      </c>
      <c r="CH816" t="str">
        <f>""</f>
        <v/>
      </c>
    </row>
    <row r="817" spans="1:86" x14ac:dyDescent="0.25">
      <c r="A817" t="s">
        <v>6522</v>
      </c>
      <c r="B817" t="s">
        <v>6523</v>
      </c>
      <c r="C817" t="s">
        <v>1992</v>
      </c>
      <c r="D817" t="s">
        <v>1993</v>
      </c>
      <c r="E817" t="s">
        <v>6524</v>
      </c>
      <c r="F817" t="s">
        <v>6525</v>
      </c>
      <c r="H817" t="s">
        <v>6526</v>
      </c>
      <c r="I817" t="s">
        <v>1371</v>
      </c>
      <c r="J817" t="str">
        <f>"89431"</f>
        <v>89431</v>
      </c>
      <c r="K817" t="s">
        <v>1998</v>
      </c>
      <c r="L817" t="s">
        <v>2062</v>
      </c>
      <c r="M817" t="s">
        <v>2063</v>
      </c>
      <c r="N817" t="s">
        <v>1992</v>
      </c>
      <c r="O817" t="s">
        <v>1992</v>
      </c>
      <c r="P817" t="s">
        <v>1992</v>
      </c>
      <c r="Q817" t="s">
        <v>1992</v>
      </c>
      <c r="R817" t="s">
        <v>1992</v>
      </c>
      <c r="S817" t="s">
        <v>1992</v>
      </c>
      <c r="T817" t="s">
        <v>1992</v>
      </c>
      <c r="U817" t="s">
        <v>1992</v>
      </c>
      <c r="V817" t="s">
        <v>1991</v>
      </c>
      <c r="W817" t="s">
        <v>1992</v>
      </c>
      <c r="X817" t="s">
        <v>1992</v>
      </c>
      <c r="Y817" t="s">
        <v>1991</v>
      </c>
      <c r="Z817" t="s">
        <v>1992</v>
      </c>
      <c r="AA817" t="s">
        <v>1992</v>
      </c>
      <c r="AB817" t="s">
        <v>6527</v>
      </c>
      <c r="AF817" t="s">
        <v>2064</v>
      </c>
      <c r="AG817" t="s">
        <v>1991</v>
      </c>
      <c r="AH817">
        <v>30</v>
      </c>
      <c r="AI817">
        <v>30</v>
      </c>
      <c r="AJ817" t="s">
        <v>6528</v>
      </c>
      <c r="AK817">
        <v>4418</v>
      </c>
      <c r="AM817" t="s">
        <v>6529</v>
      </c>
      <c r="AN817" t="s">
        <v>2066</v>
      </c>
      <c r="AO817" t="s">
        <v>2063</v>
      </c>
      <c r="BF817" t="s">
        <v>1053</v>
      </c>
      <c r="BG817" t="s">
        <v>6676</v>
      </c>
      <c r="BH817" t="s">
        <v>348</v>
      </c>
      <c r="BI817" t="s">
        <v>1053</v>
      </c>
      <c r="BM817" t="s">
        <v>3653</v>
      </c>
      <c r="BN817" t="s">
        <v>6530</v>
      </c>
      <c r="BO817" t="s">
        <v>1053</v>
      </c>
      <c r="BP817" t="s">
        <v>634</v>
      </c>
      <c r="BQ817" t="s">
        <v>2073</v>
      </c>
      <c r="BR817" t="s">
        <v>1053</v>
      </c>
      <c r="BS817" t="s">
        <v>1053</v>
      </c>
      <c r="BT817" t="s">
        <v>1053</v>
      </c>
      <c r="BU817" t="s">
        <v>1053</v>
      </c>
      <c r="BV817" t="s">
        <v>3673</v>
      </c>
      <c r="BW817" t="s">
        <v>2075</v>
      </c>
      <c r="BX817" t="str">
        <f>""</f>
        <v/>
      </c>
      <c r="BY817" t="str">
        <f>""</f>
        <v/>
      </c>
      <c r="BZ817" t="str">
        <f>""</f>
        <v/>
      </c>
      <c r="CA817" t="str">
        <f>""</f>
        <v/>
      </c>
      <c r="CB817" t="str">
        <f>""</f>
        <v/>
      </c>
      <c r="CC817" t="str">
        <f>""</f>
        <v/>
      </c>
      <c r="CD817" t="str">
        <f>""</f>
        <v/>
      </c>
      <c r="CE817" t="str">
        <f>""</f>
        <v/>
      </c>
      <c r="CF817" t="str">
        <f>""</f>
        <v/>
      </c>
      <c r="CG817" t="str">
        <f>""</f>
        <v/>
      </c>
      <c r="CH817" t="str">
        <f>""</f>
        <v/>
      </c>
    </row>
    <row r="818" spans="1:86" x14ac:dyDescent="0.25">
      <c r="A818" t="s">
        <v>6531</v>
      </c>
      <c r="B818" t="s">
        <v>6532</v>
      </c>
      <c r="C818" t="s">
        <v>1992</v>
      </c>
      <c r="D818" t="s">
        <v>2010</v>
      </c>
      <c r="E818" t="s">
        <v>6533</v>
      </c>
      <c r="F818" t="s">
        <v>6534</v>
      </c>
      <c r="G818" t="s">
        <v>6535</v>
      </c>
      <c r="H818" t="s">
        <v>6536</v>
      </c>
      <c r="I818" t="s">
        <v>1797</v>
      </c>
      <c r="J818" t="str">
        <f>"V0N 3G0"</f>
        <v>V0N 3G0</v>
      </c>
      <c r="K818" t="s">
        <v>373</v>
      </c>
      <c r="L818" t="s">
        <v>2062</v>
      </c>
      <c r="M818" t="s">
        <v>1239</v>
      </c>
      <c r="N818" t="s">
        <v>1992</v>
      </c>
      <c r="O818" t="s">
        <v>1992</v>
      </c>
      <c r="P818" t="s">
        <v>1992</v>
      </c>
      <c r="Q818" t="s">
        <v>1992</v>
      </c>
      <c r="R818" t="s">
        <v>1992</v>
      </c>
      <c r="S818" t="s">
        <v>1992</v>
      </c>
      <c r="T818" t="s">
        <v>1992</v>
      </c>
      <c r="U818" t="s">
        <v>1992</v>
      </c>
      <c r="V818" t="s">
        <v>1991</v>
      </c>
      <c r="W818" t="s">
        <v>1992</v>
      </c>
      <c r="X818" t="s">
        <v>1992</v>
      </c>
      <c r="Y818" t="s">
        <v>1992</v>
      </c>
      <c r="Z818" t="s">
        <v>1991</v>
      </c>
      <c r="AE818" t="s">
        <v>1799</v>
      </c>
      <c r="AF818" t="s">
        <v>2064</v>
      </c>
      <c r="AG818" t="s">
        <v>1991</v>
      </c>
      <c r="AH818">
        <v>30</v>
      </c>
      <c r="AI818">
        <v>30</v>
      </c>
      <c r="AJ818" t="s">
        <v>6537</v>
      </c>
      <c r="AK818">
        <v>14</v>
      </c>
      <c r="AM818" t="s">
        <v>6538</v>
      </c>
      <c r="AN818" t="s">
        <v>450</v>
      </c>
      <c r="AO818" t="s">
        <v>2063</v>
      </c>
      <c r="BF818" t="s">
        <v>1053</v>
      </c>
      <c r="BG818" t="s">
        <v>394</v>
      </c>
      <c r="BH818" t="s">
        <v>311</v>
      </c>
      <c r="BI818" t="s">
        <v>1053</v>
      </c>
      <c r="BJ818" t="s">
        <v>1053</v>
      </c>
      <c r="BK818" t="s">
        <v>1053</v>
      </c>
      <c r="BL818" t="s">
        <v>1053</v>
      </c>
      <c r="BX818" t="str">
        <f>""</f>
        <v/>
      </c>
      <c r="BY818" t="str">
        <f>""</f>
        <v/>
      </c>
      <c r="BZ818" t="str">
        <f>""</f>
        <v/>
      </c>
      <c r="CA818" t="str">
        <f>""</f>
        <v/>
      </c>
      <c r="CB818" t="str">
        <f>""</f>
        <v/>
      </c>
      <c r="CC818" t="str">
        <f>""</f>
        <v/>
      </c>
      <c r="CD818" t="str">
        <f>""</f>
        <v/>
      </c>
      <c r="CE818" t="str">
        <f>""</f>
        <v/>
      </c>
      <c r="CF818" t="str">
        <f>""</f>
        <v/>
      </c>
      <c r="CG818" t="str">
        <f>""</f>
        <v/>
      </c>
      <c r="CH818" t="str">
        <f>""</f>
        <v/>
      </c>
    </row>
    <row r="819" spans="1:86" x14ac:dyDescent="0.25">
      <c r="A819" t="s">
        <v>6539</v>
      </c>
      <c r="B819" t="s">
        <v>6540</v>
      </c>
      <c r="C819" t="s">
        <v>1992</v>
      </c>
      <c r="D819" t="s">
        <v>1993</v>
      </c>
      <c r="E819" t="s">
        <v>6541</v>
      </c>
      <c r="F819" t="s">
        <v>6542</v>
      </c>
      <c r="H819" t="s">
        <v>6543</v>
      </c>
      <c r="I819" t="s">
        <v>558</v>
      </c>
      <c r="J819" t="str">
        <f>"34231-5914"</f>
        <v>34231-5914</v>
      </c>
      <c r="K819" t="s">
        <v>1998</v>
      </c>
      <c r="L819" t="s">
        <v>408</v>
      </c>
      <c r="M819" t="s">
        <v>2063</v>
      </c>
      <c r="N819" t="s">
        <v>1992</v>
      </c>
      <c r="O819" t="s">
        <v>1992</v>
      </c>
      <c r="P819" t="s">
        <v>1992</v>
      </c>
      <c r="Q819" t="s">
        <v>1991</v>
      </c>
      <c r="R819" t="s">
        <v>1992</v>
      </c>
      <c r="S819" t="s">
        <v>1992</v>
      </c>
      <c r="T819" t="s">
        <v>1992</v>
      </c>
      <c r="U819" t="s">
        <v>1992</v>
      </c>
      <c r="V819" t="s">
        <v>1991</v>
      </c>
      <c r="W819" t="s">
        <v>1992</v>
      </c>
      <c r="X819" t="s">
        <v>1992</v>
      </c>
      <c r="Y819" t="s">
        <v>1991</v>
      </c>
      <c r="Z819" t="s">
        <v>1992</v>
      </c>
      <c r="AA819" t="s">
        <v>1992</v>
      </c>
      <c r="AF819" t="s">
        <v>2016</v>
      </c>
      <c r="AG819" t="s">
        <v>1991</v>
      </c>
      <c r="AH819">
        <v>30</v>
      </c>
      <c r="AI819">
        <v>30</v>
      </c>
      <c r="AJ819" t="s">
        <v>6544</v>
      </c>
      <c r="AK819">
        <v>24</v>
      </c>
      <c r="AM819" t="s">
        <v>6545</v>
      </c>
      <c r="BF819" t="s">
        <v>1053</v>
      </c>
      <c r="BG819" t="s">
        <v>2019</v>
      </c>
      <c r="BH819" t="s">
        <v>560</v>
      </c>
      <c r="BI819" t="s">
        <v>1053</v>
      </c>
      <c r="BK819" t="s">
        <v>1053</v>
      </c>
      <c r="BM819" t="s">
        <v>561</v>
      </c>
      <c r="BN819" t="s">
        <v>562</v>
      </c>
      <c r="BO819" t="s">
        <v>1053</v>
      </c>
      <c r="BP819" t="s">
        <v>563</v>
      </c>
      <c r="BQ819" t="s">
        <v>564</v>
      </c>
      <c r="BR819" t="s">
        <v>1053</v>
      </c>
      <c r="BT819" t="s">
        <v>1053</v>
      </c>
      <c r="BX819" t="str">
        <f>""</f>
        <v/>
      </c>
      <c r="BY819" t="str">
        <f>""</f>
        <v/>
      </c>
      <c r="BZ819" t="str">
        <f>""</f>
        <v/>
      </c>
      <c r="CA819" t="str">
        <f>""</f>
        <v/>
      </c>
      <c r="CB819" t="str">
        <f>""</f>
        <v/>
      </c>
      <c r="CC819" t="str">
        <f>""</f>
        <v/>
      </c>
      <c r="CD819" t="str">
        <f>""</f>
        <v/>
      </c>
      <c r="CE819" t="str">
        <f>""</f>
        <v/>
      </c>
      <c r="CF819" t="str">
        <f>""</f>
        <v/>
      </c>
      <c r="CG819" t="str">
        <f>""</f>
        <v/>
      </c>
      <c r="CH819" t="str">
        <f>""</f>
        <v/>
      </c>
    </row>
    <row r="820" spans="1:86" x14ac:dyDescent="0.25">
      <c r="A820" t="s">
        <v>6546</v>
      </c>
      <c r="B820" t="s">
        <v>6547</v>
      </c>
      <c r="C820" t="s">
        <v>1992</v>
      </c>
      <c r="D820" t="s">
        <v>1993</v>
      </c>
      <c r="E820" t="s">
        <v>6548</v>
      </c>
      <c r="F820" t="s">
        <v>6549</v>
      </c>
      <c r="H820" t="s">
        <v>6550</v>
      </c>
      <c r="I820" t="s">
        <v>2061</v>
      </c>
      <c r="J820" t="str">
        <f>"95401"</f>
        <v>95401</v>
      </c>
      <c r="K820" t="s">
        <v>1998</v>
      </c>
      <c r="L820" t="s">
        <v>2062</v>
      </c>
      <c r="M820" t="s">
        <v>2063</v>
      </c>
      <c r="N820" t="s">
        <v>1992</v>
      </c>
      <c r="O820" t="s">
        <v>1992</v>
      </c>
      <c r="P820" t="s">
        <v>1992</v>
      </c>
      <c r="Q820" t="s">
        <v>1992</v>
      </c>
      <c r="R820" t="s">
        <v>1992</v>
      </c>
      <c r="S820" t="s">
        <v>1992</v>
      </c>
      <c r="T820" t="s">
        <v>1992</v>
      </c>
      <c r="U820" t="s">
        <v>1992</v>
      </c>
      <c r="V820" t="s">
        <v>1991</v>
      </c>
      <c r="W820" t="s">
        <v>1992</v>
      </c>
      <c r="X820" t="s">
        <v>1992</v>
      </c>
      <c r="Y820" t="s">
        <v>1991</v>
      </c>
      <c r="Z820" t="s">
        <v>1992</v>
      </c>
      <c r="AF820" t="s">
        <v>2064</v>
      </c>
      <c r="AG820" t="s">
        <v>1991</v>
      </c>
      <c r="AH820">
        <v>30</v>
      </c>
      <c r="AI820">
        <v>30</v>
      </c>
      <c r="AJ820" t="s">
        <v>6551</v>
      </c>
      <c r="AK820">
        <v>157</v>
      </c>
      <c r="AL820">
        <v>104700</v>
      </c>
      <c r="AM820" t="s">
        <v>2298</v>
      </c>
      <c r="BF820" t="s">
        <v>1053</v>
      </c>
      <c r="BG820" t="s">
        <v>309</v>
      </c>
      <c r="BH820" t="s">
        <v>2301</v>
      </c>
      <c r="BI820" t="s">
        <v>1053</v>
      </c>
      <c r="BK820" t="s">
        <v>1053</v>
      </c>
      <c r="BO820" t="s">
        <v>1053</v>
      </c>
      <c r="BP820" t="s">
        <v>5519</v>
      </c>
      <c r="BQ820" t="s">
        <v>1814</v>
      </c>
      <c r="BR820" t="s">
        <v>1053</v>
      </c>
      <c r="BX820" t="str">
        <f>""</f>
        <v/>
      </c>
      <c r="BY820" t="str">
        <f>""</f>
        <v/>
      </c>
      <c r="BZ820" t="str">
        <f>""</f>
        <v/>
      </c>
      <c r="CA820" t="str">
        <f>""</f>
        <v/>
      </c>
      <c r="CB820" t="str">
        <f>""</f>
        <v/>
      </c>
      <c r="CC820" t="str">
        <f>""</f>
        <v/>
      </c>
      <c r="CD820" t="str">
        <f>""</f>
        <v/>
      </c>
      <c r="CE820" t="str">
        <f>""</f>
        <v/>
      </c>
      <c r="CF820" t="str">
        <f>""</f>
        <v/>
      </c>
      <c r="CG820" t="str">
        <f>""</f>
        <v/>
      </c>
      <c r="CH820" t="str">
        <f>""</f>
        <v/>
      </c>
    </row>
    <row r="821" spans="1:86" x14ac:dyDescent="0.25">
      <c r="A821" t="s">
        <v>6552</v>
      </c>
      <c r="B821" t="s">
        <v>6553</v>
      </c>
      <c r="C821" t="s">
        <v>1992</v>
      </c>
      <c r="D821" t="s">
        <v>1993</v>
      </c>
      <c r="E821" t="s">
        <v>6554</v>
      </c>
      <c r="H821" t="s">
        <v>2699</v>
      </c>
      <c r="I821" t="s">
        <v>2321</v>
      </c>
      <c r="J821" t="str">
        <f>"12866"</f>
        <v>12866</v>
      </c>
      <c r="K821" t="s">
        <v>1998</v>
      </c>
      <c r="L821" t="s">
        <v>2033</v>
      </c>
      <c r="M821" t="s">
        <v>2000</v>
      </c>
      <c r="N821" t="s">
        <v>1992</v>
      </c>
      <c r="O821" t="s">
        <v>1992</v>
      </c>
      <c r="P821" t="s">
        <v>1992</v>
      </c>
      <c r="Q821" t="s">
        <v>1992</v>
      </c>
      <c r="R821" t="s">
        <v>1992</v>
      </c>
      <c r="S821" t="s">
        <v>1992</v>
      </c>
      <c r="T821" t="s">
        <v>1992</v>
      </c>
      <c r="U821" t="s">
        <v>1992</v>
      </c>
      <c r="V821" t="s">
        <v>1991</v>
      </c>
      <c r="Y821" t="s">
        <v>1991</v>
      </c>
      <c r="AF821" t="s">
        <v>2016</v>
      </c>
      <c r="AG821" t="s">
        <v>1991</v>
      </c>
      <c r="AH821">
        <v>15</v>
      </c>
      <c r="AI821">
        <v>15</v>
      </c>
      <c r="AJ821" t="s">
        <v>6555</v>
      </c>
      <c r="AK821">
        <v>309</v>
      </c>
      <c r="AM821" t="s">
        <v>6556</v>
      </c>
      <c r="BX821" t="str">
        <f>""</f>
        <v/>
      </c>
      <c r="BY821" t="str">
        <f>""</f>
        <v/>
      </c>
      <c r="BZ821" t="str">
        <f>""</f>
        <v/>
      </c>
      <c r="CA821" t="str">
        <f>""</f>
        <v/>
      </c>
      <c r="CB821" t="str">
        <f>""</f>
        <v/>
      </c>
      <c r="CC821" t="str">
        <f>""</f>
        <v/>
      </c>
      <c r="CD821" t="str">
        <f>""</f>
        <v/>
      </c>
      <c r="CE821" t="str">
        <f>""</f>
        <v/>
      </c>
      <c r="CF821" t="str">
        <f>""</f>
        <v/>
      </c>
      <c r="CG821" t="str">
        <f>""</f>
        <v/>
      </c>
      <c r="CH821" t="str">
        <f>""</f>
        <v/>
      </c>
    </row>
    <row r="822" spans="1:86" x14ac:dyDescent="0.25">
      <c r="A822" t="s">
        <v>6557</v>
      </c>
      <c r="B822" t="s">
        <v>6558</v>
      </c>
      <c r="C822" t="s">
        <v>1992</v>
      </c>
      <c r="D822" t="s">
        <v>1993</v>
      </c>
      <c r="E822" t="s">
        <v>6559</v>
      </c>
      <c r="F822" t="s">
        <v>6560</v>
      </c>
      <c r="H822" t="s">
        <v>6561</v>
      </c>
      <c r="I822" t="s">
        <v>2287</v>
      </c>
      <c r="J822" t="str">
        <f>"04974-3322"</f>
        <v>04974-3322</v>
      </c>
      <c r="K822" t="s">
        <v>1998</v>
      </c>
      <c r="L822" t="s">
        <v>2033</v>
      </c>
      <c r="M822" t="s">
        <v>6562</v>
      </c>
      <c r="N822" t="s">
        <v>1992</v>
      </c>
      <c r="O822" t="s">
        <v>1992</v>
      </c>
      <c r="P822" t="s">
        <v>1992</v>
      </c>
      <c r="Q822" t="s">
        <v>1992</v>
      </c>
      <c r="R822" t="s">
        <v>1992</v>
      </c>
      <c r="S822" t="s">
        <v>1992</v>
      </c>
      <c r="T822" t="s">
        <v>1992</v>
      </c>
      <c r="U822" t="s">
        <v>1992</v>
      </c>
      <c r="V822" t="s">
        <v>1991</v>
      </c>
      <c r="W822" t="s">
        <v>1992</v>
      </c>
      <c r="X822" t="s">
        <v>1992</v>
      </c>
      <c r="Y822" t="s">
        <v>1992</v>
      </c>
      <c r="Z822" t="s">
        <v>1991</v>
      </c>
      <c r="AF822" t="s">
        <v>2016</v>
      </c>
      <c r="AG822" t="s">
        <v>1991</v>
      </c>
      <c r="AH822">
        <v>30</v>
      </c>
      <c r="AI822">
        <v>30</v>
      </c>
      <c r="AJ822" t="s">
        <v>6563</v>
      </c>
      <c r="AK822">
        <v>84</v>
      </c>
      <c r="AM822" t="s">
        <v>2298</v>
      </c>
      <c r="AN822" t="s">
        <v>5349</v>
      </c>
      <c r="AO822" t="s">
        <v>1053</v>
      </c>
      <c r="BF822" t="s">
        <v>1053</v>
      </c>
      <c r="BG822" t="s">
        <v>476</v>
      </c>
      <c r="BH822" t="s">
        <v>477</v>
      </c>
      <c r="BI822" t="s">
        <v>1053</v>
      </c>
      <c r="BK822" t="s">
        <v>1053</v>
      </c>
      <c r="BX822" t="str">
        <f>"S------ 0600-2100; -MTWTF- 0400-2200; ------S 0500-2200"</f>
        <v>S------ 0600-2100; -MTWTF- 0400-2200; ------S 0500-2200</v>
      </c>
      <c r="BY822" t="str">
        <f>""</f>
        <v/>
      </c>
      <c r="BZ822" t="str">
        <f>""</f>
        <v/>
      </c>
      <c r="CA822" t="str">
        <f>""</f>
        <v/>
      </c>
      <c r="CB822" t="str">
        <f>""</f>
        <v/>
      </c>
      <c r="CC822" t="str">
        <f>""</f>
        <v/>
      </c>
      <c r="CD822" t="str">
        <f>""</f>
        <v/>
      </c>
      <c r="CE822" t="str">
        <f>""</f>
        <v/>
      </c>
      <c r="CF822" t="str">
        <f>""</f>
        <v/>
      </c>
      <c r="CG822" t="str">
        <f>""</f>
        <v/>
      </c>
      <c r="CH822" t="str">
        <f>""</f>
        <v/>
      </c>
    </row>
    <row r="823" spans="1:86" x14ac:dyDescent="0.25">
      <c r="A823" t="s">
        <v>6564</v>
      </c>
      <c r="B823" t="s">
        <v>6565</v>
      </c>
      <c r="C823" t="s">
        <v>1992</v>
      </c>
      <c r="D823" t="s">
        <v>1993</v>
      </c>
      <c r="E823" t="s">
        <v>6566</v>
      </c>
      <c r="F823" t="s">
        <v>6567</v>
      </c>
      <c r="G823" t="s">
        <v>6568</v>
      </c>
      <c r="H823" t="s">
        <v>2835</v>
      </c>
      <c r="I823" t="s">
        <v>2295</v>
      </c>
      <c r="J823" t="str">
        <f>"97301"</f>
        <v>97301</v>
      </c>
      <c r="K823" t="s">
        <v>1998</v>
      </c>
      <c r="L823" t="s">
        <v>231</v>
      </c>
      <c r="M823" t="s">
        <v>6569</v>
      </c>
      <c r="N823" t="s">
        <v>1992</v>
      </c>
      <c r="O823" t="s">
        <v>1992</v>
      </c>
      <c r="P823" t="s">
        <v>1992</v>
      </c>
      <c r="Q823" t="s">
        <v>1992</v>
      </c>
      <c r="R823" t="s">
        <v>1992</v>
      </c>
      <c r="S823" t="s">
        <v>1992</v>
      </c>
      <c r="T823" t="s">
        <v>1992</v>
      </c>
      <c r="U823" t="s">
        <v>1992</v>
      </c>
      <c r="V823" t="s">
        <v>1991</v>
      </c>
      <c r="W823" t="s">
        <v>1992</v>
      </c>
      <c r="X823" t="s">
        <v>1992</v>
      </c>
      <c r="Y823" t="s">
        <v>1991</v>
      </c>
      <c r="Z823" t="s">
        <v>1992</v>
      </c>
      <c r="AA823" t="s">
        <v>1992</v>
      </c>
      <c r="AE823" t="s">
        <v>6570</v>
      </c>
      <c r="AF823" t="s">
        <v>2064</v>
      </c>
      <c r="AG823" t="s">
        <v>1991</v>
      </c>
      <c r="AH823">
        <v>30</v>
      </c>
      <c r="AI823">
        <v>30</v>
      </c>
      <c r="AJ823" t="s">
        <v>6571</v>
      </c>
      <c r="AK823">
        <v>6</v>
      </c>
      <c r="AL823">
        <v>5900</v>
      </c>
      <c r="AM823" t="s">
        <v>2298</v>
      </c>
      <c r="AN823" t="s">
        <v>357</v>
      </c>
      <c r="AO823" t="s">
        <v>2063</v>
      </c>
      <c r="BF823" t="s">
        <v>1053</v>
      </c>
      <c r="BG823" t="s">
        <v>330</v>
      </c>
      <c r="BH823" t="s">
        <v>331</v>
      </c>
      <c r="BI823" t="s">
        <v>1053</v>
      </c>
      <c r="BJ823" t="s">
        <v>1053</v>
      </c>
      <c r="BK823" t="s">
        <v>1053</v>
      </c>
      <c r="BL823" t="s">
        <v>1053</v>
      </c>
      <c r="BX823" t="str">
        <f>""</f>
        <v/>
      </c>
      <c r="BY823" t="str">
        <f>""</f>
        <v/>
      </c>
      <c r="BZ823" t="str">
        <f>""</f>
        <v/>
      </c>
      <c r="CA823" t="str">
        <f>""</f>
        <v/>
      </c>
      <c r="CB823" t="str">
        <f>""</f>
        <v/>
      </c>
      <c r="CC823" t="str">
        <f>""</f>
        <v/>
      </c>
      <c r="CD823" t="str">
        <f>""</f>
        <v/>
      </c>
      <c r="CE823" t="str">
        <f>""</f>
        <v/>
      </c>
      <c r="CF823" t="str">
        <f>""</f>
        <v/>
      </c>
      <c r="CG823" t="str">
        <f>""</f>
        <v/>
      </c>
      <c r="CH823" t="str">
        <f>""</f>
        <v/>
      </c>
    </row>
    <row r="824" spans="1:86" x14ac:dyDescent="0.25">
      <c r="A824" t="s">
        <v>6572</v>
      </c>
      <c r="B824" t="s">
        <v>6573</v>
      </c>
      <c r="C824" t="s">
        <v>1992</v>
      </c>
      <c r="D824" t="s">
        <v>2010</v>
      </c>
      <c r="E824" t="s">
        <v>6574</v>
      </c>
      <c r="H824" t="s">
        <v>6575</v>
      </c>
      <c r="I824" t="s">
        <v>700</v>
      </c>
      <c r="J824" t="str">
        <f>"27576"</f>
        <v>27576</v>
      </c>
      <c r="K824" t="s">
        <v>1998</v>
      </c>
      <c r="L824" t="s">
        <v>408</v>
      </c>
      <c r="M824" t="s">
        <v>2000</v>
      </c>
      <c r="N824" t="s">
        <v>1992</v>
      </c>
      <c r="O824" t="s">
        <v>1991</v>
      </c>
      <c r="P824" t="s">
        <v>1992</v>
      </c>
      <c r="Q824" t="s">
        <v>1992</v>
      </c>
      <c r="R824" t="s">
        <v>1992</v>
      </c>
      <c r="S824" t="s">
        <v>1992</v>
      </c>
      <c r="T824" t="s">
        <v>1992</v>
      </c>
      <c r="U824" t="s">
        <v>1992</v>
      </c>
      <c r="V824" t="s">
        <v>1991</v>
      </c>
      <c r="W824" t="s">
        <v>1991</v>
      </c>
      <c r="X824" t="s">
        <v>1992</v>
      </c>
      <c r="Y824" t="s">
        <v>1992</v>
      </c>
      <c r="Z824" t="s">
        <v>1992</v>
      </c>
      <c r="AF824" t="s">
        <v>2016</v>
      </c>
      <c r="AG824" t="s">
        <v>1991</v>
      </c>
      <c r="AH824">
        <v>30</v>
      </c>
      <c r="AI824">
        <v>30</v>
      </c>
      <c r="AJ824" t="s">
        <v>6576</v>
      </c>
      <c r="AK824">
        <v>175</v>
      </c>
      <c r="AL824">
        <v>30000</v>
      </c>
      <c r="AM824" t="s">
        <v>702</v>
      </c>
      <c r="AN824" t="s">
        <v>702</v>
      </c>
      <c r="AU824" t="s">
        <v>702</v>
      </c>
      <c r="AV824" t="s">
        <v>1053</v>
      </c>
      <c r="AX824" t="s">
        <v>1053</v>
      </c>
      <c r="BF824" t="s">
        <v>1053</v>
      </c>
      <c r="BG824" t="s">
        <v>703</v>
      </c>
      <c r="BH824" t="s">
        <v>704</v>
      </c>
      <c r="BI824" t="s">
        <v>1053</v>
      </c>
      <c r="BJ824" t="s">
        <v>1053</v>
      </c>
      <c r="BK824" t="s">
        <v>1053</v>
      </c>
      <c r="BL824" t="s">
        <v>1053</v>
      </c>
      <c r="BM824" t="s">
        <v>705</v>
      </c>
      <c r="BO824" t="s">
        <v>1053</v>
      </c>
      <c r="BP824" t="s">
        <v>2375</v>
      </c>
      <c r="BQ824" t="s">
        <v>427</v>
      </c>
      <c r="BR824" t="s">
        <v>1053</v>
      </c>
      <c r="BS824" t="s">
        <v>1053</v>
      </c>
      <c r="BT824" t="s">
        <v>1053</v>
      </c>
      <c r="BU824" t="s">
        <v>1053</v>
      </c>
      <c r="BV824" t="s">
        <v>416</v>
      </c>
      <c r="BW824" t="s">
        <v>417</v>
      </c>
      <c r="BX824" t="str">
        <f>"SMTWTFS 1000-1630"</f>
        <v>SMTWTFS 1000-1630</v>
      </c>
      <c r="BY824" t="str">
        <f>""</f>
        <v/>
      </c>
      <c r="BZ824" t="str">
        <f>""</f>
        <v/>
      </c>
      <c r="CA824" t="str">
        <f>""</f>
        <v/>
      </c>
      <c r="CB824" t="str">
        <f>""</f>
        <v/>
      </c>
      <c r="CC824" t="str">
        <f>"SMTWTFS 1030-1630"</f>
        <v>SMTWTFS 1030-1630</v>
      </c>
      <c r="CD824" t="str">
        <f>""</f>
        <v/>
      </c>
      <c r="CE824" t="str">
        <f>""</f>
        <v/>
      </c>
      <c r="CF824" t="str">
        <f>""</f>
        <v/>
      </c>
      <c r="CG824" t="str">
        <f>""</f>
        <v/>
      </c>
      <c r="CH824" t="str">
        <f>""</f>
        <v/>
      </c>
    </row>
    <row r="825" spans="1:86" x14ac:dyDescent="0.25">
      <c r="A825" t="s">
        <v>6577</v>
      </c>
      <c r="B825" t="s">
        <v>6578</v>
      </c>
      <c r="D825" t="s">
        <v>2089</v>
      </c>
      <c r="E825" t="s">
        <v>6579</v>
      </c>
      <c r="F825" t="s">
        <v>497</v>
      </c>
      <c r="H825" t="s">
        <v>6580</v>
      </c>
      <c r="I825" t="s">
        <v>2014</v>
      </c>
      <c r="J825" t="str">
        <f>"20910"</f>
        <v>20910</v>
      </c>
      <c r="K825" t="s">
        <v>1998</v>
      </c>
      <c r="L825" t="s">
        <v>499</v>
      </c>
      <c r="M825" t="s">
        <v>500</v>
      </c>
      <c r="O825" t="s">
        <v>1991</v>
      </c>
      <c r="AF825" t="s">
        <v>2016</v>
      </c>
      <c r="AG825" t="s">
        <v>1991</v>
      </c>
      <c r="AJ825" t="s">
        <v>2090</v>
      </c>
      <c r="AM825" t="s">
        <v>501</v>
      </c>
      <c r="BX825" t="str">
        <f>""</f>
        <v/>
      </c>
      <c r="BY825" t="str">
        <f>""</f>
        <v/>
      </c>
      <c r="BZ825" t="str">
        <f>""</f>
        <v/>
      </c>
      <c r="CA825" t="str">
        <f>""</f>
        <v/>
      </c>
      <c r="CB825" t="str">
        <f>""</f>
        <v/>
      </c>
      <c r="CC825" t="str">
        <f>""</f>
        <v/>
      </c>
      <c r="CD825" t="str">
        <f>""</f>
        <v/>
      </c>
      <c r="CE825" t="str">
        <f>""</f>
        <v/>
      </c>
      <c r="CF825" t="str">
        <f>""</f>
        <v/>
      </c>
      <c r="CG825" t="str">
        <f>""</f>
        <v/>
      </c>
      <c r="CH825" t="str">
        <f>""</f>
        <v/>
      </c>
    </row>
    <row r="826" spans="1:86" x14ac:dyDescent="0.25">
      <c r="A826" t="s">
        <v>6581</v>
      </c>
      <c r="B826" t="s">
        <v>6582</v>
      </c>
      <c r="C826" t="s">
        <v>1992</v>
      </c>
      <c r="D826" t="s">
        <v>1993</v>
      </c>
      <c r="E826" t="s">
        <v>6583</v>
      </c>
      <c r="F826" t="s">
        <v>6584</v>
      </c>
      <c r="H826" t="s">
        <v>6585</v>
      </c>
      <c r="I826" t="s">
        <v>576</v>
      </c>
      <c r="J826" t="str">
        <f>"98826"</f>
        <v>98826</v>
      </c>
      <c r="K826" t="s">
        <v>1998</v>
      </c>
      <c r="L826" t="s">
        <v>231</v>
      </c>
      <c r="M826" t="s">
        <v>2063</v>
      </c>
      <c r="N826" t="s">
        <v>1992</v>
      </c>
      <c r="O826" t="s">
        <v>1992</v>
      </c>
      <c r="P826" t="s">
        <v>1992</v>
      </c>
      <c r="Q826" t="s">
        <v>1992</v>
      </c>
      <c r="R826" t="s">
        <v>1992</v>
      </c>
      <c r="S826" t="s">
        <v>1992</v>
      </c>
      <c r="T826" t="s">
        <v>1992</v>
      </c>
      <c r="U826" t="s">
        <v>1992</v>
      </c>
      <c r="V826" t="s">
        <v>1991</v>
      </c>
      <c r="W826" t="s">
        <v>1992</v>
      </c>
      <c r="X826" t="s">
        <v>1992</v>
      </c>
      <c r="Y826" t="s">
        <v>1992</v>
      </c>
      <c r="Z826" t="s">
        <v>1991</v>
      </c>
      <c r="AF826" t="s">
        <v>2064</v>
      </c>
      <c r="AG826" t="s">
        <v>1991</v>
      </c>
      <c r="AH826">
        <v>30</v>
      </c>
      <c r="AI826">
        <v>30</v>
      </c>
      <c r="AJ826" t="s">
        <v>6586</v>
      </c>
      <c r="AK826">
        <v>4056</v>
      </c>
      <c r="AL826">
        <v>500</v>
      </c>
      <c r="AM826" t="s">
        <v>2298</v>
      </c>
      <c r="AN826" t="s">
        <v>450</v>
      </c>
      <c r="AO826" t="s">
        <v>2063</v>
      </c>
      <c r="BF826" t="s">
        <v>1053</v>
      </c>
      <c r="BG826" t="s">
        <v>394</v>
      </c>
      <c r="BH826" t="s">
        <v>311</v>
      </c>
      <c r="BI826" t="s">
        <v>1053</v>
      </c>
      <c r="BJ826" t="s">
        <v>1053</v>
      </c>
      <c r="BK826" t="s">
        <v>1053</v>
      </c>
      <c r="BL826" t="s">
        <v>1053</v>
      </c>
      <c r="BX826" t="str">
        <f>""</f>
        <v/>
      </c>
      <c r="BY826" t="str">
        <f>""</f>
        <v/>
      </c>
      <c r="BZ826" t="str">
        <f>""</f>
        <v/>
      </c>
      <c r="CA826" t="str">
        <f>""</f>
        <v/>
      </c>
      <c r="CB826" t="str">
        <f>""</f>
        <v/>
      </c>
      <c r="CC826" t="str">
        <f>""</f>
        <v/>
      </c>
      <c r="CD826" t="str">
        <f>""</f>
        <v/>
      </c>
      <c r="CE826" t="str">
        <f>""</f>
        <v/>
      </c>
      <c r="CF826" t="str">
        <f>""</f>
        <v/>
      </c>
      <c r="CG826" t="str">
        <f>""</f>
        <v/>
      </c>
      <c r="CH826" t="str">
        <f>""</f>
        <v/>
      </c>
    </row>
    <row r="827" spans="1:86" x14ac:dyDescent="0.25">
      <c r="A827" t="s">
        <v>6587</v>
      </c>
      <c r="B827" t="s">
        <v>6588</v>
      </c>
      <c r="C827" t="s">
        <v>1992</v>
      </c>
      <c r="D827" t="s">
        <v>2010</v>
      </c>
      <c r="E827" t="s">
        <v>6589</v>
      </c>
      <c r="H827" t="s">
        <v>6590</v>
      </c>
      <c r="I827" t="s">
        <v>2405</v>
      </c>
      <c r="J827" t="str">
        <f>"24401"</f>
        <v>24401</v>
      </c>
      <c r="K827" t="s">
        <v>1998</v>
      </c>
      <c r="L827" t="s">
        <v>2015</v>
      </c>
      <c r="M827" t="s">
        <v>2063</v>
      </c>
      <c r="N827" t="s">
        <v>1992</v>
      </c>
      <c r="O827" t="s">
        <v>1992</v>
      </c>
      <c r="P827" t="s">
        <v>1992</v>
      </c>
      <c r="Q827" t="s">
        <v>1992</v>
      </c>
      <c r="R827" t="s">
        <v>1992</v>
      </c>
      <c r="S827" t="s">
        <v>1992</v>
      </c>
      <c r="T827" t="s">
        <v>1992</v>
      </c>
      <c r="U827" t="s">
        <v>1992</v>
      </c>
      <c r="V827" t="s">
        <v>1991</v>
      </c>
      <c r="W827" t="s">
        <v>1991</v>
      </c>
      <c r="X827" t="s">
        <v>1992</v>
      </c>
      <c r="Y827" t="s">
        <v>1992</v>
      </c>
      <c r="Z827" t="s">
        <v>1992</v>
      </c>
      <c r="AF827" t="s">
        <v>2016</v>
      </c>
      <c r="AG827" t="s">
        <v>1991</v>
      </c>
      <c r="AH827">
        <v>30</v>
      </c>
      <c r="AI827">
        <v>30</v>
      </c>
      <c r="AJ827" t="s">
        <v>6591</v>
      </c>
      <c r="AK827">
        <v>1419</v>
      </c>
      <c r="AL827">
        <v>23341</v>
      </c>
      <c r="AN827" t="s">
        <v>3537</v>
      </c>
      <c r="AO827" t="s">
        <v>2063</v>
      </c>
      <c r="BF827" t="s">
        <v>1053</v>
      </c>
      <c r="BG827" t="s">
        <v>2097</v>
      </c>
      <c r="BH827" t="s">
        <v>3481</v>
      </c>
      <c r="BI827" t="s">
        <v>1053</v>
      </c>
      <c r="BJ827" t="s">
        <v>1053</v>
      </c>
      <c r="BK827" t="s">
        <v>1053</v>
      </c>
      <c r="BL827" t="s">
        <v>1053</v>
      </c>
      <c r="BM827" t="s">
        <v>2343</v>
      </c>
      <c r="BN827" t="s">
        <v>2344</v>
      </c>
      <c r="BO827" t="s">
        <v>1053</v>
      </c>
      <c r="BP827" t="s">
        <v>366</v>
      </c>
      <c r="BQ827" t="s">
        <v>367</v>
      </c>
      <c r="BR827" t="s">
        <v>1053</v>
      </c>
      <c r="BS827" t="s">
        <v>1053</v>
      </c>
      <c r="BT827" t="s">
        <v>1053</v>
      </c>
      <c r="BU827" t="s">
        <v>1053</v>
      </c>
      <c r="BV827" t="s">
        <v>2347</v>
      </c>
      <c r="BX827" t="str">
        <f>"S--W-F- 1245-1600"</f>
        <v>S--W-F- 1245-1600</v>
      </c>
      <c r="BY827" t="str">
        <f>""</f>
        <v/>
      </c>
      <c r="BZ827" t="str">
        <f>""</f>
        <v/>
      </c>
      <c r="CA827" t="str">
        <f>""</f>
        <v/>
      </c>
      <c r="CB827" t="str">
        <f>""</f>
        <v/>
      </c>
      <c r="CC827" t="str">
        <f>""</f>
        <v/>
      </c>
      <c r="CD827" t="str">
        <f>""</f>
        <v/>
      </c>
      <c r="CE827" t="str">
        <f>""</f>
        <v/>
      </c>
      <c r="CF827" t="str">
        <f>""</f>
        <v/>
      </c>
      <c r="CG827" t="str">
        <f>""</f>
        <v/>
      </c>
      <c r="CH827" t="str">
        <f>""</f>
        <v/>
      </c>
    </row>
    <row r="828" spans="1:86" x14ac:dyDescent="0.25">
      <c r="A828" t="s">
        <v>6592</v>
      </c>
      <c r="B828" t="s">
        <v>6593</v>
      </c>
      <c r="D828" t="s">
        <v>2089</v>
      </c>
      <c r="E828" t="s">
        <v>6594</v>
      </c>
      <c r="F828" t="s">
        <v>497</v>
      </c>
      <c r="H828" t="s">
        <v>454</v>
      </c>
      <c r="I828" t="s">
        <v>2014</v>
      </c>
      <c r="J828" t="str">
        <f>"21227"</f>
        <v>21227</v>
      </c>
      <c r="K828" t="s">
        <v>1998</v>
      </c>
      <c r="L828" t="s">
        <v>499</v>
      </c>
      <c r="M828" t="s">
        <v>500</v>
      </c>
      <c r="O828" t="s">
        <v>1992</v>
      </c>
      <c r="AF828" t="s">
        <v>2016</v>
      </c>
      <c r="AG828" t="s">
        <v>1991</v>
      </c>
      <c r="AJ828" t="s">
        <v>2090</v>
      </c>
      <c r="AM828" t="s">
        <v>501</v>
      </c>
      <c r="BX828" t="str">
        <f>""</f>
        <v/>
      </c>
      <c r="BY828" t="str">
        <f>""</f>
        <v/>
      </c>
      <c r="BZ828" t="str">
        <f>""</f>
        <v/>
      </c>
      <c r="CA828" t="str">
        <f>""</f>
        <v/>
      </c>
      <c r="CB828" t="str">
        <f>""</f>
        <v/>
      </c>
      <c r="CC828" t="str">
        <f>""</f>
        <v/>
      </c>
      <c r="CD828" t="str">
        <f>""</f>
        <v/>
      </c>
      <c r="CE828" t="str">
        <f>""</f>
        <v/>
      </c>
      <c r="CF828" t="str">
        <f>""</f>
        <v/>
      </c>
      <c r="CG828" t="str">
        <f>""</f>
        <v/>
      </c>
      <c r="CH828" t="str">
        <f>""</f>
        <v/>
      </c>
    </row>
    <row r="829" spans="1:86" x14ac:dyDescent="0.25">
      <c r="A829" t="s">
        <v>6595</v>
      </c>
      <c r="B829" t="s">
        <v>6596</v>
      </c>
      <c r="C829" t="s">
        <v>1992</v>
      </c>
      <c r="D829" t="s">
        <v>1993</v>
      </c>
      <c r="E829" t="s">
        <v>6597</v>
      </c>
      <c r="F829" t="s">
        <v>6598</v>
      </c>
      <c r="H829" t="s">
        <v>6599</v>
      </c>
      <c r="I829" t="s">
        <v>5059</v>
      </c>
      <c r="J829" t="str">
        <f>"84770-5249"</f>
        <v>84770-5249</v>
      </c>
      <c r="K829" t="s">
        <v>1998</v>
      </c>
      <c r="L829" t="s">
        <v>2045</v>
      </c>
      <c r="M829" t="s">
        <v>6600</v>
      </c>
      <c r="N829" t="s">
        <v>1992</v>
      </c>
      <c r="O829" t="s">
        <v>1992</v>
      </c>
      <c r="P829" t="s">
        <v>1992</v>
      </c>
      <c r="Q829" t="s">
        <v>1992</v>
      </c>
      <c r="R829" t="s">
        <v>1992</v>
      </c>
      <c r="S829" t="s">
        <v>1992</v>
      </c>
      <c r="T829" t="s">
        <v>1992</v>
      </c>
      <c r="U829" t="s">
        <v>1992</v>
      </c>
      <c r="V829" t="s">
        <v>1991</v>
      </c>
      <c r="W829" t="s">
        <v>1992</v>
      </c>
      <c r="X829" t="s">
        <v>1992</v>
      </c>
      <c r="Y829" t="s">
        <v>1992</v>
      </c>
      <c r="Z829" t="s">
        <v>1991</v>
      </c>
      <c r="AF829" t="s">
        <v>2048</v>
      </c>
      <c r="AG829" t="s">
        <v>1991</v>
      </c>
      <c r="AH829">
        <v>30</v>
      </c>
      <c r="AI829">
        <v>30</v>
      </c>
      <c r="AJ829" t="s">
        <v>6601</v>
      </c>
      <c r="AK829">
        <v>2590</v>
      </c>
      <c r="AN829" t="s">
        <v>3890</v>
      </c>
      <c r="AO829" t="s">
        <v>1053</v>
      </c>
      <c r="BF829" t="s">
        <v>1053</v>
      </c>
      <c r="BG829" t="s">
        <v>1157</v>
      </c>
      <c r="BH829" t="s">
        <v>2040</v>
      </c>
      <c r="BI829" t="s">
        <v>1053</v>
      </c>
      <c r="BK829" t="s">
        <v>1053</v>
      </c>
      <c r="BX829" t="str">
        <f>""</f>
        <v/>
      </c>
      <c r="BY829" t="str">
        <f>""</f>
        <v/>
      </c>
      <c r="BZ829" t="str">
        <f>""</f>
        <v/>
      </c>
      <c r="CA829" t="str">
        <f>""</f>
        <v/>
      </c>
      <c r="CB829" t="str">
        <f>""</f>
        <v/>
      </c>
      <c r="CC829" t="str">
        <f>""</f>
        <v/>
      </c>
      <c r="CD829" t="str">
        <f>""</f>
        <v/>
      </c>
      <c r="CE829" t="str">
        <f>""</f>
        <v/>
      </c>
      <c r="CF829" t="str">
        <f>""</f>
        <v/>
      </c>
      <c r="CG829" t="str">
        <f>""</f>
        <v/>
      </c>
      <c r="CH829" t="str">
        <f>""</f>
        <v/>
      </c>
    </row>
    <row r="830" spans="1:86" x14ac:dyDescent="0.25">
      <c r="A830" t="s">
        <v>6602</v>
      </c>
      <c r="B830" t="s">
        <v>6603</v>
      </c>
      <c r="C830" t="s">
        <v>1992</v>
      </c>
      <c r="D830" t="s">
        <v>2010</v>
      </c>
      <c r="E830" t="s">
        <v>6604</v>
      </c>
      <c r="F830" t="s">
        <v>2285</v>
      </c>
      <c r="H830" t="s">
        <v>6605</v>
      </c>
      <c r="I830" t="s">
        <v>2352</v>
      </c>
      <c r="J830" t="str">
        <f>"49781-9617"</f>
        <v>49781-9617</v>
      </c>
      <c r="K830" t="s">
        <v>1998</v>
      </c>
      <c r="L830" t="s">
        <v>1999</v>
      </c>
      <c r="M830" t="s">
        <v>6606</v>
      </c>
      <c r="N830" t="s">
        <v>1992</v>
      </c>
      <c r="O830" t="s">
        <v>1992</v>
      </c>
      <c r="P830" t="s">
        <v>1992</v>
      </c>
      <c r="Q830" t="s">
        <v>1992</v>
      </c>
      <c r="R830" t="s">
        <v>1992</v>
      </c>
      <c r="S830" t="s">
        <v>1992</v>
      </c>
      <c r="T830" t="s">
        <v>1992</v>
      </c>
      <c r="U830" t="s">
        <v>1992</v>
      </c>
      <c r="V830" t="s">
        <v>1991</v>
      </c>
      <c r="W830" t="s">
        <v>1992</v>
      </c>
      <c r="X830" t="s">
        <v>1992</v>
      </c>
      <c r="Y830" t="s">
        <v>1992</v>
      </c>
      <c r="Z830" t="s">
        <v>1991</v>
      </c>
      <c r="AA830" t="s">
        <v>1991</v>
      </c>
      <c r="AF830" t="s">
        <v>2016</v>
      </c>
      <c r="AG830" t="s">
        <v>1991</v>
      </c>
      <c r="AH830">
        <v>30</v>
      </c>
      <c r="AI830">
        <v>30</v>
      </c>
      <c r="AJ830" t="s">
        <v>6607</v>
      </c>
      <c r="AK830">
        <v>680</v>
      </c>
      <c r="AL830">
        <v>2575</v>
      </c>
      <c r="AM830" t="s">
        <v>6608</v>
      </c>
      <c r="AN830" t="s">
        <v>445</v>
      </c>
      <c r="AO830" t="s">
        <v>2311</v>
      </c>
      <c r="BF830" t="s">
        <v>1053</v>
      </c>
      <c r="BG830" t="s">
        <v>643</v>
      </c>
      <c r="BH830" t="s">
        <v>644</v>
      </c>
      <c r="BI830" t="s">
        <v>1053</v>
      </c>
      <c r="BK830" t="s">
        <v>1053</v>
      </c>
      <c r="BM830" t="s">
        <v>2313</v>
      </c>
      <c r="BO830" t="s">
        <v>1053</v>
      </c>
      <c r="BP830" t="s">
        <v>2356</v>
      </c>
      <c r="BQ830" t="s">
        <v>2316</v>
      </c>
      <c r="BR830" t="s">
        <v>1053</v>
      </c>
      <c r="BT830" t="s">
        <v>1053</v>
      </c>
      <c r="BX830" t="str">
        <f>"SMTWTFS 0000-0030 0600-0900 2100-2359"</f>
        <v>SMTWTFS 0000-0030 0600-0900 2100-2359</v>
      </c>
      <c r="BY830" t="str">
        <f>""</f>
        <v/>
      </c>
      <c r="BZ830" t="str">
        <f>""</f>
        <v/>
      </c>
      <c r="CA830" t="str">
        <f>""</f>
        <v/>
      </c>
      <c r="CB830" t="str">
        <f>"SMTWTFS 0000-0030 0600-0900 2100-2359"</f>
        <v>SMTWTFS 0000-0030 0600-0900 2100-2359</v>
      </c>
      <c r="CC830" t="str">
        <f>""</f>
        <v/>
      </c>
      <c r="CD830" t="str">
        <f>""</f>
        <v/>
      </c>
      <c r="CE830" t="str">
        <f>""</f>
        <v/>
      </c>
      <c r="CF830" t="str">
        <f>""</f>
        <v/>
      </c>
      <c r="CG830" t="str">
        <f>""</f>
        <v/>
      </c>
      <c r="CH830" t="str">
        <f>""</f>
        <v/>
      </c>
    </row>
    <row r="831" spans="1:86" x14ac:dyDescent="0.25">
      <c r="A831" t="s">
        <v>5232</v>
      </c>
      <c r="B831" t="s">
        <v>2372</v>
      </c>
      <c r="C831" t="s">
        <v>1991</v>
      </c>
      <c r="D831" t="s">
        <v>2010</v>
      </c>
      <c r="E831" t="s">
        <v>6609</v>
      </c>
      <c r="F831" t="s">
        <v>6610</v>
      </c>
      <c r="H831" t="s">
        <v>6611</v>
      </c>
      <c r="I831" t="s">
        <v>5524</v>
      </c>
      <c r="J831" t="str">
        <f>"63103-2607"</f>
        <v>63103-2607</v>
      </c>
      <c r="K831" t="s">
        <v>1998</v>
      </c>
      <c r="L831" t="s">
        <v>1999</v>
      </c>
      <c r="M831" t="s">
        <v>6612</v>
      </c>
      <c r="N831" t="s">
        <v>1991</v>
      </c>
      <c r="O831" t="s">
        <v>1991</v>
      </c>
      <c r="P831" t="s">
        <v>1992</v>
      </c>
      <c r="Q831" t="s">
        <v>1991</v>
      </c>
      <c r="R831" t="s">
        <v>1991</v>
      </c>
      <c r="S831" t="s">
        <v>1992</v>
      </c>
      <c r="T831" t="s">
        <v>1991</v>
      </c>
      <c r="U831" t="s">
        <v>1991</v>
      </c>
      <c r="V831" t="s">
        <v>1991</v>
      </c>
      <c r="W831" t="s">
        <v>1991</v>
      </c>
      <c r="X831" t="s">
        <v>1992</v>
      </c>
      <c r="Y831" t="s">
        <v>1992</v>
      </c>
      <c r="Z831" t="s">
        <v>1991</v>
      </c>
      <c r="AA831" t="s">
        <v>1991</v>
      </c>
      <c r="AE831" t="s">
        <v>2047</v>
      </c>
      <c r="AF831" t="s">
        <v>2001</v>
      </c>
      <c r="AG831" t="s">
        <v>1991</v>
      </c>
      <c r="AH831">
        <v>60</v>
      </c>
      <c r="AI831">
        <v>45</v>
      </c>
      <c r="AJ831" t="s">
        <v>6613</v>
      </c>
      <c r="AK831">
        <v>458</v>
      </c>
      <c r="AL831">
        <v>347181</v>
      </c>
      <c r="AM831" t="s">
        <v>1016</v>
      </c>
      <c r="AN831" t="s">
        <v>1053</v>
      </c>
      <c r="AO831" t="s">
        <v>1053</v>
      </c>
      <c r="AP831" t="s">
        <v>1053</v>
      </c>
      <c r="AQ831" t="s">
        <v>1053</v>
      </c>
      <c r="AR831" t="s">
        <v>1053</v>
      </c>
      <c r="AS831" t="s">
        <v>5232</v>
      </c>
      <c r="AT831" t="s">
        <v>2374</v>
      </c>
      <c r="AU831" t="s">
        <v>1053</v>
      </c>
      <c r="AV831" t="s">
        <v>1053</v>
      </c>
      <c r="AW831" t="s">
        <v>1053</v>
      </c>
      <c r="AX831" t="s">
        <v>1053</v>
      </c>
      <c r="AY831" t="s">
        <v>1053</v>
      </c>
      <c r="AZ831" t="s">
        <v>5232</v>
      </c>
      <c r="BA831" t="s">
        <v>2374</v>
      </c>
      <c r="BB831" t="s">
        <v>1053</v>
      </c>
      <c r="BC831" t="s">
        <v>1053</v>
      </c>
      <c r="BD831" t="s">
        <v>1053</v>
      </c>
      <c r="BE831" t="s">
        <v>2069</v>
      </c>
      <c r="BF831" t="s">
        <v>1053</v>
      </c>
      <c r="BG831" t="s">
        <v>6614</v>
      </c>
      <c r="BH831" t="s">
        <v>985</v>
      </c>
      <c r="BI831" t="s">
        <v>1053</v>
      </c>
      <c r="BJ831" t="s">
        <v>1053</v>
      </c>
      <c r="BK831" t="s">
        <v>1053</v>
      </c>
      <c r="BL831" t="s">
        <v>1053</v>
      </c>
      <c r="BM831" t="s">
        <v>2373</v>
      </c>
      <c r="BN831" t="s">
        <v>2374</v>
      </c>
      <c r="BO831" t="s">
        <v>1053</v>
      </c>
      <c r="BP831" t="s">
        <v>2375</v>
      </c>
      <c r="BQ831" t="s">
        <v>2376</v>
      </c>
      <c r="BR831" t="s">
        <v>1053</v>
      </c>
      <c r="BX831" t="str">
        <f>"SMTWTFS 0000-2359"</f>
        <v>SMTWTFS 0000-2359</v>
      </c>
      <c r="BY831" t="str">
        <f>"SMTWTFS 0330-2359"</f>
        <v>SMTWTFS 0330-2359</v>
      </c>
      <c r="BZ831" t="str">
        <f>"SMTWTFS 0000-0100 0330-2359"</f>
        <v>SMTWTFS 0000-0100 0330-2359</v>
      </c>
      <c r="CA831" t="str">
        <f>"SMTWTFS 0330-2330"</f>
        <v>SMTWTFS 0330-2330</v>
      </c>
      <c r="CB831" t="str">
        <f>""</f>
        <v/>
      </c>
      <c r="CC831" t="str">
        <f>"SMTWTFS 0000-2359"</f>
        <v>SMTWTFS 0000-2359</v>
      </c>
      <c r="CD831" t="str">
        <f>""</f>
        <v/>
      </c>
      <c r="CE831" t="str">
        <f>"SMTWTFS 0330-2359"</f>
        <v>SMTWTFS 0330-2359</v>
      </c>
      <c r="CF831" t="str">
        <f>"SMTWTFS 0330-2359"</f>
        <v>SMTWTFS 0330-2359</v>
      </c>
      <c r="CG831" t="str">
        <f>""</f>
        <v/>
      </c>
      <c r="CH831" t="str">
        <f>""</f>
        <v/>
      </c>
    </row>
    <row r="832" spans="1:86" x14ac:dyDescent="0.25">
      <c r="A832" t="s">
        <v>6615</v>
      </c>
      <c r="B832" t="s">
        <v>6616</v>
      </c>
      <c r="C832" t="s">
        <v>1991</v>
      </c>
      <c r="D832" t="s">
        <v>2010</v>
      </c>
      <c r="E832" t="s">
        <v>6617</v>
      </c>
      <c r="F832" t="s">
        <v>5959</v>
      </c>
      <c r="H832" t="s">
        <v>6618</v>
      </c>
      <c r="I832" t="s">
        <v>592</v>
      </c>
      <c r="J832" t="str">
        <f>"06902"</f>
        <v>06902</v>
      </c>
      <c r="K832" t="s">
        <v>1998</v>
      </c>
      <c r="L832" t="s">
        <v>2033</v>
      </c>
      <c r="M832" t="s">
        <v>6619</v>
      </c>
      <c r="N832" t="s">
        <v>1991</v>
      </c>
      <c r="O832" t="s">
        <v>1991</v>
      </c>
      <c r="P832" t="s">
        <v>1992</v>
      </c>
      <c r="Q832" t="s">
        <v>1992</v>
      </c>
      <c r="R832" t="s">
        <v>1992</v>
      </c>
      <c r="S832" t="s">
        <v>1992</v>
      </c>
      <c r="T832" t="s">
        <v>1992</v>
      </c>
      <c r="U832" t="s">
        <v>1991</v>
      </c>
      <c r="V832" t="s">
        <v>1991</v>
      </c>
      <c r="W832" t="s">
        <v>1991</v>
      </c>
      <c r="X832" t="s">
        <v>1991</v>
      </c>
      <c r="Y832" t="s">
        <v>1992</v>
      </c>
      <c r="Z832" t="s">
        <v>1992</v>
      </c>
      <c r="AE832" t="s">
        <v>5963</v>
      </c>
      <c r="AF832" t="s">
        <v>2016</v>
      </c>
      <c r="AG832" t="s">
        <v>1991</v>
      </c>
      <c r="AH832">
        <v>45</v>
      </c>
      <c r="AI832">
        <v>30</v>
      </c>
      <c r="AJ832" t="s">
        <v>6620</v>
      </c>
      <c r="AK832">
        <v>20</v>
      </c>
      <c r="AL832">
        <v>102453</v>
      </c>
      <c r="AM832" t="s">
        <v>6621</v>
      </c>
      <c r="AN832" t="s">
        <v>1053</v>
      </c>
      <c r="AO832" t="s">
        <v>1053</v>
      </c>
      <c r="AP832" t="s">
        <v>2069</v>
      </c>
      <c r="AQ832" t="s">
        <v>1053</v>
      </c>
      <c r="AR832" t="s">
        <v>2069</v>
      </c>
      <c r="AS832" t="s">
        <v>6615</v>
      </c>
      <c r="AT832" t="s">
        <v>6622</v>
      </c>
      <c r="AU832" t="s">
        <v>1053</v>
      </c>
      <c r="AV832" t="s">
        <v>1053</v>
      </c>
      <c r="AW832" t="s">
        <v>2069</v>
      </c>
      <c r="AX832" t="s">
        <v>1053</v>
      </c>
      <c r="AY832" t="s">
        <v>2069</v>
      </c>
      <c r="AZ832" t="s">
        <v>6615</v>
      </c>
      <c r="BA832" t="s">
        <v>6622</v>
      </c>
      <c r="BB832" t="s">
        <v>1053</v>
      </c>
      <c r="BC832" t="s">
        <v>2069</v>
      </c>
      <c r="BD832" t="s">
        <v>1053</v>
      </c>
      <c r="BE832" t="s">
        <v>2069</v>
      </c>
      <c r="BF832" t="s">
        <v>1053</v>
      </c>
      <c r="BG832" t="s">
        <v>597</v>
      </c>
      <c r="BH832" t="s">
        <v>816</v>
      </c>
      <c r="BI832" t="s">
        <v>1053</v>
      </c>
      <c r="BJ832" t="s">
        <v>1053</v>
      </c>
      <c r="BK832" t="s">
        <v>1053</v>
      </c>
      <c r="BL832" t="s">
        <v>1053</v>
      </c>
      <c r="BM832" t="s">
        <v>255</v>
      </c>
      <c r="BN832" t="s">
        <v>256</v>
      </c>
      <c r="BO832" t="s">
        <v>1053</v>
      </c>
      <c r="BP832" t="s">
        <v>2067</v>
      </c>
      <c r="BQ832" t="s">
        <v>816</v>
      </c>
      <c r="BR832" t="s">
        <v>1053</v>
      </c>
      <c r="BS832" t="s">
        <v>1053</v>
      </c>
      <c r="BT832" t="s">
        <v>1053</v>
      </c>
      <c r="BU832" t="s">
        <v>1053</v>
      </c>
      <c r="BV832" t="s">
        <v>255</v>
      </c>
      <c r="BW832" t="s">
        <v>256</v>
      </c>
      <c r="BX832" t="str">
        <f>"SMTWTFS 0000-0230 0430-2359"</f>
        <v>SMTWTFS 0000-0230 0430-2359</v>
      </c>
      <c r="BY832" t="str">
        <f>""</f>
        <v/>
      </c>
      <c r="BZ832" t="str">
        <f>"S-----S 0700-2200; -MTWTF- 0645-2200"</f>
        <v>S-----S 0700-2200; -MTWTF- 0645-2200</v>
      </c>
      <c r="CA832" t="str">
        <f>"S-----S 0700-2145; -MTWTF- 0645-2145"</f>
        <v>S-----S 0700-2145; -MTWTF- 0645-2145</v>
      </c>
      <c r="CB832" t="str">
        <f>""</f>
        <v/>
      </c>
      <c r="CC832" t="str">
        <f>"SMTWTFS 0000-0230 0430-2359"</f>
        <v>SMTWTFS 0000-0230 0430-2359</v>
      </c>
      <c r="CD832" t="str">
        <f>""</f>
        <v/>
      </c>
      <c r="CE832" t="str">
        <f>""</f>
        <v/>
      </c>
      <c r="CF832" t="str">
        <f>""</f>
        <v/>
      </c>
      <c r="CG832" t="str">
        <f>""</f>
        <v/>
      </c>
      <c r="CH832" t="str">
        <f>"SMTWTFS 0000-2359"</f>
        <v>SMTWTFS 0000-2359</v>
      </c>
    </row>
    <row r="833" spans="1:86" x14ac:dyDescent="0.25">
      <c r="A833" t="s">
        <v>6623</v>
      </c>
      <c r="B833" t="s">
        <v>6624</v>
      </c>
      <c r="C833" t="s">
        <v>1992</v>
      </c>
      <c r="D833" t="s">
        <v>2010</v>
      </c>
      <c r="E833" t="s">
        <v>6625</v>
      </c>
      <c r="H833" t="s">
        <v>6442</v>
      </c>
      <c r="I833" t="s">
        <v>2528</v>
      </c>
      <c r="J833" t="str">
        <f>"58784"</f>
        <v>58784</v>
      </c>
      <c r="K833" t="s">
        <v>1998</v>
      </c>
      <c r="L833" t="s">
        <v>231</v>
      </c>
      <c r="M833" t="s">
        <v>2063</v>
      </c>
      <c r="N833" t="s">
        <v>1992</v>
      </c>
      <c r="O833" t="s">
        <v>1992</v>
      </c>
      <c r="P833" t="s">
        <v>1992</v>
      </c>
      <c r="Q833" t="s">
        <v>1992</v>
      </c>
      <c r="R833" t="s">
        <v>1992</v>
      </c>
      <c r="S833" t="s">
        <v>1992</v>
      </c>
      <c r="T833" t="s">
        <v>1992</v>
      </c>
      <c r="U833" t="s">
        <v>1992</v>
      </c>
      <c r="V833" t="s">
        <v>1991</v>
      </c>
      <c r="W833" t="s">
        <v>1991</v>
      </c>
      <c r="X833" t="s">
        <v>1992</v>
      </c>
      <c r="Y833" t="s">
        <v>1992</v>
      </c>
      <c r="Z833" t="s">
        <v>1992</v>
      </c>
      <c r="AF833" t="s">
        <v>2001</v>
      </c>
      <c r="AG833" t="s">
        <v>1991</v>
      </c>
      <c r="AH833">
        <v>30</v>
      </c>
      <c r="AI833">
        <v>30</v>
      </c>
      <c r="AJ833" t="s">
        <v>6626</v>
      </c>
      <c r="AK833">
        <v>2251</v>
      </c>
      <c r="AL833">
        <v>1218</v>
      </c>
      <c r="AM833" t="s">
        <v>6627</v>
      </c>
      <c r="AN833" t="s">
        <v>2066</v>
      </c>
      <c r="AO833" t="s">
        <v>2063</v>
      </c>
      <c r="AU833" t="s">
        <v>1053</v>
      </c>
      <c r="BF833" t="s">
        <v>1053</v>
      </c>
      <c r="BG833" t="s">
        <v>3767</v>
      </c>
      <c r="BH833" t="s">
        <v>2173</v>
      </c>
      <c r="BI833" t="s">
        <v>1053</v>
      </c>
      <c r="BJ833" t="s">
        <v>2069</v>
      </c>
      <c r="BK833" t="s">
        <v>1053</v>
      </c>
      <c r="BL833" t="s">
        <v>2069</v>
      </c>
      <c r="BM833" t="s">
        <v>287</v>
      </c>
      <c r="BN833" t="s">
        <v>288</v>
      </c>
      <c r="BO833" t="s">
        <v>1053</v>
      </c>
      <c r="BP833" t="s">
        <v>950</v>
      </c>
      <c r="BQ833" t="s">
        <v>2006</v>
      </c>
      <c r="BR833" t="s">
        <v>1053</v>
      </c>
      <c r="BS833" t="s">
        <v>1053</v>
      </c>
      <c r="BT833" t="s">
        <v>1053</v>
      </c>
      <c r="BU833" t="s">
        <v>1053</v>
      </c>
      <c r="BV833" t="s">
        <v>951</v>
      </c>
      <c r="BW833" t="s">
        <v>952</v>
      </c>
      <c r="BX833" t="str">
        <f>"SMTWTFS 0855-1015 1910-2030"</f>
        <v>SMTWTFS 0855-1015 1910-2030</v>
      </c>
      <c r="BY833" t="str">
        <f>""</f>
        <v/>
      </c>
      <c r="BZ833" t="str">
        <f>""</f>
        <v/>
      </c>
      <c r="CA833" t="str">
        <f>""</f>
        <v/>
      </c>
      <c r="CB833" t="str">
        <f>""</f>
        <v/>
      </c>
      <c r="CC833" t="str">
        <f>""</f>
        <v/>
      </c>
      <c r="CD833" t="str">
        <f>""</f>
        <v/>
      </c>
      <c r="CE833" t="str">
        <f>""</f>
        <v/>
      </c>
      <c r="CF833" t="str">
        <f>""</f>
        <v/>
      </c>
      <c r="CG833" t="str">
        <f>""</f>
        <v/>
      </c>
      <c r="CH833" t="str">
        <f>""</f>
        <v/>
      </c>
    </row>
    <row r="834" spans="1:86" x14ac:dyDescent="0.25">
      <c r="A834" t="s">
        <v>6628</v>
      </c>
      <c r="B834" t="s">
        <v>6629</v>
      </c>
      <c r="C834" t="s">
        <v>1991</v>
      </c>
      <c r="D834" t="s">
        <v>2010</v>
      </c>
      <c r="E834" t="s">
        <v>6630</v>
      </c>
      <c r="F834" t="s">
        <v>6631</v>
      </c>
      <c r="H834" t="s">
        <v>6632</v>
      </c>
      <c r="I834" t="s">
        <v>558</v>
      </c>
      <c r="J834" t="str">
        <f>"33760-4846"</f>
        <v>33760-4846</v>
      </c>
      <c r="K834" t="s">
        <v>1998</v>
      </c>
      <c r="L834" t="s">
        <v>408</v>
      </c>
      <c r="M834" t="s">
        <v>6633</v>
      </c>
      <c r="N834" t="s">
        <v>1991</v>
      </c>
      <c r="O834" t="s">
        <v>1992</v>
      </c>
      <c r="P834" t="s">
        <v>1992</v>
      </c>
      <c r="Q834" t="s">
        <v>1991</v>
      </c>
      <c r="R834" t="s">
        <v>1992</v>
      </c>
      <c r="S834" t="s">
        <v>1992</v>
      </c>
      <c r="T834" t="s">
        <v>1992</v>
      </c>
      <c r="U834" t="s">
        <v>1992</v>
      </c>
      <c r="V834" t="s">
        <v>1991</v>
      </c>
      <c r="W834" t="s">
        <v>1992</v>
      </c>
      <c r="X834" t="s">
        <v>1992</v>
      </c>
      <c r="Y834" t="s">
        <v>1991</v>
      </c>
      <c r="Z834" t="s">
        <v>1992</v>
      </c>
      <c r="AA834" t="s">
        <v>1992</v>
      </c>
      <c r="AE834" t="s">
        <v>4820</v>
      </c>
      <c r="AF834" t="s">
        <v>2016</v>
      </c>
      <c r="AG834" t="s">
        <v>1991</v>
      </c>
      <c r="AH834">
        <v>45</v>
      </c>
      <c r="AI834">
        <v>30</v>
      </c>
      <c r="AJ834" t="s">
        <v>6634</v>
      </c>
      <c r="AK834">
        <v>10</v>
      </c>
      <c r="AM834" t="s">
        <v>1745</v>
      </c>
      <c r="AN834" t="s">
        <v>1053</v>
      </c>
      <c r="AO834" t="s">
        <v>1053</v>
      </c>
      <c r="AQ834" t="s">
        <v>1053</v>
      </c>
      <c r="AS834" t="s">
        <v>6628</v>
      </c>
      <c r="AT834" t="s">
        <v>6635</v>
      </c>
      <c r="AU834" t="s">
        <v>1053</v>
      </c>
      <c r="AV834" t="s">
        <v>1053</v>
      </c>
      <c r="AX834" t="s">
        <v>1053</v>
      </c>
      <c r="AZ834" t="s">
        <v>6628</v>
      </c>
      <c r="BA834" t="s">
        <v>6635</v>
      </c>
      <c r="BB834" t="s">
        <v>1053</v>
      </c>
      <c r="BD834" t="s">
        <v>1053</v>
      </c>
      <c r="BF834" t="s">
        <v>1053</v>
      </c>
      <c r="BG834" t="s">
        <v>6676</v>
      </c>
      <c r="BH834" t="s">
        <v>2996</v>
      </c>
      <c r="BI834" t="s">
        <v>1053</v>
      </c>
      <c r="BK834" t="s">
        <v>1053</v>
      </c>
      <c r="BO834" t="s">
        <v>1053</v>
      </c>
      <c r="BP834" t="s">
        <v>2165</v>
      </c>
      <c r="BQ834" t="s">
        <v>564</v>
      </c>
      <c r="BR834" t="s">
        <v>1053</v>
      </c>
      <c r="BS834" t="s">
        <v>1053</v>
      </c>
      <c r="BT834" t="s">
        <v>1053</v>
      </c>
      <c r="BU834" t="s">
        <v>1053</v>
      </c>
      <c r="BV834" t="s">
        <v>1052</v>
      </c>
      <c r="BW834" t="s">
        <v>170</v>
      </c>
      <c r="BX834" t="str">
        <f>"-MTWTFS 0900-1630"</f>
        <v>-MTWTFS 0900-1630</v>
      </c>
      <c r="BY834" t="str">
        <f>"-MTWTFS 0900-1630"</f>
        <v>-MTWTFS 0900-1630</v>
      </c>
      <c r="BZ834" t="str">
        <f>"-MTWTFS 0900-1630"</f>
        <v>-MTWTFS 0900-1630</v>
      </c>
      <c r="CA834" t="str">
        <f>"-MTWTFS 0900-1630"</f>
        <v>-MTWTFS 0900-1630</v>
      </c>
      <c r="CB834" t="str">
        <f>""</f>
        <v/>
      </c>
      <c r="CC834" t="str">
        <f>""</f>
        <v/>
      </c>
      <c r="CD834" t="str">
        <f>""</f>
        <v/>
      </c>
      <c r="CE834" t="str">
        <f>""</f>
        <v/>
      </c>
      <c r="CF834" t="str">
        <f>""</f>
        <v/>
      </c>
      <c r="CG834" t="str">
        <f>""</f>
        <v/>
      </c>
      <c r="CH834" t="str">
        <f>""</f>
        <v/>
      </c>
    </row>
    <row r="835" spans="1:86" x14ac:dyDescent="0.25">
      <c r="A835" t="s">
        <v>6760</v>
      </c>
      <c r="B835" t="s">
        <v>6761</v>
      </c>
      <c r="D835" t="s">
        <v>2089</v>
      </c>
      <c r="E835" t="s">
        <v>6762</v>
      </c>
      <c r="H835" t="s">
        <v>4083</v>
      </c>
      <c r="I835" t="s">
        <v>592</v>
      </c>
      <c r="J835" t="str">
        <f>"06510"</f>
        <v>06510</v>
      </c>
      <c r="L835" t="s">
        <v>717</v>
      </c>
      <c r="M835" t="s">
        <v>718</v>
      </c>
      <c r="O835" t="s">
        <v>1992</v>
      </c>
      <c r="AF835" t="s">
        <v>2016</v>
      </c>
      <c r="AG835" t="s">
        <v>1991</v>
      </c>
      <c r="AJ835" t="s">
        <v>2090</v>
      </c>
      <c r="AM835" t="s">
        <v>719</v>
      </c>
      <c r="BX835" t="str">
        <f>""</f>
        <v/>
      </c>
      <c r="BY835" t="str">
        <f>""</f>
        <v/>
      </c>
      <c r="BZ835" t="str">
        <f>""</f>
        <v/>
      </c>
      <c r="CA835" t="str">
        <f>""</f>
        <v/>
      </c>
      <c r="CB835" t="str">
        <f>""</f>
        <v/>
      </c>
      <c r="CC835" t="str">
        <f>""</f>
        <v/>
      </c>
      <c r="CD835" t="str">
        <f>""</f>
        <v/>
      </c>
      <c r="CE835" t="str">
        <f>""</f>
        <v/>
      </c>
      <c r="CF835" t="str">
        <f>""</f>
        <v/>
      </c>
      <c r="CG835" t="str">
        <f>""</f>
        <v/>
      </c>
      <c r="CH835" t="str">
        <f>""</f>
        <v/>
      </c>
    </row>
    <row r="836" spans="1:86" x14ac:dyDescent="0.25">
      <c r="A836" t="s">
        <v>6763</v>
      </c>
      <c r="B836" t="s">
        <v>6764</v>
      </c>
      <c r="C836" t="s">
        <v>1992</v>
      </c>
      <c r="D836" t="s">
        <v>2331</v>
      </c>
      <c r="E836" t="s">
        <v>6765</v>
      </c>
      <c r="H836" t="s">
        <v>6766</v>
      </c>
      <c r="I836" t="s">
        <v>576</v>
      </c>
      <c r="J836" t="str">
        <f>"98292"</f>
        <v>98292</v>
      </c>
      <c r="K836" t="s">
        <v>1998</v>
      </c>
      <c r="L836" t="s">
        <v>231</v>
      </c>
      <c r="M836" t="s">
        <v>2000</v>
      </c>
      <c r="N836" t="s">
        <v>1992</v>
      </c>
      <c r="O836" t="s">
        <v>1992</v>
      </c>
      <c r="P836" t="s">
        <v>1992</v>
      </c>
      <c r="Q836" t="s">
        <v>1992</v>
      </c>
      <c r="R836" t="s">
        <v>1992</v>
      </c>
      <c r="S836" t="s">
        <v>1992</v>
      </c>
      <c r="T836" t="s">
        <v>1992</v>
      </c>
      <c r="U836" t="s">
        <v>1992</v>
      </c>
      <c r="V836" t="s">
        <v>1991</v>
      </c>
      <c r="W836" t="s">
        <v>1991</v>
      </c>
      <c r="AF836" t="s">
        <v>2064</v>
      </c>
      <c r="AG836" t="s">
        <v>1991</v>
      </c>
      <c r="AH836">
        <v>30</v>
      </c>
      <c r="AI836">
        <v>30</v>
      </c>
      <c r="AJ836" t="s">
        <v>6767</v>
      </c>
      <c r="AK836">
        <v>13</v>
      </c>
      <c r="AM836" t="s">
        <v>6768</v>
      </c>
      <c r="BF836" t="s">
        <v>1053</v>
      </c>
      <c r="BG836" t="s">
        <v>235</v>
      </c>
      <c r="BH836" t="s">
        <v>359</v>
      </c>
      <c r="BI836" t="s">
        <v>1053</v>
      </c>
      <c r="BJ836" t="s">
        <v>1053</v>
      </c>
      <c r="BK836" t="s">
        <v>1053</v>
      </c>
      <c r="BM836" t="s">
        <v>241</v>
      </c>
      <c r="BN836" t="s">
        <v>242</v>
      </c>
      <c r="BO836" t="s">
        <v>1053</v>
      </c>
      <c r="BP836" t="s">
        <v>6769</v>
      </c>
      <c r="BQ836" t="s">
        <v>359</v>
      </c>
      <c r="BR836" t="s">
        <v>1053</v>
      </c>
      <c r="BS836" t="s">
        <v>1053</v>
      </c>
      <c r="BT836" t="s">
        <v>1053</v>
      </c>
      <c r="BU836" t="s">
        <v>1053</v>
      </c>
      <c r="BV836" t="s">
        <v>241</v>
      </c>
      <c r="BW836" t="s">
        <v>242</v>
      </c>
      <c r="BX836" t="str">
        <f>""</f>
        <v/>
      </c>
      <c r="BY836" t="str">
        <f>""</f>
        <v/>
      </c>
      <c r="BZ836" t="str">
        <f>""</f>
        <v/>
      </c>
      <c r="CA836" t="str">
        <f>""</f>
        <v/>
      </c>
      <c r="CB836" t="str">
        <f>""</f>
        <v/>
      </c>
      <c r="CC836" t="str">
        <f>""</f>
        <v/>
      </c>
      <c r="CD836" t="str">
        <f>""</f>
        <v/>
      </c>
      <c r="CE836" t="str">
        <f>""</f>
        <v/>
      </c>
      <c r="CF836" t="str">
        <f>""</f>
        <v/>
      </c>
      <c r="CG836" t="str">
        <f>""</f>
        <v/>
      </c>
      <c r="CH836" t="str">
        <f>""</f>
        <v/>
      </c>
    </row>
    <row r="837" spans="1:86" x14ac:dyDescent="0.25">
      <c r="A837" t="s">
        <v>6770</v>
      </c>
      <c r="B837" t="s">
        <v>6771</v>
      </c>
      <c r="C837" t="s">
        <v>1992</v>
      </c>
      <c r="D837" t="s">
        <v>2010</v>
      </c>
      <c r="E837" t="s">
        <v>6772</v>
      </c>
      <c r="H837" t="s">
        <v>6773</v>
      </c>
      <c r="I837" t="s">
        <v>2061</v>
      </c>
      <c r="J837" t="str">
        <f>"94585-2466"</f>
        <v>94585-2466</v>
      </c>
      <c r="K837" t="s">
        <v>1998</v>
      </c>
      <c r="L837" t="s">
        <v>2062</v>
      </c>
      <c r="M837" t="s">
        <v>2063</v>
      </c>
      <c r="N837" t="s">
        <v>1992</v>
      </c>
      <c r="O837" t="s">
        <v>1991</v>
      </c>
      <c r="P837" t="s">
        <v>1992</v>
      </c>
      <c r="Q837" t="s">
        <v>1992</v>
      </c>
      <c r="R837" t="s">
        <v>1992</v>
      </c>
      <c r="S837" t="s">
        <v>1992</v>
      </c>
      <c r="T837" t="s">
        <v>1992</v>
      </c>
      <c r="U837" t="s">
        <v>1992</v>
      </c>
      <c r="V837" t="s">
        <v>1991</v>
      </c>
      <c r="W837" t="s">
        <v>1991</v>
      </c>
      <c r="X837" t="s">
        <v>1992</v>
      </c>
      <c r="Y837" t="s">
        <v>1991</v>
      </c>
      <c r="Z837" t="s">
        <v>1992</v>
      </c>
      <c r="AA837" t="s">
        <v>1991</v>
      </c>
      <c r="AF837" t="s">
        <v>2064</v>
      </c>
      <c r="AG837" t="s">
        <v>1991</v>
      </c>
      <c r="AH837">
        <v>30</v>
      </c>
      <c r="AI837">
        <v>30</v>
      </c>
      <c r="AJ837" t="s">
        <v>6774</v>
      </c>
      <c r="AK837">
        <v>8</v>
      </c>
      <c r="AM837" t="s">
        <v>2298</v>
      </c>
      <c r="AN837" t="s">
        <v>2066</v>
      </c>
      <c r="AO837" t="s">
        <v>2063</v>
      </c>
      <c r="BF837" t="s">
        <v>1053</v>
      </c>
      <c r="BG837" t="s">
        <v>2067</v>
      </c>
      <c r="BH837" t="s">
        <v>3489</v>
      </c>
      <c r="BI837" t="s">
        <v>1053</v>
      </c>
      <c r="BK837" t="s">
        <v>1053</v>
      </c>
      <c r="BM837" t="s">
        <v>3653</v>
      </c>
      <c r="BN837" t="s">
        <v>3654</v>
      </c>
      <c r="BO837" t="s">
        <v>1053</v>
      </c>
      <c r="BP837" t="s">
        <v>3655</v>
      </c>
      <c r="BQ837" t="s">
        <v>2073</v>
      </c>
      <c r="BR837" t="s">
        <v>1053</v>
      </c>
      <c r="BX837" t="str">
        <f>"S-----S 0930-1830; -MTWTF- 0600-1830"</f>
        <v>S-----S 0930-1830; -MTWTF- 0600-1830</v>
      </c>
      <c r="BY837" t="str">
        <f>""</f>
        <v/>
      </c>
      <c r="BZ837" t="str">
        <f>""</f>
        <v/>
      </c>
      <c r="CA837" t="str">
        <f>""</f>
        <v/>
      </c>
      <c r="CB837" t="str">
        <f>""</f>
        <v/>
      </c>
      <c r="CC837" t="str">
        <f>"SMTWTFS 0000-2359"</f>
        <v>SMTWTFS 0000-2359</v>
      </c>
      <c r="CD837" t="str">
        <f>""</f>
        <v/>
      </c>
      <c r="CE837" t="str">
        <f>""</f>
        <v/>
      </c>
      <c r="CF837" t="str">
        <f>""</f>
        <v/>
      </c>
      <c r="CG837" t="str">
        <f>""</f>
        <v/>
      </c>
      <c r="CH837" t="str">
        <f>"SMTWTFS 0000-2359"</f>
        <v>SMTWTFS 0000-2359</v>
      </c>
    </row>
    <row r="838" spans="1:86" x14ac:dyDescent="0.25">
      <c r="A838" t="s">
        <v>6775</v>
      </c>
      <c r="B838" t="s">
        <v>6776</v>
      </c>
      <c r="C838" t="s">
        <v>1992</v>
      </c>
      <c r="D838" t="s">
        <v>1993</v>
      </c>
      <c r="E838" t="s">
        <v>6777</v>
      </c>
      <c r="F838" t="s">
        <v>856</v>
      </c>
      <c r="H838" t="s">
        <v>6778</v>
      </c>
      <c r="I838" t="s">
        <v>2295</v>
      </c>
      <c r="J838" t="str">
        <f>"97707"</f>
        <v>97707</v>
      </c>
      <c r="K838" t="s">
        <v>1998</v>
      </c>
      <c r="L838" t="s">
        <v>231</v>
      </c>
      <c r="M838" t="s">
        <v>2063</v>
      </c>
      <c r="N838" t="s">
        <v>1992</v>
      </c>
      <c r="O838" t="s">
        <v>1992</v>
      </c>
      <c r="P838" t="s">
        <v>1992</v>
      </c>
      <c r="Q838" t="s">
        <v>1992</v>
      </c>
      <c r="R838" t="s">
        <v>1992</v>
      </c>
      <c r="S838" t="s">
        <v>1992</v>
      </c>
      <c r="T838" t="s">
        <v>1992</v>
      </c>
      <c r="U838" t="s">
        <v>1992</v>
      </c>
      <c r="V838" t="s">
        <v>1991</v>
      </c>
      <c r="W838" t="s">
        <v>1992</v>
      </c>
      <c r="X838" t="s">
        <v>1992</v>
      </c>
      <c r="Y838" t="s">
        <v>1992</v>
      </c>
      <c r="Z838" t="s">
        <v>1991</v>
      </c>
      <c r="AF838" t="s">
        <v>2064</v>
      </c>
      <c r="AG838" t="s">
        <v>1991</v>
      </c>
      <c r="AH838">
        <v>30</v>
      </c>
      <c r="AI838">
        <v>30</v>
      </c>
      <c r="AJ838" t="s">
        <v>6779</v>
      </c>
      <c r="AK838">
        <v>4164</v>
      </c>
      <c r="AM838" t="s">
        <v>2298</v>
      </c>
      <c r="AN838" t="s">
        <v>450</v>
      </c>
      <c r="AO838" t="s">
        <v>2063</v>
      </c>
      <c r="BF838" t="s">
        <v>1053</v>
      </c>
      <c r="BG838" t="s">
        <v>394</v>
      </c>
      <c r="BH838" t="s">
        <v>311</v>
      </c>
      <c r="BI838" t="s">
        <v>1053</v>
      </c>
      <c r="BJ838" t="s">
        <v>1053</v>
      </c>
      <c r="BK838" t="s">
        <v>1053</v>
      </c>
      <c r="BL838" t="s">
        <v>1053</v>
      </c>
      <c r="BX838" t="str">
        <f>""</f>
        <v/>
      </c>
      <c r="BY838" t="str">
        <f>""</f>
        <v/>
      </c>
      <c r="BZ838" t="str">
        <f>""</f>
        <v/>
      </c>
      <c r="CA838" t="str">
        <f>""</f>
        <v/>
      </c>
      <c r="CB838" t="str">
        <f>""</f>
        <v/>
      </c>
      <c r="CC838" t="str">
        <f>""</f>
        <v/>
      </c>
      <c r="CD838" t="str">
        <f>""</f>
        <v/>
      </c>
      <c r="CE838" t="str">
        <f>""</f>
        <v/>
      </c>
      <c r="CF838" t="str">
        <f>""</f>
        <v/>
      </c>
      <c r="CG838" t="str">
        <f>""</f>
        <v/>
      </c>
      <c r="CH838" t="str">
        <f>""</f>
        <v/>
      </c>
    </row>
    <row r="839" spans="1:86" x14ac:dyDescent="0.25">
      <c r="A839" t="s">
        <v>6780</v>
      </c>
      <c r="B839" t="s">
        <v>6781</v>
      </c>
      <c r="C839" t="s">
        <v>1992</v>
      </c>
      <c r="D839" t="s">
        <v>1993</v>
      </c>
      <c r="E839" t="s">
        <v>6782</v>
      </c>
      <c r="F839" t="s">
        <v>6783</v>
      </c>
      <c r="H839" t="s">
        <v>6784</v>
      </c>
      <c r="I839" t="s">
        <v>2061</v>
      </c>
      <c r="J839" t="str">
        <f>"92586"</f>
        <v>92586</v>
      </c>
      <c r="K839" t="s">
        <v>1998</v>
      </c>
      <c r="L839" t="s">
        <v>2045</v>
      </c>
      <c r="M839" t="s">
        <v>2063</v>
      </c>
      <c r="N839" t="s">
        <v>1992</v>
      </c>
      <c r="O839" t="s">
        <v>1992</v>
      </c>
      <c r="P839" t="s">
        <v>1992</v>
      </c>
      <c r="Q839" t="s">
        <v>1992</v>
      </c>
      <c r="R839" t="s">
        <v>1992</v>
      </c>
      <c r="S839" t="s">
        <v>1992</v>
      </c>
      <c r="T839" t="s">
        <v>1992</v>
      </c>
      <c r="U839" t="s">
        <v>1992</v>
      </c>
      <c r="V839" t="s">
        <v>1991</v>
      </c>
      <c r="W839" t="s">
        <v>1992</v>
      </c>
      <c r="X839" t="s">
        <v>1992</v>
      </c>
      <c r="Y839" t="s">
        <v>1991</v>
      </c>
      <c r="Z839" t="s">
        <v>1991</v>
      </c>
      <c r="AF839" t="s">
        <v>2064</v>
      </c>
      <c r="AG839" t="s">
        <v>1991</v>
      </c>
      <c r="AH839">
        <v>30</v>
      </c>
      <c r="AI839">
        <v>30</v>
      </c>
      <c r="AJ839" t="s">
        <v>6785</v>
      </c>
      <c r="AK839">
        <v>1435</v>
      </c>
      <c r="AM839" t="s">
        <v>3185</v>
      </c>
      <c r="AN839" t="s">
        <v>6786</v>
      </c>
      <c r="AO839" t="s">
        <v>2063</v>
      </c>
      <c r="BF839" t="s">
        <v>1053</v>
      </c>
      <c r="BG839" t="s">
        <v>309</v>
      </c>
      <c r="BH839" t="s">
        <v>2301</v>
      </c>
      <c r="BI839" t="s">
        <v>1053</v>
      </c>
      <c r="BK839" t="s">
        <v>1053</v>
      </c>
      <c r="BO839" t="s">
        <v>1053</v>
      </c>
      <c r="BP839" t="s">
        <v>394</v>
      </c>
      <c r="BQ839" t="s">
        <v>311</v>
      </c>
      <c r="BR839" t="s">
        <v>1053</v>
      </c>
      <c r="BS839" t="s">
        <v>1053</v>
      </c>
      <c r="BT839" t="s">
        <v>1053</v>
      </c>
      <c r="BU839" t="s">
        <v>1053</v>
      </c>
      <c r="BV839" t="s">
        <v>393</v>
      </c>
      <c r="BW839" t="s">
        <v>395</v>
      </c>
      <c r="BX839" t="str">
        <f>""</f>
        <v/>
      </c>
      <c r="BY839" t="str">
        <f>""</f>
        <v/>
      </c>
      <c r="BZ839" t="str">
        <f>""</f>
        <v/>
      </c>
      <c r="CA839" t="str">
        <f>""</f>
        <v/>
      </c>
      <c r="CB839" t="str">
        <f>""</f>
        <v/>
      </c>
      <c r="CC839" t="str">
        <f>""</f>
        <v/>
      </c>
      <c r="CD839" t="str">
        <f>""</f>
        <v/>
      </c>
      <c r="CE839" t="str">
        <f>""</f>
        <v/>
      </c>
      <c r="CF839" t="str">
        <f>""</f>
        <v/>
      </c>
      <c r="CG839" t="str">
        <f>""</f>
        <v/>
      </c>
      <c r="CH839" t="str">
        <f>""</f>
        <v/>
      </c>
    </row>
    <row r="840" spans="1:86" x14ac:dyDescent="0.25">
      <c r="A840" t="s">
        <v>6787</v>
      </c>
      <c r="B840" t="s">
        <v>6788</v>
      </c>
      <c r="C840" t="s">
        <v>1992</v>
      </c>
      <c r="D840" t="s">
        <v>1993</v>
      </c>
      <c r="E840" t="s">
        <v>6789</v>
      </c>
      <c r="F840" t="s">
        <v>6790</v>
      </c>
      <c r="H840" t="s">
        <v>6791</v>
      </c>
      <c r="I840" t="s">
        <v>1797</v>
      </c>
      <c r="J840" t="str">
        <f>"V4A 4Z2"</f>
        <v>V4A 4Z2</v>
      </c>
      <c r="K840" t="s">
        <v>373</v>
      </c>
      <c r="L840" t="s">
        <v>2062</v>
      </c>
      <c r="M840" t="s">
        <v>2063</v>
      </c>
      <c r="N840" t="s">
        <v>1992</v>
      </c>
      <c r="O840" t="s">
        <v>1992</v>
      </c>
      <c r="P840" t="s">
        <v>1992</v>
      </c>
      <c r="Q840" t="s">
        <v>1992</v>
      </c>
      <c r="R840" t="s">
        <v>1992</v>
      </c>
      <c r="S840" t="s">
        <v>1992</v>
      </c>
      <c r="T840" t="s">
        <v>1992</v>
      </c>
      <c r="U840" t="s">
        <v>1992</v>
      </c>
      <c r="V840" t="s">
        <v>1991</v>
      </c>
      <c r="W840" t="s">
        <v>1992</v>
      </c>
      <c r="X840" t="s">
        <v>1992</v>
      </c>
      <c r="Y840" t="s">
        <v>1992</v>
      </c>
      <c r="Z840" t="s">
        <v>1991</v>
      </c>
      <c r="AA840" t="s">
        <v>1992</v>
      </c>
      <c r="AF840" t="s">
        <v>2064</v>
      </c>
      <c r="AG840" t="s">
        <v>1991</v>
      </c>
      <c r="AH840">
        <v>30</v>
      </c>
      <c r="AI840">
        <v>30</v>
      </c>
      <c r="AJ840" t="s">
        <v>6792</v>
      </c>
      <c r="AK840">
        <v>114</v>
      </c>
      <c r="AL840">
        <v>245173</v>
      </c>
      <c r="AM840" t="s">
        <v>2298</v>
      </c>
      <c r="AN840" t="s">
        <v>2066</v>
      </c>
      <c r="AO840" t="s">
        <v>2063</v>
      </c>
      <c r="AU840" t="s">
        <v>6793</v>
      </c>
      <c r="AV840" t="s">
        <v>1053</v>
      </c>
      <c r="BF840" t="s">
        <v>1053</v>
      </c>
      <c r="BG840" t="s">
        <v>6794</v>
      </c>
      <c r="BH840" t="s">
        <v>2303</v>
      </c>
      <c r="BI840" t="s">
        <v>1053</v>
      </c>
      <c r="BJ840" t="s">
        <v>1053</v>
      </c>
      <c r="BK840" t="s">
        <v>1053</v>
      </c>
      <c r="BL840" t="s">
        <v>1053</v>
      </c>
      <c r="BO840" t="s">
        <v>1053</v>
      </c>
      <c r="BP840" t="s">
        <v>6165</v>
      </c>
      <c r="BQ840" t="s">
        <v>240</v>
      </c>
      <c r="BR840" t="s">
        <v>1053</v>
      </c>
      <c r="BS840" t="s">
        <v>1053</v>
      </c>
      <c r="BT840" t="s">
        <v>1053</v>
      </c>
      <c r="BU840" t="s">
        <v>1053</v>
      </c>
      <c r="BV840" t="s">
        <v>241</v>
      </c>
      <c r="BW840" t="s">
        <v>242</v>
      </c>
      <c r="BX840" t="str">
        <f>""</f>
        <v/>
      </c>
      <c r="BY840" t="str">
        <f>""</f>
        <v/>
      </c>
      <c r="BZ840" t="str">
        <f>""</f>
        <v/>
      </c>
      <c r="CA840" t="str">
        <f>""</f>
        <v/>
      </c>
      <c r="CB840" t="str">
        <f>""</f>
        <v/>
      </c>
      <c r="CC840" t="str">
        <f>""</f>
        <v/>
      </c>
      <c r="CD840" t="str">
        <f>""</f>
        <v/>
      </c>
      <c r="CE840" t="str">
        <f>""</f>
        <v/>
      </c>
      <c r="CF840" t="str">
        <f>""</f>
        <v/>
      </c>
      <c r="CG840" t="str">
        <f>""</f>
        <v/>
      </c>
      <c r="CH840" t="str">
        <f>""</f>
        <v/>
      </c>
    </row>
    <row r="841" spans="1:86" x14ac:dyDescent="0.25">
      <c r="A841" t="s">
        <v>6795</v>
      </c>
      <c r="B841" t="s">
        <v>6796</v>
      </c>
      <c r="C841" t="s">
        <v>1992</v>
      </c>
      <c r="D841" t="s">
        <v>2028</v>
      </c>
      <c r="E841" t="s">
        <v>6797</v>
      </c>
      <c r="F841" t="s">
        <v>6798</v>
      </c>
      <c r="H841" t="s">
        <v>129</v>
      </c>
      <c r="I841" t="s">
        <v>576</v>
      </c>
      <c r="J841" t="str">
        <f>"98121"</f>
        <v>98121</v>
      </c>
      <c r="K841" t="s">
        <v>1998</v>
      </c>
      <c r="L841" t="s">
        <v>2062</v>
      </c>
      <c r="M841" t="s">
        <v>6799</v>
      </c>
      <c r="N841" t="s">
        <v>1992</v>
      </c>
      <c r="O841" t="s">
        <v>1992</v>
      </c>
      <c r="P841" t="s">
        <v>1992</v>
      </c>
      <c r="Q841" t="s">
        <v>1992</v>
      </c>
      <c r="R841" t="s">
        <v>1992</v>
      </c>
      <c r="S841" t="s">
        <v>1992</v>
      </c>
      <c r="T841" t="s">
        <v>1992</v>
      </c>
      <c r="U841" t="s">
        <v>1992</v>
      </c>
      <c r="V841" t="s">
        <v>1991</v>
      </c>
      <c r="W841" t="s">
        <v>1992</v>
      </c>
      <c r="X841" t="s">
        <v>1992</v>
      </c>
      <c r="Y841" t="s">
        <v>1992</v>
      </c>
      <c r="Z841" t="s">
        <v>1992</v>
      </c>
      <c r="AA841" t="s">
        <v>1991</v>
      </c>
      <c r="AB841" t="s">
        <v>2814</v>
      </c>
      <c r="AE841" t="s">
        <v>6800</v>
      </c>
      <c r="AF841" t="s">
        <v>2064</v>
      </c>
      <c r="AG841" t="s">
        <v>1991</v>
      </c>
      <c r="AH841">
        <v>45</v>
      </c>
      <c r="AI841">
        <v>45</v>
      </c>
      <c r="AJ841" t="s">
        <v>6801</v>
      </c>
      <c r="AK841">
        <v>7</v>
      </c>
      <c r="AM841" t="s">
        <v>6802</v>
      </c>
      <c r="BX841" t="str">
        <f>""</f>
        <v/>
      </c>
      <c r="BY841" t="str">
        <f>""</f>
        <v/>
      </c>
      <c r="BZ841" t="str">
        <f>""</f>
        <v/>
      </c>
      <c r="CA841" t="str">
        <f>""</f>
        <v/>
      </c>
      <c r="CB841" t="str">
        <f>""</f>
        <v/>
      </c>
      <c r="CC841" t="str">
        <f>""</f>
        <v/>
      </c>
      <c r="CD841" t="str">
        <f>""</f>
        <v/>
      </c>
      <c r="CE841" t="str">
        <f>""</f>
        <v/>
      </c>
      <c r="CF841" t="str">
        <f>""</f>
        <v/>
      </c>
      <c r="CG841" t="str">
        <f>""</f>
        <v/>
      </c>
      <c r="CH841" t="str">
        <f>""</f>
        <v/>
      </c>
    </row>
    <row r="842" spans="1:86" x14ac:dyDescent="0.25">
      <c r="A842" t="s">
        <v>6803</v>
      </c>
      <c r="B842" t="s">
        <v>6804</v>
      </c>
      <c r="D842" t="s">
        <v>2089</v>
      </c>
      <c r="E842" t="s">
        <v>6805</v>
      </c>
      <c r="F842" t="s">
        <v>497</v>
      </c>
      <c r="H842" t="s">
        <v>6806</v>
      </c>
      <c r="I842" t="s">
        <v>2014</v>
      </c>
      <c r="J842" t="str">
        <f>"20701"</f>
        <v>20701</v>
      </c>
      <c r="K842" t="s">
        <v>1998</v>
      </c>
      <c r="L842" t="s">
        <v>499</v>
      </c>
      <c r="M842" t="s">
        <v>500</v>
      </c>
      <c r="O842" t="s">
        <v>1991</v>
      </c>
      <c r="AF842" t="s">
        <v>2016</v>
      </c>
      <c r="AG842" t="s">
        <v>1991</v>
      </c>
      <c r="AJ842" t="s">
        <v>2090</v>
      </c>
      <c r="AM842" t="s">
        <v>501</v>
      </c>
      <c r="BX842" t="str">
        <f>""</f>
        <v/>
      </c>
      <c r="BY842" t="str">
        <f>""</f>
        <v/>
      </c>
      <c r="BZ842" t="str">
        <f>""</f>
        <v/>
      </c>
      <c r="CA842" t="str">
        <f>""</f>
        <v/>
      </c>
      <c r="CB842" t="str">
        <f>""</f>
        <v/>
      </c>
      <c r="CC842" t="str">
        <f>""</f>
        <v/>
      </c>
      <c r="CD842" t="str">
        <f>""</f>
        <v/>
      </c>
      <c r="CE842" t="str">
        <f>""</f>
        <v/>
      </c>
      <c r="CF842" t="str">
        <f>""</f>
        <v/>
      </c>
      <c r="CG842" t="str">
        <f>""</f>
        <v/>
      </c>
      <c r="CH842" t="str">
        <f>""</f>
        <v/>
      </c>
    </row>
    <row r="843" spans="1:86" x14ac:dyDescent="0.25">
      <c r="A843" t="s">
        <v>6807</v>
      </c>
      <c r="B843" t="s">
        <v>6808</v>
      </c>
      <c r="C843" t="s">
        <v>1992</v>
      </c>
      <c r="D843" t="s">
        <v>1993</v>
      </c>
      <c r="E843" t="s">
        <v>6809</v>
      </c>
      <c r="F843" t="s">
        <v>6810</v>
      </c>
      <c r="H843" t="s">
        <v>6811</v>
      </c>
      <c r="I843" t="s">
        <v>1997</v>
      </c>
      <c r="J843" t="str">
        <f>"54481-1843"</f>
        <v>54481-1843</v>
      </c>
      <c r="K843" t="s">
        <v>1998</v>
      </c>
      <c r="L843" t="s">
        <v>1999</v>
      </c>
      <c r="M843" t="s">
        <v>2063</v>
      </c>
      <c r="N843" t="s">
        <v>1992</v>
      </c>
      <c r="O843" t="s">
        <v>1992</v>
      </c>
      <c r="P843" t="s">
        <v>1992</v>
      </c>
      <c r="Q843" t="s">
        <v>1992</v>
      </c>
      <c r="R843" t="s">
        <v>1992</v>
      </c>
      <c r="S843" t="s">
        <v>1992</v>
      </c>
      <c r="T843" t="s">
        <v>1992</v>
      </c>
      <c r="U843" t="s">
        <v>1992</v>
      </c>
      <c r="V843" t="s">
        <v>1991</v>
      </c>
      <c r="Z843" t="s">
        <v>1991</v>
      </c>
      <c r="AF843" t="s">
        <v>2001</v>
      </c>
      <c r="AG843" t="s">
        <v>1991</v>
      </c>
      <c r="AH843">
        <v>15</v>
      </c>
      <c r="AI843">
        <v>15</v>
      </c>
      <c r="AJ843" t="s">
        <v>6812</v>
      </c>
      <c r="AK843">
        <v>1109</v>
      </c>
      <c r="BF843" t="s">
        <v>1053</v>
      </c>
      <c r="BG843" t="s">
        <v>2067</v>
      </c>
      <c r="BH843" t="s">
        <v>286</v>
      </c>
      <c r="BI843" t="s">
        <v>1053</v>
      </c>
      <c r="BJ843" t="s">
        <v>2069</v>
      </c>
      <c r="BK843" t="s">
        <v>1053</v>
      </c>
      <c r="BL843" t="s">
        <v>2069</v>
      </c>
      <c r="BM843" t="s">
        <v>287</v>
      </c>
      <c r="BN843" t="s">
        <v>288</v>
      </c>
      <c r="BO843" t="s">
        <v>1053</v>
      </c>
      <c r="BP843" t="s">
        <v>289</v>
      </c>
      <c r="BQ843" t="s">
        <v>2006</v>
      </c>
      <c r="BR843" t="s">
        <v>1053</v>
      </c>
      <c r="BS843" t="s">
        <v>1053</v>
      </c>
      <c r="BT843" t="s">
        <v>1053</v>
      </c>
      <c r="BU843" t="s">
        <v>1053</v>
      </c>
      <c r="BX843" t="str">
        <f>""</f>
        <v/>
      </c>
      <c r="BY843" t="str">
        <f>""</f>
        <v/>
      </c>
      <c r="BZ843" t="str">
        <f>""</f>
        <v/>
      </c>
      <c r="CA843" t="str">
        <f>""</f>
        <v/>
      </c>
      <c r="CB843" t="str">
        <f>""</f>
        <v/>
      </c>
      <c r="CC843" t="str">
        <f>""</f>
        <v/>
      </c>
      <c r="CD843" t="str">
        <f>""</f>
        <v/>
      </c>
      <c r="CE843" t="str">
        <f>""</f>
        <v/>
      </c>
      <c r="CF843" t="str">
        <f>""</f>
        <v/>
      </c>
      <c r="CG843" t="str">
        <f>""</f>
        <v/>
      </c>
      <c r="CH843" t="str">
        <f>""</f>
        <v/>
      </c>
    </row>
    <row r="844" spans="1:86" x14ac:dyDescent="0.25">
      <c r="A844" t="s">
        <v>6813</v>
      </c>
      <c r="B844" t="s">
        <v>6814</v>
      </c>
      <c r="C844" t="s">
        <v>1992</v>
      </c>
      <c r="D844" t="s">
        <v>2010</v>
      </c>
      <c r="E844" t="s">
        <v>6815</v>
      </c>
      <c r="H844" t="s">
        <v>6816</v>
      </c>
      <c r="I844" t="s">
        <v>1997</v>
      </c>
      <c r="J844" t="str">
        <f>"53177-1764"</f>
        <v>53177-1764</v>
      </c>
      <c r="K844" t="s">
        <v>1998</v>
      </c>
      <c r="L844" t="s">
        <v>1999</v>
      </c>
      <c r="M844" t="s">
        <v>2063</v>
      </c>
      <c r="N844" t="s">
        <v>1992</v>
      </c>
      <c r="O844" t="s">
        <v>1991</v>
      </c>
      <c r="P844" t="s">
        <v>1992</v>
      </c>
      <c r="Q844" t="s">
        <v>1992</v>
      </c>
      <c r="R844" t="s">
        <v>1992</v>
      </c>
      <c r="S844" t="s">
        <v>1992</v>
      </c>
      <c r="T844" t="s">
        <v>1992</v>
      </c>
      <c r="U844" t="s">
        <v>1992</v>
      </c>
      <c r="V844" t="s">
        <v>1991</v>
      </c>
      <c r="W844" t="s">
        <v>1991</v>
      </c>
      <c r="X844" t="s">
        <v>1992</v>
      </c>
      <c r="Y844" t="s">
        <v>1992</v>
      </c>
      <c r="Z844" t="s">
        <v>1992</v>
      </c>
      <c r="AF844" t="s">
        <v>2001</v>
      </c>
      <c r="AG844" t="s">
        <v>1991</v>
      </c>
      <c r="AH844">
        <v>30</v>
      </c>
      <c r="AI844">
        <v>30</v>
      </c>
      <c r="AJ844" t="s">
        <v>6817</v>
      </c>
      <c r="AK844">
        <v>730</v>
      </c>
      <c r="AL844">
        <v>6913</v>
      </c>
      <c r="AM844" t="s">
        <v>2172</v>
      </c>
      <c r="BF844" t="s">
        <v>1053</v>
      </c>
      <c r="BG844" t="s">
        <v>2097</v>
      </c>
      <c r="BH844" t="s">
        <v>286</v>
      </c>
      <c r="BI844" t="s">
        <v>1053</v>
      </c>
      <c r="BJ844" t="s">
        <v>2069</v>
      </c>
      <c r="BK844" t="s">
        <v>1053</v>
      </c>
      <c r="BL844" t="s">
        <v>2069</v>
      </c>
      <c r="BM844" t="s">
        <v>287</v>
      </c>
      <c r="BN844" t="s">
        <v>288</v>
      </c>
      <c r="BO844" t="s">
        <v>1053</v>
      </c>
      <c r="BP844" t="s">
        <v>6818</v>
      </c>
      <c r="BQ844" t="s">
        <v>2006</v>
      </c>
      <c r="BR844" t="s">
        <v>1053</v>
      </c>
      <c r="BS844" t="s">
        <v>1053</v>
      </c>
      <c r="BT844" t="s">
        <v>1053</v>
      </c>
      <c r="BU844" t="s">
        <v>1053</v>
      </c>
      <c r="BX844" t="str">
        <f>"SMTWTFS 0615-2130"</f>
        <v>SMTWTFS 0615-2130</v>
      </c>
      <c r="BY844" t="str">
        <f>""</f>
        <v/>
      </c>
      <c r="BZ844" t="str">
        <f>""</f>
        <v/>
      </c>
      <c r="CA844" t="str">
        <f>""</f>
        <v/>
      </c>
      <c r="CB844" t="str">
        <f>""</f>
        <v/>
      </c>
      <c r="CC844" t="str">
        <f>"SMTWTFS 0615-2130"</f>
        <v>SMTWTFS 0615-2130</v>
      </c>
      <c r="CD844" t="str">
        <f>""</f>
        <v/>
      </c>
      <c r="CE844" t="str">
        <f>""</f>
        <v/>
      </c>
      <c r="CF844" t="str">
        <f>""</f>
        <v/>
      </c>
      <c r="CG844" t="str">
        <f>""</f>
        <v/>
      </c>
      <c r="CH844" t="str">
        <f>""</f>
        <v/>
      </c>
    </row>
    <row r="845" spans="1:86" x14ac:dyDescent="0.25">
      <c r="A845" t="s">
        <v>6819</v>
      </c>
      <c r="B845" t="s">
        <v>6820</v>
      </c>
      <c r="C845" t="s">
        <v>1992</v>
      </c>
      <c r="D845" t="s">
        <v>1993</v>
      </c>
      <c r="E845" t="s">
        <v>6821</v>
      </c>
      <c r="F845" t="s">
        <v>6822</v>
      </c>
      <c r="H845" t="s">
        <v>6811</v>
      </c>
      <c r="I845" t="s">
        <v>1997</v>
      </c>
      <c r="J845" t="str">
        <f>"54481"</f>
        <v>54481</v>
      </c>
      <c r="K845" t="s">
        <v>1998</v>
      </c>
      <c r="L845" t="s">
        <v>1999</v>
      </c>
      <c r="M845" t="s">
        <v>2000</v>
      </c>
      <c r="N845" t="s">
        <v>1992</v>
      </c>
      <c r="O845" t="s">
        <v>1992</v>
      </c>
      <c r="P845" t="s">
        <v>1992</v>
      </c>
      <c r="Q845" t="s">
        <v>1992</v>
      </c>
      <c r="R845" t="s">
        <v>1992</v>
      </c>
      <c r="S845" t="s">
        <v>1992</v>
      </c>
      <c r="T845" t="s">
        <v>1992</v>
      </c>
      <c r="U845" t="s">
        <v>1992</v>
      </c>
      <c r="V845" t="s">
        <v>1991</v>
      </c>
      <c r="Z845" t="s">
        <v>1991</v>
      </c>
      <c r="AF845" t="s">
        <v>2001</v>
      </c>
      <c r="AG845" t="s">
        <v>1991</v>
      </c>
      <c r="AH845">
        <v>15</v>
      </c>
      <c r="AI845">
        <v>15</v>
      </c>
      <c r="AJ845" t="s">
        <v>6823</v>
      </c>
      <c r="AK845">
        <v>1093</v>
      </c>
      <c r="BF845" t="s">
        <v>1053</v>
      </c>
      <c r="BG845" t="s">
        <v>2067</v>
      </c>
      <c r="BH845" t="s">
        <v>286</v>
      </c>
      <c r="BI845" t="s">
        <v>1053</v>
      </c>
      <c r="BJ845" t="s">
        <v>2069</v>
      </c>
      <c r="BK845" t="s">
        <v>1053</v>
      </c>
      <c r="BL845" t="s">
        <v>2069</v>
      </c>
      <c r="BM845" t="s">
        <v>287</v>
      </c>
      <c r="BN845" t="s">
        <v>288</v>
      </c>
      <c r="BO845" t="s">
        <v>1053</v>
      </c>
      <c r="BP845" t="s">
        <v>289</v>
      </c>
      <c r="BQ845" t="s">
        <v>2006</v>
      </c>
      <c r="BR845" t="s">
        <v>1053</v>
      </c>
      <c r="BS845" t="s">
        <v>1053</v>
      </c>
      <c r="BT845" t="s">
        <v>1053</v>
      </c>
      <c r="BU845" t="s">
        <v>1053</v>
      </c>
      <c r="BX845" t="str">
        <f>""</f>
        <v/>
      </c>
      <c r="BY845" t="str">
        <f>""</f>
        <v/>
      </c>
      <c r="BZ845" t="str">
        <f>""</f>
        <v/>
      </c>
      <c r="CA845" t="str">
        <f>""</f>
        <v/>
      </c>
      <c r="CB845" t="str">
        <f>""</f>
        <v/>
      </c>
      <c r="CC845" t="str">
        <f>""</f>
        <v/>
      </c>
      <c r="CD845" t="str">
        <f>""</f>
        <v/>
      </c>
      <c r="CE845" t="str">
        <f>""</f>
        <v/>
      </c>
      <c r="CF845" t="str">
        <f>""</f>
        <v/>
      </c>
      <c r="CG845" t="str">
        <f>""</f>
        <v/>
      </c>
      <c r="CH845" t="str">
        <f>""</f>
        <v/>
      </c>
    </row>
    <row r="846" spans="1:86" x14ac:dyDescent="0.25">
      <c r="A846" t="s">
        <v>6824</v>
      </c>
      <c r="B846" t="s">
        <v>6825</v>
      </c>
      <c r="C846" t="s">
        <v>1992</v>
      </c>
      <c r="D846" t="s">
        <v>1993</v>
      </c>
      <c r="E846" t="s">
        <v>6826</v>
      </c>
      <c r="F846" t="s">
        <v>6827</v>
      </c>
      <c r="H846" t="s">
        <v>6828</v>
      </c>
      <c r="I846" t="s">
        <v>2061</v>
      </c>
      <c r="J846" t="str">
        <f>"95066-4029"</f>
        <v>95066-4029</v>
      </c>
      <c r="K846" t="s">
        <v>1998</v>
      </c>
      <c r="L846" t="s">
        <v>2062</v>
      </c>
      <c r="M846" t="s">
        <v>2063</v>
      </c>
      <c r="N846" t="s">
        <v>1992</v>
      </c>
      <c r="O846" t="s">
        <v>1992</v>
      </c>
      <c r="P846" t="s">
        <v>1992</v>
      </c>
      <c r="Q846" t="s">
        <v>1992</v>
      </c>
      <c r="R846" t="s">
        <v>1992</v>
      </c>
      <c r="S846" t="s">
        <v>1992</v>
      </c>
      <c r="T846" t="s">
        <v>1992</v>
      </c>
      <c r="U846" t="s">
        <v>1992</v>
      </c>
      <c r="V846" t="s">
        <v>1991</v>
      </c>
      <c r="W846" t="s">
        <v>1992</v>
      </c>
      <c r="X846" t="s">
        <v>1992</v>
      </c>
      <c r="Y846" t="s">
        <v>1992</v>
      </c>
      <c r="Z846" t="s">
        <v>1991</v>
      </c>
      <c r="AA846" t="s">
        <v>1991</v>
      </c>
      <c r="AF846" t="s">
        <v>2064</v>
      </c>
      <c r="AG846" t="s">
        <v>1991</v>
      </c>
      <c r="AH846">
        <v>10</v>
      </c>
      <c r="AI846">
        <v>10</v>
      </c>
      <c r="AJ846" t="s">
        <v>6829</v>
      </c>
      <c r="AK846">
        <v>542</v>
      </c>
      <c r="AM846" t="s">
        <v>6830</v>
      </c>
      <c r="BF846" t="s">
        <v>1053</v>
      </c>
      <c r="BG846" t="s">
        <v>5224</v>
      </c>
      <c r="BH846" t="s">
        <v>2301</v>
      </c>
      <c r="BI846" t="s">
        <v>1053</v>
      </c>
      <c r="BO846" t="s">
        <v>1053</v>
      </c>
      <c r="BP846" t="s">
        <v>310</v>
      </c>
      <c r="BQ846" t="s">
        <v>311</v>
      </c>
      <c r="BR846" t="s">
        <v>1053</v>
      </c>
      <c r="BS846" t="s">
        <v>1053</v>
      </c>
      <c r="BT846" t="s">
        <v>1053</v>
      </c>
      <c r="BU846" t="s">
        <v>1053</v>
      </c>
      <c r="BX846" t="str">
        <f>""</f>
        <v/>
      </c>
      <c r="BY846" t="str">
        <f>""</f>
        <v/>
      </c>
      <c r="BZ846" t="str">
        <f>""</f>
        <v/>
      </c>
      <c r="CA846" t="str">
        <f>""</f>
        <v/>
      </c>
      <c r="CB846" t="str">
        <f>""</f>
        <v/>
      </c>
      <c r="CC846" t="str">
        <f>""</f>
        <v/>
      </c>
      <c r="CD846" t="str">
        <f>""</f>
        <v/>
      </c>
      <c r="CE846" t="str">
        <f>""</f>
        <v/>
      </c>
      <c r="CF846" t="str">
        <f>""</f>
        <v/>
      </c>
      <c r="CG846" t="str">
        <f>""</f>
        <v/>
      </c>
      <c r="CH846" t="str">
        <f>""</f>
        <v/>
      </c>
    </row>
    <row r="847" spans="1:86" x14ac:dyDescent="0.25">
      <c r="A847" t="s">
        <v>6831</v>
      </c>
      <c r="B847" t="s">
        <v>6832</v>
      </c>
      <c r="C847" t="s">
        <v>1991</v>
      </c>
      <c r="D847" t="s">
        <v>2010</v>
      </c>
      <c r="E847" t="s">
        <v>6833</v>
      </c>
      <c r="G847" t="s">
        <v>6834</v>
      </c>
      <c r="H847" t="s">
        <v>1330</v>
      </c>
      <c r="I847" t="s">
        <v>2321</v>
      </c>
      <c r="J847" t="str">
        <f>"13208"</f>
        <v>13208</v>
      </c>
      <c r="K847" t="s">
        <v>1998</v>
      </c>
      <c r="L847" t="s">
        <v>2033</v>
      </c>
      <c r="M847" t="s">
        <v>6835</v>
      </c>
      <c r="N847" t="s">
        <v>1991</v>
      </c>
      <c r="O847" t="s">
        <v>1991</v>
      </c>
      <c r="P847" t="s">
        <v>1992</v>
      </c>
      <c r="Q847" t="s">
        <v>1991</v>
      </c>
      <c r="R847" t="s">
        <v>1991</v>
      </c>
      <c r="S847" t="s">
        <v>1992</v>
      </c>
      <c r="T847" t="s">
        <v>1992</v>
      </c>
      <c r="U847" t="s">
        <v>1991</v>
      </c>
      <c r="V847" t="s">
        <v>1991</v>
      </c>
      <c r="W847" t="s">
        <v>1991</v>
      </c>
      <c r="X847" t="s">
        <v>1992</v>
      </c>
      <c r="Y847" t="s">
        <v>1992</v>
      </c>
      <c r="Z847" t="s">
        <v>1992</v>
      </c>
      <c r="AE847" t="s">
        <v>2047</v>
      </c>
      <c r="AF847" t="s">
        <v>2016</v>
      </c>
      <c r="AG847" t="s">
        <v>1991</v>
      </c>
      <c r="AH847">
        <v>60</v>
      </c>
      <c r="AI847">
        <v>30</v>
      </c>
      <c r="AJ847" t="s">
        <v>6836</v>
      </c>
      <c r="AK847">
        <v>370</v>
      </c>
      <c r="AL847">
        <v>160000</v>
      </c>
      <c r="AN847" t="s">
        <v>1053</v>
      </c>
      <c r="AO847" t="s">
        <v>1053</v>
      </c>
      <c r="AP847" t="s">
        <v>2069</v>
      </c>
      <c r="AQ847" t="s">
        <v>1053</v>
      </c>
      <c r="AR847" t="s">
        <v>2069</v>
      </c>
      <c r="AS847" t="s">
        <v>6831</v>
      </c>
      <c r="AT847" t="s">
        <v>6837</v>
      </c>
      <c r="AU847" t="s">
        <v>1053</v>
      </c>
      <c r="AV847" t="s">
        <v>1053</v>
      </c>
      <c r="AW847" t="s">
        <v>2069</v>
      </c>
      <c r="AX847" t="s">
        <v>1053</v>
      </c>
      <c r="AY847" t="s">
        <v>2069</v>
      </c>
      <c r="AZ847" t="s">
        <v>6831</v>
      </c>
      <c r="BA847" t="s">
        <v>6837</v>
      </c>
      <c r="BB847" t="s">
        <v>1053</v>
      </c>
      <c r="BC847" t="s">
        <v>2069</v>
      </c>
      <c r="BD847" t="s">
        <v>1053</v>
      </c>
      <c r="BE847" t="s">
        <v>2069</v>
      </c>
      <c r="BF847" t="s">
        <v>1053</v>
      </c>
      <c r="BG847" t="s">
        <v>2067</v>
      </c>
      <c r="BH847" t="s">
        <v>6838</v>
      </c>
      <c r="BI847" t="s">
        <v>1053</v>
      </c>
      <c r="BJ847" t="s">
        <v>2069</v>
      </c>
      <c r="BK847" t="s">
        <v>1053</v>
      </c>
      <c r="BL847" t="s">
        <v>2069</v>
      </c>
      <c r="BM847" t="s">
        <v>632</v>
      </c>
      <c r="BN847" t="s">
        <v>633</v>
      </c>
      <c r="BO847" t="s">
        <v>1053</v>
      </c>
      <c r="BP847" t="s">
        <v>634</v>
      </c>
      <c r="BQ847" t="s">
        <v>635</v>
      </c>
      <c r="BR847" t="s">
        <v>1053</v>
      </c>
      <c r="BS847" t="s">
        <v>2069</v>
      </c>
      <c r="BT847" t="s">
        <v>1053</v>
      </c>
      <c r="BU847" t="s">
        <v>2069</v>
      </c>
      <c r="BV847" t="s">
        <v>6839</v>
      </c>
      <c r="BW847" t="s">
        <v>2325</v>
      </c>
      <c r="BX847" t="str">
        <f>"SMTWTFS 0000-2359"</f>
        <v>SMTWTFS 0000-2359</v>
      </c>
      <c r="BY847" t="str">
        <f>"SMTWTFS 0600-2230"</f>
        <v>SMTWTFS 0600-2230</v>
      </c>
      <c r="BZ847" t="str">
        <f>"SMTWTFS 0600-2230"</f>
        <v>SMTWTFS 0600-2230</v>
      </c>
      <c r="CA847" t="str">
        <f>"SMTWTFS 0600-2230"</f>
        <v>SMTWTFS 0600-2230</v>
      </c>
      <c r="CB847" t="str">
        <f>""</f>
        <v/>
      </c>
      <c r="CC847" t="str">
        <f>"SMTWTFS 0000-2359"</f>
        <v>SMTWTFS 0000-2359</v>
      </c>
      <c r="CD847" t="str">
        <f>""</f>
        <v/>
      </c>
      <c r="CE847" t="str">
        <f>""</f>
        <v/>
      </c>
      <c r="CF847" t="str">
        <f>"SMTWTFS 0700-2030"</f>
        <v>SMTWTFS 0700-2030</v>
      </c>
      <c r="CG847" t="str">
        <f>""</f>
        <v/>
      </c>
      <c r="CH847" t="str">
        <f>""</f>
        <v/>
      </c>
    </row>
    <row r="848" spans="1:86" x14ac:dyDescent="0.25">
      <c r="A848" t="s">
        <v>6840</v>
      </c>
      <c r="B848" t="s">
        <v>6841</v>
      </c>
      <c r="C848" t="s">
        <v>1991</v>
      </c>
      <c r="D848" t="s">
        <v>2010</v>
      </c>
      <c r="E848" t="s">
        <v>6842</v>
      </c>
      <c r="H848" t="s">
        <v>6843</v>
      </c>
      <c r="I848" t="s">
        <v>576</v>
      </c>
      <c r="J848" t="str">
        <f>"98421-2122"</f>
        <v>98421-2122</v>
      </c>
      <c r="K848" t="s">
        <v>1998</v>
      </c>
      <c r="L848" t="s">
        <v>231</v>
      </c>
      <c r="M848" t="s">
        <v>6844</v>
      </c>
      <c r="N848" t="s">
        <v>1991</v>
      </c>
      <c r="O848" t="s">
        <v>1991</v>
      </c>
      <c r="P848" t="s">
        <v>1992</v>
      </c>
      <c r="Q848" t="s">
        <v>1991</v>
      </c>
      <c r="R848" t="s">
        <v>1991</v>
      </c>
      <c r="S848" t="s">
        <v>1992</v>
      </c>
      <c r="T848" t="s">
        <v>1992</v>
      </c>
      <c r="U848" t="s">
        <v>1991</v>
      </c>
      <c r="V848" t="s">
        <v>1991</v>
      </c>
      <c r="W848" t="s">
        <v>1991</v>
      </c>
      <c r="X848" t="s">
        <v>1992</v>
      </c>
      <c r="Y848" t="s">
        <v>1992</v>
      </c>
      <c r="Z848" t="s">
        <v>1991</v>
      </c>
      <c r="AA848" t="s">
        <v>1991</v>
      </c>
      <c r="AE848" t="s">
        <v>2047</v>
      </c>
      <c r="AF848" t="s">
        <v>2064</v>
      </c>
      <c r="AG848" t="s">
        <v>1991</v>
      </c>
      <c r="AH848">
        <v>60</v>
      </c>
      <c r="AI848">
        <v>30</v>
      </c>
      <c r="AJ848" t="s">
        <v>6845</v>
      </c>
      <c r="AK848">
        <v>19</v>
      </c>
      <c r="AL848">
        <v>150000</v>
      </c>
      <c r="AM848" t="s">
        <v>6846</v>
      </c>
      <c r="AN848" t="s">
        <v>1053</v>
      </c>
      <c r="AO848" t="s">
        <v>1053</v>
      </c>
      <c r="AP848" t="s">
        <v>2069</v>
      </c>
      <c r="AQ848" t="s">
        <v>1053</v>
      </c>
      <c r="AR848" t="s">
        <v>2069</v>
      </c>
      <c r="AS848" t="s">
        <v>6840</v>
      </c>
      <c r="AT848" t="s">
        <v>6847</v>
      </c>
      <c r="AU848" t="s">
        <v>1053</v>
      </c>
      <c r="AV848" t="s">
        <v>1053</v>
      </c>
      <c r="AW848" t="s">
        <v>2069</v>
      </c>
      <c r="AX848" t="s">
        <v>1053</v>
      </c>
      <c r="AY848" t="s">
        <v>2069</v>
      </c>
      <c r="AZ848" t="s">
        <v>6840</v>
      </c>
      <c r="BA848" t="s">
        <v>6847</v>
      </c>
      <c r="BB848" t="s">
        <v>1053</v>
      </c>
      <c r="BC848" t="s">
        <v>2069</v>
      </c>
      <c r="BD848" t="s">
        <v>1053</v>
      </c>
      <c r="BE848" t="s">
        <v>2069</v>
      </c>
      <c r="BF848" t="s">
        <v>1053</v>
      </c>
      <c r="BG848" t="s">
        <v>235</v>
      </c>
      <c r="BH848" t="s">
        <v>236</v>
      </c>
      <c r="BI848" t="s">
        <v>1053</v>
      </c>
      <c r="BJ848" t="s">
        <v>1053</v>
      </c>
      <c r="BK848" t="s">
        <v>1053</v>
      </c>
      <c r="BL848" t="s">
        <v>1053</v>
      </c>
      <c r="BM848" t="s">
        <v>237</v>
      </c>
      <c r="BN848" t="s">
        <v>238</v>
      </c>
      <c r="BO848" t="s">
        <v>1053</v>
      </c>
      <c r="BP848" t="s">
        <v>239</v>
      </c>
      <c r="BQ848" t="s">
        <v>240</v>
      </c>
      <c r="BR848" t="s">
        <v>1053</v>
      </c>
      <c r="BS848" t="s">
        <v>1053</v>
      </c>
      <c r="BT848" t="s">
        <v>1053</v>
      </c>
      <c r="BU848" t="s">
        <v>1053</v>
      </c>
      <c r="BV848" t="s">
        <v>241</v>
      </c>
      <c r="BW848" t="s">
        <v>242</v>
      </c>
      <c r="BX848" t="str">
        <f>"SMTWTFS 0715-2130"</f>
        <v>SMTWTFS 0715-2130</v>
      </c>
      <c r="BY848" t="str">
        <f>"SMTWTFS 0715-2100"</f>
        <v>SMTWTFS 0715-2100</v>
      </c>
      <c r="BZ848" t="str">
        <f>"SMTWTFS 0715-2100"</f>
        <v>SMTWTFS 0715-2100</v>
      </c>
      <c r="CA848" t="str">
        <f>"SMTWTFS 0715-2100"</f>
        <v>SMTWTFS 0715-2100</v>
      </c>
      <c r="CB848" t="str">
        <f>""</f>
        <v/>
      </c>
      <c r="CC848" t="str">
        <f>"SMTWTFS 0715-2130"</f>
        <v>SMTWTFS 0715-2130</v>
      </c>
      <c r="CD848" t="str">
        <f>""</f>
        <v/>
      </c>
      <c r="CE848" t="str">
        <f>""</f>
        <v/>
      </c>
      <c r="CF848" t="str">
        <f>"SMTWTFS 0715-0900 1100-2100"</f>
        <v>SMTWTFS 0715-0900 1100-2100</v>
      </c>
      <c r="CG848" t="str">
        <f>""</f>
        <v/>
      </c>
      <c r="CH848" t="str">
        <f>""</f>
        <v/>
      </c>
    </row>
    <row r="849" spans="1:86" x14ac:dyDescent="0.25">
      <c r="A849" t="s">
        <v>6848</v>
      </c>
      <c r="B849" t="s">
        <v>6849</v>
      </c>
      <c r="C849" t="s">
        <v>1992</v>
      </c>
      <c r="D849" t="s">
        <v>2331</v>
      </c>
      <c r="E849" t="s">
        <v>6850</v>
      </c>
      <c r="F849" t="s">
        <v>6851</v>
      </c>
      <c r="H849" t="s">
        <v>6852</v>
      </c>
      <c r="I849" t="s">
        <v>2381</v>
      </c>
      <c r="J849" t="str">
        <f>"76574-3627"</f>
        <v>76574-3627</v>
      </c>
      <c r="K849" t="s">
        <v>1998</v>
      </c>
      <c r="L849" t="s">
        <v>2045</v>
      </c>
      <c r="M849" t="s">
        <v>2063</v>
      </c>
      <c r="N849" t="s">
        <v>1992</v>
      </c>
      <c r="O849" t="s">
        <v>1992</v>
      </c>
      <c r="P849" t="s">
        <v>1992</v>
      </c>
      <c r="Q849" t="s">
        <v>1992</v>
      </c>
      <c r="R849" t="s">
        <v>1992</v>
      </c>
      <c r="S849" t="s">
        <v>1992</v>
      </c>
      <c r="T849" t="s">
        <v>1992</v>
      </c>
      <c r="U849" t="s">
        <v>1992</v>
      </c>
      <c r="V849" t="s">
        <v>1991</v>
      </c>
      <c r="W849" t="s">
        <v>1991</v>
      </c>
      <c r="X849" t="s">
        <v>1992</v>
      </c>
      <c r="Y849" t="s">
        <v>1992</v>
      </c>
      <c r="Z849" t="s">
        <v>1992</v>
      </c>
      <c r="AF849" t="s">
        <v>2001</v>
      </c>
      <c r="AG849" t="s">
        <v>1991</v>
      </c>
      <c r="AH849">
        <v>30</v>
      </c>
      <c r="AI849">
        <v>30</v>
      </c>
      <c r="AJ849" t="s">
        <v>6853</v>
      </c>
      <c r="AK849">
        <v>546</v>
      </c>
      <c r="AL849">
        <v>15322</v>
      </c>
      <c r="AN849" t="s">
        <v>2066</v>
      </c>
      <c r="AO849" t="s">
        <v>2063</v>
      </c>
      <c r="BF849" t="s">
        <v>1053</v>
      </c>
      <c r="BG849" t="s">
        <v>235</v>
      </c>
      <c r="BH849" t="s">
        <v>2098</v>
      </c>
      <c r="BI849" t="s">
        <v>1053</v>
      </c>
      <c r="BJ849" t="s">
        <v>2069</v>
      </c>
      <c r="BK849" t="s">
        <v>1053</v>
      </c>
      <c r="BL849" t="s">
        <v>2069</v>
      </c>
      <c r="BM849" t="s">
        <v>2099</v>
      </c>
      <c r="BN849" t="s">
        <v>2100</v>
      </c>
      <c r="BO849" t="s">
        <v>1053</v>
      </c>
      <c r="BP849" t="s">
        <v>2101</v>
      </c>
      <c r="BQ849" t="s">
        <v>2055</v>
      </c>
      <c r="BR849" t="s">
        <v>1053</v>
      </c>
      <c r="BS849" t="s">
        <v>1053</v>
      </c>
      <c r="BT849" t="s">
        <v>1053</v>
      </c>
      <c r="BU849" t="s">
        <v>1053</v>
      </c>
      <c r="BV849" t="s">
        <v>2056</v>
      </c>
      <c r="BX849" t="str">
        <f>""</f>
        <v/>
      </c>
      <c r="BY849" t="str">
        <f>""</f>
        <v/>
      </c>
      <c r="BZ849" t="str">
        <f>""</f>
        <v/>
      </c>
      <c r="CA849" t="str">
        <f>""</f>
        <v/>
      </c>
      <c r="CB849" t="str">
        <f>""</f>
        <v/>
      </c>
      <c r="CC849" t="str">
        <f>""</f>
        <v/>
      </c>
      <c r="CD849" t="str">
        <f>""</f>
        <v/>
      </c>
      <c r="CE849" t="str">
        <f>""</f>
        <v/>
      </c>
      <c r="CF849" t="str">
        <f>""</f>
        <v/>
      </c>
      <c r="CG849" t="str">
        <f>""</f>
        <v/>
      </c>
      <c r="CH849" t="str">
        <f>""</f>
        <v/>
      </c>
    </row>
    <row r="850" spans="1:86" x14ac:dyDescent="0.25">
      <c r="A850" t="s">
        <v>6854</v>
      </c>
      <c r="B850" t="s">
        <v>6855</v>
      </c>
      <c r="C850" t="s">
        <v>1992</v>
      </c>
      <c r="D850" t="s">
        <v>2010</v>
      </c>
      <c r="E850" t="s">
        <v>6856</v>
      </c>
      <c r="H850" t="s">
        <v>6857</v>
      </c>
      <c r="I850" t="s">
        <v>407</v>
      </c>
      <c r="J850" t="str">
        <f>"30577"</f>
        <v>30577</v>
      </c>
      <c r="K850" t="s">
        <v>1998</v>
      </c>
      <c r="L850" t="s">
        <v>408</v>
      </c>
      <c r="M850" t="s">
        <v>2063</v>
      </c>
      <c r="N850" t="s">
        <v>1992</v>
      </c>
      <c r="O850" t="s">
        <v>1992</v>
      </c>
      <c r="P850" t="s">
        <v>1992</v>
      </c>
      <c r="Q850" t="s">
        <v>1992</v>
      </c>
      <c r="R850" t="s">
        <v>1992</v>
      </c>
      <c r="S850" t="s">
        <v>1992</v>
      </c>
      <c r="T850" t="s">
        <v>1992</v>
      </c>
      <c r="U850" t="s">
        <v>1992</v>
      </c>
      <c r="V850" t="s">
        <v>1991</v>
      </c>
      <c r="W850" t="s">
        <v>1991</v>
      </c>
      <c r="X850" t="s">
        <v>1992</v>
      </c>
      <c r="Y850" t="s">
        <v>1992</v>
      </c>
      <c r="Z850" t="s">
        <v>1992</v>
      </c>
      <c r="AA850" t="s">
        <v>1992</v>
      </c>
      <c r="AF850" t="s">
        <v>2016</v>
      </c>
      <c r="AG850" t="s">
        <v>1991</v>
      </c>
      <c r="AH850">
        <v>30</v>
      </c>
      <c r="AI850">
        <v>30</v>
      </c>
      <c r="AJ850" t="s">
        <v>6858</v>
      </c>
      <c r="AK850">
        <v>1012</v>
      </c>
      <c r="AL850">
        <v>9069</v>
      </c>
      <c r="AM850" t="s">
        <v>6859</v>
      </c>
      <c r="AN850" t="s">
        <v>425</v>
      </c>
      <c r="AU850" t="s">
        <v>425</v>
      </c>
      <c r="BF850" t="s">
        <v>1053</v>
      </c>
      <c r="BG850" t="s">
        <v>2067</v>
      </c>
      <c r="BH850" t="s">
        <v>413</v>
      </c>
      <c r="BI850" t="s">
        <v>1053</v>
      </c>
      <c r="BJ850" t="s">
        <v>1053</v>
      </c>
      <c r="BK850" t="s">
        <v>1053</v>
      </c>
      <c r="BL850" t="s">
        <v>1053</v>
      </c>
      <c r="BM850" t="s">
        <v>414</v>
      </c>
      <c r="BN850" t="s">
        <v>412</v>
      </c>
      <c r="BO850" t="s">
        <v>1053</v>
      </c>
      <c r="BP850" t="s">
        <v>2375</v>
      </c>
      <c r="BQ850" t="s">
        <v>427</v>
      </c>
      <c r="BR850" t="s">
        <v>1053</v>
      </c>
      <c r="BS850" t="s">
        <v>1053</v>
      </c>
      <c r="BT850" t="s">
        <v>1053</v>
      </c>
      <c r="BU850" t="s">
        <v>1053</v>
      </c>
      <c r="BV850" t="s">
        <v>416</v>
      </c>
      <c r="BW850" t="s">
        <v>417</v>
      </c>
      <c r="BX850" t="str">
        <f>"SMTWTFS 0630-0730 2100-2230"</f>
        <v>SMTWTFS 0630-0730 2100-2230</v>
      </c>
      <c r="BY850" t="str">
        <f>""</f>
        <v/>
      </c>
      <c r="BZ850" t="str">
        <f>""</f>
        <v/>
      </c>
      <c r="CA850" t="str">
        <f>""</f>
        <v/>
      </c>
      <c r="CB850" t="str">
        <f>""</f>
        <v/>
      </c>
      <c r="CC850" t="str">
        <f>""</f>
        <v/>
      </c>
      <c r="CD850" t="str">
        <f>""</f>
        <v/>
      </c>
      <c r="CE850" t="str">
        <f>""</f>
        <v/>
      </c>
      <c r="CF850" t="str">
        <f>""</f>
        <v/>
      </c>
      <c r="CG850" t="str">
        <f>""</f>
        <v/>
      </c>
      <c r="CH850" t="str">
        <f>""</f>
        <v/>
      </c>
    </row>
    <row r="851" spans="1:86" x14ac:dyDescent="0.25">
      <c r="A851" t="s">
        <v>6860</v>
      </c>
      <c r="B851" t="s">
        <v>6861</v>
      </c>
      <c r="C851" t="s">
        <v>1991</v>
      </c>
      <c r="D851" t="s">
        <v>2010</v>
      </c>
      <c r="E851" t="s">
        <v>6862</v>
      </c>
      <c r="H851" t="s">
        <v>6863</v>
      </c>
      <c r="I851" t="s">
        <v>422</v>
      </c>
      <c r="J851" t="str">
        <f>"35401"</f>
        <v>35401</v>
      </c>
      <c r="K851" t="s">
        <v>1998</v>
      </c>
      <c r="L851" t="s">
        <v>408</v>
      </c>
      <c r="M851" t="s">
        <v>6864</v>
      </c>
      <c r="N851" t="s">
        <v>1991</v>
      </c>
      <c r="O851" t="s">
        <v>1992</v>
      </c>
      <c r="P851" t="s">
        <v>1992</v>
      </c>
      <c r="Q851" t="s">
        <v>1991</v>
      </c>
      <c r="R851" t="s">
        <v>1991</v>
      </c>
      <c r="S851" t="s">
        <v>1992</v>
      </c>
      <c r="T851" t="s">
        <v>1992</v>
      </c>
      <c r="U851" t="s">
        <v>1991</v>
      </c>
      <c r="V851" t="s">
        <v>1991</v>
      </c>
      <c r="W851" t="s">
        <v>1991</v>
      </c>
      <c r="X851" t="s">
        <v>1992</v>
      </c>
      <c r="Y851" t="s">
        <v>1992</v>
      </c>
      <c r="Z851" t="s">
        <v>1992</v>
      </c>
      <c r="AA851" t="s">
        <v>1992</v>
      </c>
      <c r="AE851" t="s">
        <v>2047</v>
      </c>
      <c r="AF851" t="s">
        <v>2001</v>
      </c>
      <c r="AG851" t="s">
        <v>1991</v>
      </c>
      <c r="AH851">
        <v>60</v>
      </c>
      <c r="AI851">
        <v>45</v>
      </c>
      <c r="AJ851" t="s">
        <v>6865</v>
      </c>
      <c r="AK851">
        <v>187</v>
      </c>
      <c r="AL851">
        <v>83052</v>
      </c>
      <c r="AN851" t="s">
        <v>1053</v>
      </c>
      <c r="AO851" t="s">
        <v>1053</v>
      </c>
      <c r="AP851" t="s">
        <v>2069</v>
      </c>
      <c r="AQ851" t="s">
        <v>1053</v>
      </c>
      <c r="AR851" t="s">
        <v>2069</v>
      </c>
      <c r="AS851" t="s">
        <v>6860</v>
      </c>
      <c r="AT851" t="s">
        <v>6866</v>
      </c>
      <c r="AU851" t="s">
        <v>1053</v>
      </c>
      <c r="AV851" t="s">
        <v>1053</v>
      </c>
      <c r="AW851" t="s">
        <v>2069</v>
      </c>
      <c r="AX851" t="s">
        <v>1053</v>
      </c>
      <c r="AY851" t="s">
        <v>2069</v>
      </c>
      <c r="AZ851" t="s">
        <v>6860</v>
      </c>
      <c r="BA851" t="s">
        <v>6866</v>
      </c>
      <c r="BB851" t="s">
        <v>1053</v>
      </c>
      <c r="BC851" t="s">
        <v>2069</v>
      </c>
      <c r="BD851" t="s">
        <v>1053</v>
      </c>
      <c r="BE851" t="s">
        <v>2069</v>
      </c>
      <c r="BF851" t="s">
        <v>1053</v>
      </c>
      <c r="BG851" t="s">
        <v>703</v>
      </c>
      <c r="BH851" t="s">
        <v>6867</v>
      </c>
      <c r="BI851" t="s">
        <v>1053</v>
      </c>
      <c r="BJ851" t="s">
        <v>1053</v>
      </c>
      <c r="BK851" t="s">
        <v>1053</v>
      </c>
      <c r="BL851" t="s">
        <v>1053</v>
      </c>
      <c r="BM851" t="s">
        <v>416</v>
      </c>
      <c r="BN851" t="s">
        <v>782</v>
      </c>
      <c r="BO851" t="s">
        <v>1053</v>
      </c>
      <c r="BP851" t="s">
        <v>653</v>
      </c>
      <c r="BQ851" t="s">
        <v>427</v>
      </c>
      <c r="BR851" t="s">
        <v>1053</v>
      </c>
      <c r="BS851" t="s">
        <v>1053</v>
      </c>
      <c r="BT851" t="s">
        <v>1053</v>
      </c>
      <c r="BU851" t="s">
        <v>1053</v>
      </c>
      <c r="BV851" t="s">
        <v>416</v>
      </c>
      <c r="BW851" t="s">
        <v>417</v>
      </c>
      <c r="BX851" t="str">
        <f>"SMTWTFS 0830-1630"</f>
        <v>SMTWTFS 0830-1630</v>
      </c>
      <c r="BY851" t="str">
        <f>"SMTWTFS 0900-1630"</f>
        <v>SMTWTFS 0900-1630</v>
      </c>
      <c r="BZ851" t="str">
        <f>"SMTWTFS 1230-1600"</f>
        <v>SMTWTFS 1230-1600</v>
      </c>
      <c r="CA851" t="str">
        <f>"SMTWTFS 0830-1630"</f>
        <v>SMTWTFS 0830-1630</v>
      </c>
      <c r="CB851" t="str">
        <f>"SMTWTFS 0830-1630"</f>
        <v>SMTWTFS 0830-1630</v>
      </c>
      <c r="CC851" t="str">
        <f>""</f>
        <v/>
      </c>
      <c r="CD851" t="str">
        <f>""</f>
        <v/>
      </c>
      <c r="CE851" t="str">
        <f>""</f>
        <v/>
      </c>
      <c r="CF851" t="str">
        <f>"SMTWTFS 0900-1200 1430-1630"</f>
        <v>SMTWTFS 0900-1200 1430-1630</v>
      </c>
      <c r="CG851" t="str">
        <f>""</f>
        <v/>
      </c>
      <c r="CH851" t="str">
        <f>""</f>
        <v/>
      </c>
    </row>
    <row r="852" spans="1:86" x14ac:dyDescent="0.25">
      <c r="A852" t="s">
        <v>6868</v>
      </c>
      <c r="B852" t="s">
        <v>6869</v>
      </c>
      <c r="C852" t="s">
        <v>1992</v>
      </c>
      <c r="D852" t="s">
        <v>1993</v>
      </c>
      <c r="E852" t="s">
        <v>6870</v>
      </c>
      <c r="F852" t="s">
        <v>6871</v>
      </c>
      <c r="H852" t="s">
        <v>6872</v>
      </c>
      <c r="I852" t="s">
        <v>2295</v>
      </c>
      <c r="J852" t="str">
        <f>"97391-1000"</f>
        <v>97391-1000</v>
      </c>
      <c r="K852" t="s">
        <v>1998</v>
      </c>
      <c r="L852" t="s">
        <v>231</v>
      </c>
      <c r="M852" t="s">
        <v>2063</v>
      </c>
      <c r="N852" t="s">
        <v>1992</v>
      </c>
      <c r="O852" t="s">
        <v>1992</v>
      </c>
      <c r="P852" t="s">
        <v>1992</v>
      </c>
      <c r="Q852" t="s">
        <v>1992</v>
      </c>
      <c r="R852" t="s">
        <v>1992</v>
      </c>
      <c r="S852" t="s">
        <v>1992</v>
      </c>
      <c r="T852" t="s">
        <v>1992</v>
      </c>
      <c r="U852" t="s">
        <v>1992</v>
      </c>
      <c r="V852" t="s">
        <v>1991</v>
      </c>
      <c r="W852" t="s">
        <v>1992</v>
      </c>
      <c r="X852" t="s">
        <v>1992</v>
      </c>
      <c r="Y852" t="s">
        <v>1992</v>
      </c>
      <c r="Z852" t="s">
        <v>1991</v>
      </c>
      <c r="AA852" t="s">
        <v>1992</v>
      </c>
      <c r="AE852" t="s">
        <v>6873</v>
      </c>
      <c r="AF852" t="s">
        <v>2064</v>
      </c>
      <c r="AG852" t="s">
        <v>1991</v>
      </c>
      <c r="AH852">
        <v>30</v>
      </c>
      <c r="AI852">
        <v>30</v>
      </c>
      <c r="AJ852" t="s">
        <v>6874</v>
      </c>
      <c r="AK852">
        <v>19</v>
      </c>
      <c r="AM852" t="s">
        <v>2298</v>
      </c>
      <c r="AN852" t="s">
        <v>450</v>
      </c>
      <c r="AO852" t="s">
        <v>2063</v>
      </c>
      <c r="BF852" t="s">
        <v>1053</v>
      </c>
      <c r="BG852" t="s">
        <v>394</v>
      </c>
      <c r="BH852" t="s">
        <v>311</v>
      </c>
      <c r="BI852" t="s">
        <v>1053</v>
      </c>
      <c r="BJ852" t="s">
        <v>1053</v>
      </c>
      <c r="BK852" t="s">
        <v>1053</v>
      </c>
      <c r="BL852" t="s">
        <v>1053</v>
      </c>
      <c r="BX852" t="str">
        <f>""</f>
        <v/>
      </c>
      <c r="BY852" t="str">
        <f>""</f>
        <v/>
      </c>
      <c r="BZ852" t="str">
        <f>""</f>
        <v/>
      </c>
      <c r="CA852" t="str">
        <f>""</f>
        <v/>
      </c>
      <c r="CB852" t="str">
        <f>""</f>
        <v/>
      </c>
      <c r="CC852" t="str">
        <f>""</f>
        <v/>
      </c>
      <c r="CD852" t="str">
        <f>""</f>
        <v/>
      </c>
      <c r="CE852" t="str">
        <f>""</f>
        <v/>
      </c>
      <c r="CF852" t="str">
        <f>""</f>
        <v/>
      </c>
      <c r="CG852" t="str">
        <f>""</f>
        <v/>
      </c>
      <c r="CH852" t="str">
        <f>""</f>
        <v/>
      </c>
    </row>
    <row r="853" spans="1:86" x14ac:dyDescent="0.25">
      <c r="A853" t="s">
        <v>6875</v>
      </c>
      <c r="B853" t="s">
        <v>6876</v>
      </c>
      <c r="C853" t="s">
        <v>1992</v>
      </c>
      <c r="D853" t="s">
        <v>1993</v>
      </c>
      <c r="E853" t="s">
        <v>6877</v>
      </c>
      <c r="F853" t="s">
        <v>6878</v>
      </c>
      <c r="H853" t="s">
        <v>6879</v>
      </c>
      <c r="I853" t="s">
        <v>2061</v>
      </c>
      <c r="J853" t="str">
        <f>"93561"</f>
        <v>93561</v>
      </c>
      <c r="K853" t="s">
        <v>1998</v>
      </c>
      <c r="L853" t="s">
        <v>2045</v>
      </c>
      <c r="M853" t="s">
        <v>2063</v>
      </c>
      <c r="N853" t="s">
        <v>1992</v>
      </c>
      <c r="O853" t="s">
        <v>1992</v>
      </c>
      <c r="P853" t="s">
        <v>1992</v>
      </c>
      <c r="Q853" t="s">
        <v>1992</v>
      </c>
      <c r="R853" t="s">
        <v>1992</v>
      </c>
      <c r="S853" t="s">
        <v>1992</v>
      </c>
      <c r="T853" t="s">
        <v>1992</v>
      </c>
      <c r="U853" t="s">
        <v>1992</v>
      </c>
      <c r="V853" t="s">
        <v>1991</v>
      </c>
      <c r="W853" t="s">
        <v>1992</v>
      </c>
      <c r="X853" t="s">
        <v>1992</v>
      </c>
      <c r="Y853" t="s">
        <v>1991</v>
      </c>
      <c r="Z853" t="s">
        <v>1992</v>
      </c>
      <c r="AA853" t="s">
        <v>1991</v>
      </c>
      <c r="AF853" t="s">
        <v>2064</v>
      </c>
      <c r="AG853" t="s">
        <v>1991</v>
      </c>
      <c r="AH853">
        <v>30</v>
      </c>
      <c r="AI853">
        <v>30</v>
      </c>
      <c r="AJ853" t="s">
        <v>6880</v>
      </c>
      <c r="AK853">
        <v>3959</v>
      </c>
      <c r="AL853">
        <v>6700</v>
      </c>
      <c r="AM853" t="s">
        <v>2298</v>
      </c>
      <c r="AN853" t="s">
        <v>308</v>
      </c>
      <c r="AO853" t="s">
        <v>2063</v>
      </c>
      <c r="BF853" t="s">
        <v>1053</v>
      </c>
      <c r="BG853" t="s">
        <v>309</v>
      </c>
      <c r="BH853" t="s">
        <v>2301</v>
      </c>
      <c r="BI853" t="s">
        <v>1053</v>
      </c>
      <c r="BK853" t="s">
        <v>1053</v>
      </c>
      <c r="BO853" t="s">
        <v>1053</v>
      </c>
      <c r="BP853" t="s">
        <v>394</v>
      </c>
      <c r="BQ853" t="s">
        <v>311</v>
      </c>
      <c r="BR853" t="s">
        <v>1053</v>
      </c>
      <c r="BS853" t="s">
        <v>1053</v>
      </c>
      <c r="BT853" t="s">
        <v>1053</v>
      </c>
      <c r="BU853" t="s">
        <v>1053</v>
      </c>
      <c r="BX853" t="str">
        <f>""</f>
        <v/>
      </c>
      <c r="BY853" t="str">
        <f>""</f>
        <v/>
      </c>
      <c r="BZ853" t="str">
        <f>""</f>
        <v/>
      </c>
      <c r="CA853" t="str">
        <f>""</f>
        <v/>
      </c>
      <c r="CB853" t="str">
        <f>""</f>
        <v/>
      </c>
      <c r="CC853" t="str">
        <f>""</f>
        <v/>
      </c>
      <c r="CD853" t="str">
        <f>""</f>
        <v/>
      </c>
      <c r="CE853" t="str">
        <f>""</f>
        <v/>
      </c>
      <c r="CF853" t="str">
        <f>""</f>
        <v/>
      </c>
      <c r="CG853" t="str">
        <f>""</f>
        <v/>
      </c>
      <c r="CH853" t="str">
        <f>""</f>
        <v/>
      </c>
    </row>
    <row r="854" spans="1:86" x14ac:dyDescent="0.25">
      <c r="A854" t="s">
        <v>6881</v>
      </c>
      <c r="B854" t="s">
        <v>6882</v>
      </c>
      <c r="C854" t="s">
        <v>1992</v>
      </c>
      <c r="D854" t="s">
        <v>1993</v>
      </c>
      <c r="E854" t="s">
        <v>6883</v>
      </c>
      <c r="F854" t="s">
        <v>6884</v>
      </c>
      <c r="H854" t="s">
        <v>6885</v>
      </c>
      <c r="I854" t="s">
        <v>401</v>
      </c>
      <c r="J854" t="str">
        <f>"83301"</f>
        <v>83301</v>
      </c>
      <c r="K854" t="s">
        <v>1998</v>
      </c>
      <c r="L854" t="s">
        <v>231</v>
      </c>
      <c r="M854" t="s">
        <v>6886</v>
      </c>
      <c r="N854" t="s">
        <v>1992</v>
      </c>
      <c r="O854" t="s">
        <v>1992</v>
      </c>
      <c r="P854" t="s">
        <v>1992</v>
      </c>
      <c r="Q854" t="s">
        <v>1992</v>
      </c>
      <c r="R854" t="s">
        <v>1992</v>
      </c>
      <c r="S854" t="s">
        <v>1992</v>
      </c>
      <c r="T854" t="s">
        <v>1992</v>
      </c>
      <c r="U854" t="s">
        <v>1992</v>
      </c>
      <c r="V854" t="s">
        <v>1991</v>
      </c>
      <c r="W854" t="s">
        <v>1992</v>
      </c>
      <c r="X854" t="s">
        <v>1992</v>
      </c>
      <c r="Y854" t="s">
        <v>1992</v>
      </c>
      <c r="Z854" t="s">
        <v>1991</v>
      </c>
      <c r="AE854" t="s">
        <v>3631</v>
      </c>
      <c r="AF854" t="s">
        <v>2048</v>
      </c>
      <c r="AG854" t="s">
        <v>1991</v>
      </c>
      <c r="AH854">
        <v>30</v>
      </c>
      <c r="AI854">
        <v>30</v>
      </c>
      <c r="AJ854" t="s">
        <v>6887</v>
      </c>
      <c r="AK854">
        <v>3661</v>
      </c>
      <c r="AN854" t="s">
        <v>3819</v>
      </c>
      <c r="AO854" t="s">
        <v>2063</v>
      </c>
      <c r="BF854" t="s">
        <v>1053</v>
      </c>
      <c r="BG854" t="s">
        <v>394</v>
      </c>
      <c r="BH854" t="s">
        <v>311</v>
      </c>
      <c r="BI854" t="s">
        <v>1053</v>
      </c>
      <c r="BJ854" t="s">
        <v>1053</v>
      </c>
      <c r="BK854" t="s">
        <v>1053</v>
      </c>
      <c r="BL854" t="s">
        <v>1053</v>
      </c>
      <c r="BX854" t="str">
        <f>""</f>
        <v/>
      </c>
      <c r="BY854" t="str">
        <f>""</f>
        <v/>
      </c>
      <c r="BZ854" t="str">
        <f>""</f>
        <v/>
      </c>
      <c r="CA854" t="str">
        <f>""</f>
        <v/>
      </c>
      <c r="CB854" t="str">
        <f>""</f>
        <v/>
      </c>
      <c r="CC854" t="str">
        <f>""</f>
        <v/>
      </c>
      <c r="CD854" t="str">
        <f>""</f>
        <v/>
      </c>
      <c r="CE854" t="str">
        <f>""</f>
        <v/>
      </c>
      <c r="CF854" t="str">
        <f>""</f>
        <v/>
      </c>
      <c r="CG854" t="str">
        <f>""</f>
        <v/>
      </c>
      <c r="CH854" t="str">
        <f>""</f>
        <v/>
      </c>
    </row>
    <row r="855" spans="1:86" x14ac:dyDescent="0.25">
      <c r="A855" t="s">
        <v>6888</v>
      </c>
      <c r="B855" t="s">
        <v>6889</v>
      </c>
      <c r="C855" t="s">
        <v>1992</v>
      </c>
      <c r="D855" t="s">
        <v>1993</v>
      </c>
      <c r="E855" t="s">
        <v>6890</v>
      </c>
      <c r="F855" t="s">
        <v>6891</v>
      </c>
      <c r="H855" t="s">
        <v>6892</v>
      </c>
      <c r="I855" t="s">
        <v>2295</v>
      </c>
      <c r="J855" t="str">
        <f>"97058"</f>
        <v>97058</v>
      </c>
      <c r="K855" t="s">
        <v>1998</v>
      </c>
      <c r="L855" t="s">
        <v>231</v>
      </c>
      <c r="M855" t="s">
        <v>6893</v>
      </c>
      <c r="N855" t="s">
        <v>1992</v>
      </c>
      <c r="O855" t="s">
        <v>1992</v>
      </c>
      <c r="P855" t="s">
        <v>1992</v>
      </c>
      <c r="Q855" t="s">
        <v>1992</v>
      </c>
      <c r="R855" t="s">
        <v>1992</v>
      </c>
      <c r="S855" t="s">
        <v>1992</v>
      </c>
      <c r="T855" t="s">
        <v>1992</v>
      </c>
      <c r="U855" t="s">
        <v>1992</v>
      </c>
      <c r="V855" t="s">
        <v>1991</v>
      </c>
      <c r="W855" t="s">
        <v>1992</v>
      </c>
      <c r="X855" t="s">
        <v>1992</v>
      </c>
      <c r="Y855" t="s">
        <v>1992</v>
      </c>
      <c r="Z855" t="s">
        <v>1991</v>
      </c>
      <c r="AE855" t="s">
        <v>448</v>
      </c>
      <c r="AF855" t="s">
        <v>2064</v>
      </c>
      <c r="AG855" t="s">
        <v>1991</v>
      </c>
      <c r="AH855">
        <v>30</v>
      </c>
      <c r="AI855">
        <v>30</v>
      </c>
      <c r="AJ855" t="s">
        <v>6894</v>
      </c>
      <c r="AK855">
        <v>101</v>
      </c>
      <c r="AM855" t="s">
        <v>2298</v>
      </c>
      <c r="BX855" t="str">
        <f>"-MTWTFS 0800-1100 1200-1600"</f>
        <v>-MTWTFS 0800-1100 1200-1600</v>
      </c>
      <c r="BY855" t="str">
        <f>""</f>
        <v/>
      </c>
      <c r="BZ855" t="str">
        <f>""</f>
        <v/>
      </c>
      <c r="CA855" t="str">
        <f>""</f>
        <v/>
      </c>
      <c r="CB855" t="str">
        <f>""</f>
        <v/>
      </c>
      <c r="CC855" t="str">
        <f>""</f>
        <v/>
      </c>
      <c r="CD855" t="str">
        <f>""</f>
        <v/>
      </c>
      <c r="CE855" t="str">
        <f>""</f>
        <v/>
      </c>
      <c r="CF855" t="str">
        <f>""</f>
        <v/>
      </c>
      <c r="CG855" t="str">
        <f>""</f>
        <v/>
      </c>
      <c r="CH855" t="str">
        <f>""</f>
        <v/>
      </c>
    </row>
    <row r="856" spans="1:86" x14ac:dyDescent="0.25">
      <c r="A856" t="s">
        <v>6895</v>
      </c>
      <c r="B856" t="s">
        <v>6896</v>
      </c>
      <c r="C856" t="s">
        <v>1992</v>
      </c>
      <c r="D856" t="s">
        <v>2028</v>
      </c>
      <c r="E856" t="s">
        <v>6897</v>
      </c>
      <c r="F856" t="s">
        <v>6898</v>
      </c>
      <c r="H856" t="s">
        <v>6899</v>
      </c>
      <c r="I856" t="s">
        <v>2340</v>
      </c>
      <c r="J856" t="str">
        <f>"25936"</f>
        <v>25936</v>
      </c>
      <c r="K856" t="s">
        <v>1998</v>
      </c>
      <c r="L856" t="s">
        <v>2015</v>
      </c>
      <c r="M856" t="s">
        <v>2063</v>
      </c>
      <c r="N856" t="s">
        <v>1992</v>
      </c>
      <c r="O856" t="s">
        <v>1992</v>
      </c>
      <c r="P856" t="s">
        <v>1992</v>
      </c>
      <c r="Q856" t="s">
        <v>1992</v>
      </c>
      <c r="R856" t="s">
        <v>1992</v>
      </c>
      <c r="S856" t="s">
        <v>1992</v>
      </c>
      <c r="T856" t="s">
        <v>1992</v>
      </c>
      <c r="U856" t="s">
        <v>1992</v>
      </c>
      <c r="V856" t="s">
        <v>1991</v>
      </c>
      <c r="W856" t="s">
        <v>1991</v>
      </c>
      <c r="X856" t="s">
        <v>1992</v>
      </c>
      <c r="Y856" t="s">
        <v>1992</v>
      </c>
      <c r="Z856" t="s">
        <v>1992</v>
      </c>
      <c r="AF856" t="s">
        <v>2016</v>
      </c>
      <c r="AG856" t="s">
        <v>1991</v>
      </c>
      <c r="AH856">
        <v>30</v>
      </c>
      <c r="AI856">
        <v>30</v>
      </c>
      <c r="AJ856" t="s">
        <v>6900</v>
      </c>
      <c r="AK856">
        <v>1073</v>
      </c>
      <c r="AL856">
        <v>200</v>
      </c>
      <c r="AM856" t="s">
        <v>6901</v>
      </c>
      <c r="AN856" t="s">
        <v>425</v>
      </c>
      <c r="AO856" t="s">
        <v>2063</v>
      </c>
      <c r="BF856" t="s">
        <v>1053</v>
      </c>
      <c r="BG856" t="s">
        <v>2097</v>
      </c>
      <c r="BH856" t="s">
        <v>3481</v>
      </c>
      <c r="BI856" t="s">
        <v>1053</v>
      </c>
      <c r="BJ856" t="s">
        <v>1053</v>
      </c>
      <c r="BK856" t="s">
        <v>1053</v>
      </c>
      <c r="BL856" t="s">
        <v>1053</v>
      </c>
      <c r="BM856" t="s">
        <v>2343</v>
      </c>
      <c r="BN856" t="s">
        <v>2344</v>
      </c>
      <c r="BO856" t="s">
        <v>1053</v>
      </c>
      <c r="BP856" t="s">
        <v>366</v>
      </c>
      <c r="BQ856" t="s">
        <v>367</v>
      </c>
      <c r="BR856" t="s">
        <v>1053</v>
      </c>
      <c r="BS856" t="s">
        <v>1053</v>
      </c>
      <c r="BT856" t="s">
        <v>1053</v>
      </c>
      <c r="BU856" t="s">
        <v>1053</v>
      </c>
      <c r="BV856" t="s">
        <v>2347</v>
      </c>
      <c r="BX856" t="str">
        <f>""</f>
        <v/>
      </c>
      <c r="BY856" t="str">
        <f>""</f>
        <v/>
      </c>
      <c r="BZ856" t="str">
        <f>""</f>
        <v/>
      </c>
      <c r="CA856" t="str">
        <f>""</f>
        <v/>
      </c>
      <c r="CB856" t="str">
        <f>""</f>
        <v/>
      </c>
      <c r="CC856" t="str">
        <f>""</f>
        <v/>
      </c>
      <c r="CD856" t="str">
        <f>""</f>
        <v/>
      </c>
      <c r="CE856" t="str">
        <f>""</f>
        <v/>
      </c>
      <c r="CF856" t="str">
        <f>""</f>
        <v/>
      </c>
      <c r="CG856" t="str">
        <f>""</f>
        <v/>
      </c>
      <c r="CH856" t="str">
        <f>""</f>
        <v/>
      </c>
    </row>
    <row r="857" spans="1:86" x14ac:dyDescent="0.25">
      <c r="A857" t="s">
        <v>6902</v>
      </c>
      <c r="B857" t="s">
        <v>6903</v>
      </c>
      <c r="C857" t="s">
        <v>1992</v>
      </c>
      <c r="D857" t="s">
        <v>1993</v>
      </c>
      <c r="E857" t="s">
        <v>6904</v>
      </c>
      <c r="F857" t="s">
        <v>4104</v>
      </c>
      <c r="H857" t="s">
        <v>4105</v>
      </c>
      <c r="I857" t="s">
        <v>660</v>
      </c>
      <c r="J857" t="str">
        <f>"03276"</f>
        <v>03276</v>
      </c>
      <c r="K857" t="s">
        <v>1998</v>
      </c>
      <c r="L857" t="s">
        <v>2033</v>
      </c>
      <c r="M857" t="s">
        <v>2000</v>
      </c>
      <c r="N857" t="s">
        <v>1992</v>
      </c>
      <c r="O857" t="s">
        <v>1992</v>
      </c>
      <c r="P857" t="s">
        <v>1992</v>
      </c>
      <c r="Q857" t="s">
        <v>1992</v>
      </c>
      <c r="R857" t="s">
        <v>1992</v>
      </c>
      <c r="S857" t="s">
        <v>1992</v>
      </c>
      <c r="T857" t="s">
        <v>1992</v>
      </c>
      <c r="U857" t="s">
        <v>1992</v>
      </c>
      <c r="V857" t="s">
        <v>1991</v>
      </c>
      <c r="W857" t="s">
        <v>1992</v>
      </c>
      <c r="X857" t="s">
        <v>1992</v>
      </c>
      <c r="Y857" t="s">
        <v>1992</v>
      </c>
      <c r="Z857" t="s">
        <v>1991</v>
      </c>
      <c r="AF857" t="s">
        <v>2016</v>
      </c>
      <c r="AG857" t="s">
        <v>1991</v>
      </c>
      <c r="AH857">
        <v>30</v>
      </c>
      <c r="AI857">
        <v>30</v>
      </c>
      <c r="AJ857" t="s">
        <v>4106</v>
      </c>
      <c r="AK857">
        <v>476</v>
      </c>
      <c r="AM857" t="s">
        <v>2298</v>
      </c>
      <c r="BX857" t="str">
        <f>""</f>
        <v/>
      </c>
      <c r="BY857" t="str">
        <f>""</f>
        <v/>
      </c>
      <c r="BZ857" t="str">
        <f>""</f>
        <v/>
      </c>
      <c r="CA857" t="str">
        <f>""</f>
        <v/>
      </c>
      <c r="CB857" t="str">
        <f>""</f>
        <v/>
      </c>
      <c r="CC857" t="str">
        <f>""</f>
        <v/>
      </c>
      <c r="CD857" t="str">
        <f>""</f>
        <v/>
      </c>
      <c r="CE857" t="str">
        <f>""</f>
        <v/>
      </c>
      <c r="CF857" t="str">
        <f>""</f>
        <v/>
      </c>
      <c r="CG857" t="str">
        <f>""</f>
        <v/>
      </c>
      <c r="CH857" t="str">
        <f>""</f>
        <v/>
      </c>
    </row>
    <row r="858" spans="1:86" x14ac:dyDescent="0.25">
      <c r="A858" t="s">
        <v>4107</v>
      </c>
      <c r="B858" t="s">
        <v>4108</v>
      </c>
      <c r="C858" t="s">
        <v>1992</v>
      </c>
      <c r="D858" t="s">
        <v>1993</v>
      </c>
      <c r="E858" t="s">
        <v>4109</v>
      </c>
      <c r="F858" t="s">
        <v>4110</v>
      </c>
      <c r="H858" t="s">
        <v>4111</v>
      </c>
      <c r="I858" t="s">
        <v>2061</v>
      </c>
      <c r="J858" t="str">
        <f>"90502"</f>
        <v>90502</v>
      </c>
      <c r="K858" t="s">
        <v>1998</v>
      </c>
      <c r="L858" t="s">
        <v>2045</v>
      </c>
      <c r="M858" t="s">
        <v>2311</v>
      </c>
      <c r="N858" t="s">
        <v>1992</v>
      </c>
      <c r="O858" t="s">
        <v>1992</v>
      </c>
      <c r="P858" t="s">
        <v>1992</v>
      </c>
      <c r="Q858" t="s">
        <v>1992</v>
      </c>
      <c r="R858" t="s">
        <v>1992</v>
      </c>
      <c r="S858" t="s">
        <v>1992</v>
      </c>
      <c r="T858" t="s">
        <v>1992</v>
      </c>
      <c r="U858" t="s">
        <v>1992</v>
      </c>
      <c r="V858" t="s">
        <v>1991</v>
      </c>
      <c r="Y858" t="s">
        <v>1991</v>
      </c>
      <c r="AF858" t="s">
        <v>2064</v>
      </c>
      <c r="AG858" t="s">
        <v>1991</v>
      </c>
      <c r="AH858">
        <v>15</v>
      </c>
      <c r="AI858">
        <v>15</v>
      </c>
      <c r="AJ858" t="s">
        <v>4112</v>
      </c>
      <c r="AK858">
        <v>29</v>
      </c>
      <c r="AN858" t="s">
        <v>308</v>
      </c>
      <c r="AO858" t="s">
        <v>2063</v>
      </c>
      <c r="BF858" t="s">
        <v>1053</v>
      </c>
      <c r="BG858" t="s">
        <v>309</v>
      </c>
      <c r="BH858" t="s">
        <v>2301</v>
      </c>
      <c r="BI858" t="s">
        <v>1053</v>
      </c>
      <c r="BK858" t="s">
        <v>1053</v>
      </c>
      <c r="BO858" t="s">
        <v>1053</v>
      </c>
      <c r="BP858" t="s">
        <v>310</v>
      </c>
      <c r="BQ858" t="s">
        <v>311</v>
      </c>
      <c r="BR858" t="s">
        <v>1053</v>
      </c>
      <c r="BT858" t="s">
        <v>1053</v>
      </c>
      <c r="BX858" t="str">
        <f>""</f>
        <v/>
      </c>
      <c r="BY858" t="str">
        <f>""</f>
        <v/>
      </c>
      <c r="BZ858" t="str">
        <f>""</f>
        <v/>
      </c>
      <c r="CA858" t="str">
        <f>""</f>
        <v/>
      </c>
      <c r="CB858" t="str">
        <f>""</f>
        <v/>
      </c>
      <c r="CC858" t="str">
        <f>""</f>
        <v/>
      </c>
      <c r="CD858" t="str">
        <f>""</f>
        <v/>
      </c>
      <c r="CE858" t="str">
        <f>""</f>
        <v/>
      </c>
      <c r="CF858" t="str">
        <f>""</f>
        <v/>
      </c>
      <c r="CG858" t="str">
        <f>""</f>
        <v/>
      </c>
      <c r="CH858" t="str">
        <f>""</f>
        <v/>
      </c>
    </row>
    <row r="859" spans="1:86" x14ac:dyDescent="0.25">
      <c r="A859" t="s">
        <v>4113</v>
      </c>
      <c r="B859" t="s">
        <v>4114</v>
      </c>
      <c r="C859" t="s">
        <v>1992</v>
      </c>
      <c r="D859" t="s">
        <v>2010</v>
      </c>
      <c r="E859" t="s">
        <v>4115</v>
      </c>
      <c r="H859" t="s">
        <v>4116</v>
      </c>
      <c r="I859" t="s">
        <v>1997</v>
      </c>
      <c r="J859" t="str">
        <f>"54660"</f>
        <v>54660</v>
      </c>
      <c r="K859" t="s">
        <v>1998</v>
      </c>
      <c r="L859" t="s">
        <v>1999</v>
      </c>
      <c r="M859" t="s">
        <v>2063</v>
      </c>
      <c r="N859" t="s">
        <v>1992</v>
      </c>
      <c r="O859" t="s">
        <v>1992</v>
      </c>
      <c r="P859" t="s">
        <v>1992</v>
      </c>
      <c r="Q859" t="s">
        <v>1992</v>
      </c>
      <c r="R859" t="s">
        <v>1992</v>
      </c>
      <c r="S859" t="s">
        <v>1992</v>
      </c>
      <c r="T859" t="s">
        <v>1992</v>
      </c>
      <c r="U859" t="s">
        <v>1992</v>
      </c>
      <c r="V859" t="s">
        <v>1991</v>
      </c>
      <c r="W859" t="s">
        <v>1991</v>
      </c>
      <c r="X859" t="s">
        <v>1992</v>
      </c>
      <c r="Y859" t="s">
        <v>1992</v>
      </c>
      <c r="Z859" t="s">
        <v>1992</v>
      </c>
      <c r="AF859" t="s">
        <v>2001</v>
      </c>
      <c r="AG859" t="s">
        <v>1991</v>
      </c>
      <c r="AH859">
        <v>30</v>
      </c>
      <c r="AI859">
        <v>30</v>
      </c>
      <c r="AJ859" t="s">
        <v>4117</v>
      </c>
      <c r="AK859">
        <v>964</v>
      </c>
      <c r="AL859">
        <v>8664</v>
      </c>
      <c r="AN859" t="s">
        <v>2066</v>
      </c>
      <c r="AO859" t="s">
        <v>2063</v>
      </c>
      <c r="AU859" t="s">
        <v>1053</v>
      </c>
      <c r="AV859" t="s">
        <v>1053</v>
      </c>
      <c r="BF859" t="s">
        <v>1053</v>
      </c>
      <c r="BG859" t="s">
        <v>703</v>
      </c>
      <c r="BH859" t="s">
        <v>2173</v>
      </c>
      <c r="BI859" t="s">
        <v>1053</v>
      </c>
      <c r="BJ859" t="s">
        <v>2069</v>
      </c>
      <c r="BK859" t="s">
        <v>1053</v>
      </c>
      <c r="BL859" t="s">
        <v>2069</v>
      </c>
      <c r="BM859" t="s">
        <v>287</v>
      </c>
      <c r="BN859" t="s">
        <v>288</v>
      </c>
      <c r="BO859" t="s">
        <v>1053</v>
      </c>
      <c r="BP859" t="s">
        <v>950</v>
      </c>
      <c r="BQ859" t="s">
        <v>2006</v>
      </c>
      <c r="BR859" t="s">
        <v>1053</v>
      </c>
      <c r="BS859" t="s">
        <v>1053</v>
      </c>
      <c r="BT859" t="s">
        <v>1053</v>
      </c>
      <c r="BU859" t="s">
        <v>1053</v>
      </c>
      <c r="BV859" t="s">
        <v>951</v>
      </c>
      <c r="BW859" t="s">
        <v>952</v>
      </c>
      <c r="BX859" t="str">
        <f>""</f>
        <v/>
      </c>
      <c r="BY859" t="str">
        <f>""</f>
        <v/>
      </c>
      <c r="BZ859" t="str">
        <f>""</f>
        <v/>
      </c>
      <c r="CA859" t="str">
        <f>""</f>
        <v/>
      </c>
      <c r="CB859" t="str">
        <f>""</f>
        <v/>
      </c>
      <c r="CC859" t="str">
        <f>""</f>
        <v/>
      </c>
      <c r="CD859" t="str">
        <f>""</f>
        <v/>
      </c>
      <c r="CE859" t="str">
        <f>""</f>
        <v/>
      </c>
      <c r="CF859" t="str">
        <f>""</f>
        <v/>
      </c>
      <c r="CG859" t="str">
        <f>""</f>
        <v/>
      </c>
      <c r="CH859" t="str">
        <f>""</f>
        <v/>
      </c>
    </row>
    <row r="860" spans="1:86" x14ac:dyDescent="0.25">
      <c r="A860" t="s">
        <v>2118</v>
      </c>
      <c r="B860" t="s">
        <v>4002</v>
      </c>
      <c r="C860" t="s">
        <v>1991</v>
      </c>
      <c r="D860" t="s">
        <v>2010</v>
      </c>
      <c r="E860" t="s">
        <v>4118</v>
      </c>
      <c r="F860" t="s">
        <v>4119</v>
      </c>
      <c r="G860" t="s">
        <v>4120</v>
      </c>
      <c r="H860" t="s">
        <v>6872</v>
      </c>
      <c r="I860" t="s">
        <v>2334</v>
      </c>
      <c r="J860" t="str">
        <f>"43604-8817"</f>
        <v>43604-8817</v>
      </c>
      <c r="K860" t="s">
        <v>1998</v>
      </c>
      <c r="L860" t="s">
        <v>1999</v>
      </c>
      <c r="M860" t="s">
        <v>4121</v>
      </c>
      <c r="N860" t="s">
        <v>1991</v>
      </c>
      <c r="O860" t="s">
        <v>1992</v>
      </c>
      <c r="P860" t="s">
        <v>1992</v>
      </c>
      <c r="Q860" t="s">
        <v>1991</v>
      </c>
      <c r="R860" t="s">
        <v>1991</v>
      </c>
      <c r="S860" t="s">
        <v>1992</v>
      </c>
      <c r="T860" t="s">
        <v>1992</v>
      </c>
      <c r="U860" t="s">
        <v>1991</v>
      </c>
      <c r="V860" t="s">
        <v>1991</v>
      </c>
      <c r="W860" t="s">
        <v>1991</v>
      </c>
      <c r="X860" t="s">
        <v>1992</v>
      </c>
      <c r="Y860" t="s">
        <v>1991</v>
      </c>
      <c r="Z860" t="s">
        <v>1992</v>
      </c>
      <c r="AE860" t="s">
        <v>2047</v>
      </c>
      <c r="AF860" t="s">
        <v>2016</v>
      </c>
      <c r="AG860" t="s">
        <v>1991</v>
      </c>
      <c r="AH860">
        <v>60</v>
      </c>
      <c r="AI860">
        <v>30</v>
      </c>
      <c r="AJ860" t="s">
        <v>4122</v>
      </c>
      <c r="AK860">
        <v>594</v>
      </c>
      <c r="AL860">
        <v>350000</v>
      </c>
      <c r="AN860" t="s">
        <v>1053</v>
      </c>
      <c r="AO860" t="s">
        <v>1053</v>
      </c>
      <c r="AP860" t="s">
        <v>2069</v>
      </c>
      <c r="AQ860" t="s">
        <v>1053</v>
      </c>
      <c r="AR860" t="s">
        <v>2069</v>
      </c>
      <c r="AS860" t="s">
        <v>2118</v>
      </c>
      <c r="AT860" t="s">
        <v>2314</v>
      </c>
      <c r="AU860" t="s">
        <v>1053</v>
      </c>
      <c r="AV860" t="s">
        <v>1053</v>
      </c>
      <c r="AW860" t="s">
        <v>2069</v>
      </c>
      <c r="AX860" t="s">
        <v>1053</v>
      </c>
      <c r="AY860" t="s">
        <v>2069</v>
      </c>
      <c r="AZ860" t="s">
        <v>2118</v>
      </c>
      <c r="BA860" t="s">
        <v>2314</v>
      </c>
      <c r="BB860" t="s">
        <v>1053</v>
      </c>
      <c r="BC860" t="s">
        <v>2069</v>
      </c>
      <c r="BD860" t="s">
        <v>1053</v>
      </c>
      <c r="BE860" t="s">
        <v>2069</v>
      </c>
      <c r="BF860" t="s">
        <v>1053</v>
      </c>
      <c r="BG860" t="s">
        <v>2097</v>
      </c>
      <c r="BH860" t="s">
        <v>2312</v>
      </c>
      <c r="BI860" t="s">
        <v>1053</v>
      </c>
      <c r="BJ860" t="s">
        <v>2069</v>
      </c>
      <c r="BK860" t="s">
        <v>1053</v>
      </c>
      <c r="BL860" t="s">
        <v>2069</v>
      </c>
      <c r="BM860" t="s">
        <v>2313</v>
      </c>
      <c r="BN860" t="s">
        <v>2314</v>
      </c>
      <c r="BO860" t="s">
        <v>1053</v>
      </c>
      <c r="BP860" t="s">
        <v>301</v>
      </c>
      <c r="BQ860" t="s">
        <v>2316</v>
      </c>
      <c r="BR860" t="s">
        <v>1053</v>
      </c>
      <c r="BT860" t="s">
        <v>1053</v>
      </c>
      <c r="BX860" t="str">
        <f>"SMTWTFS 0000-1230 2100-2359"</f>
        <v>SMTWTFS 0000-1230 2100-2359</v>
      </c>
      <c r="BY860" t="str">
        <f>"SMTWTFS 0000-1230 2100-2359"</f>
        <v>SMTWTFS 0000-1230 2100-2359</v>
      </c>
      <c r="BZ860" t="str">
        <f>"SMTWTFS 0000-1230 2100-2359"</f>
        <v>SMTWTFS 0000-1230 2100-2359</v>
      </c>
      <c r="CA860" t="str">
        <f>"SMTWTFS 0000-1230 2100-2359"</f>
        <v>SMTWTFS 0000-1230 2100-2359</v>
      </c>
      <c r="CB860" t="str">
        <f>""</f>
        <v/>
      </c>
      <c r="CC860" t="str">
        <f>""</f>
        <v/>
      </c>
      <c r="CD860" t="str">
        <f>""</f>
        <v/>
      </c>
      <c r="CE860" t="str">
        <f>""</f>
        <v/>
      </c>
      <c r="CF860" t="str">
        <f>"SMTWTFS 0000-1230 2100-2359"</f>
        <v>SMTWTFS 0000-1230 2100-2359</v>
      </c>
      <c r="CG860" t="str">
        <f>""</f>
        <v/>
      </c>
      <c r="CH860" t="str">
        <f>""</f>
        <v/>
      </c>
    </row>
    <row r="861" spans="1:86" x14ac:dyDescent="0.25">
      <c r="A861" t="s">
        <v>4123</v>
      </c>
      <c r="B861" t="s">
        <v>4124</v>
      </c>
      <c r="C861" t="s">
        <v>1991</v>
      </c>
      <c r="D861" t="s">
        <v>2010</v>
      </c>
      <c r="E861" t="s">
        <v>4125</v>
      </c>
      <c r="F861" t="s">
        <v>4126</v>
      </c>
      <c r="H861" t="s">
        <v>4127</v>
      </c>
      <c r="I861" t="s">
        <v>1144</v>
      </c>
      <c r="J861" t="str">
        <f>"66607-1100"</f>
        <v>66607-1100</v>
      </c>
      <c r="K861" t="s">
        <v>1998</v>
      </c>
      <c r="L861" t="s">
        <v>1999</v>
      </c>
      <c r="M861" t="s">
        <v>4128</v>
      </c>
      <c r="N861" t="s">
        <v>1991</v>
      </c>
      <c r="O861" t="s">
        <v>1992</v>
      </c>
      <c r="P861" t="s">
        <v>1992</v>
      </c>
      <c r="Q861" t="s">
        <v>1992</v>
      </c>
      <c r="R861" t="s">
        <v>1992</v>
      </c>
      <c r="S861" t="s">
        <v>1992</v>
      </c>
      <c r="T861" t="s">
        <v>1992</v>
      </c>
      <c r="U861" t="s">
        <v>1992</v>
      </c>
      <c r="V861" t="s">
        <v>1991</v>
      </c>
      <c r="W861" t="s">
        <v>1991</v>
      </c>
      <c r="AF861" t="s">
        <v>2001</v>
      </c>
      <c r="AG861" t="s">
        <v>1991</v>
      </c>
      <c r="AH861">
        <v>45</v>
      </c>
      <c r="AI861">
        <v>15</v>
      </c>
      <c r="AJ861" t="s">
        <v>4129</v>
      </c>
      <c r="AK861">
        <v>889</v>
      </c>
      <c r="AL861">
        <v>127473</v>
      </c>
      <c r="AM861" t="s">
        <v>4130</v>
      </c>
      <c r="AN861" t="s">
        <v>1053</v>
      </c>
      <c r="AO861" t="s">
        <v>1053</v>
      </c>
      <c r="AQ861" t="s">
        <v>1053</v>
      </c>
      <c r="AS861" t="s">
        <v>4123</v>
      </c>
      <c r="AT861" t="s">
        <v>4131</v>
      </c>
      <c r="AU861" t="s">
        <v>1053</v>
      </c>
      <c r="AV861" t="s">
        <v>1053</v>
      </c>
      <c r="AX861" t="s">
        <v>1053</v>
      </c>
      <c r="AZ861" t="s">
        <v>4123</v>
      </c>
      <c r="BA861" t="s">
        <v>4131</v>
      </c>
      <c r="BB861" t="s">
        <v>1053</v>
      </c>
      <c r="BD861" t="s">
        <v>1053</v>
      </c>
      <c r="BF861" t="s">
        <v>1053</v>
      </c>
      <c r="BG861" t="s">
        <v>2371</v>
      </c>
      <c r="BH861" t="s">
        <v>985</v>
      </c>
      <c r="BI861" t="s">
        <v>1053</v>
      </c>
      <c r="BJ861" t="s">
        <v>1053</v>
      </c>
      <c r="BK861" t="s">
        <v>1053</v>
      </c>
      <c r="BL861" t="s">
        <v>1053</v>
      </c>
      <c r="BM861" t="s">
        <v>2373</v>
      </c>
      <c r="BN861" t="s">
        <v>2374</v>
      </c>
      <c r="BO861" t="s">
        <v>1053</v>
      </c>
      <c r="BP861" t="s">
        <v>653</v>
      </c>
      <c r="BQ861" t="s">
        <v>2376</v>
      </c>
      <c r="BR861" t="s">
        <v>1053</v>
      </c>
      <c r="BX861" t="str">
        <f>"S------ 0000-0115 0400-0530 2330-2359; -MTWT-- 0000-0800 2330-2359; -----F- 0000-0800; ------S 0000-0115 0400-0530"</f>
        <v>S------ 0000-0115 0400-0530 2330-2359; -MTWT-- 0000-0800 2330-2359; -----F- 0000-0800; ------S 0000-0115 0400-0530</v>
      </c>
      <c r="BY861" t="str">
        <f>""</f>
        <v/>
      </c>
      <c r="BZ861" t="str">
        <f>"S------ 2330-2359; -MTWT-- 0000-0800 2330-2359; -----F- 0000-0800"</f>
        <v>S------ 2330-2359; -MTWT-- 0000-0800 2330-2359; -----F- 0000-0800</v>
      </c>
      <c r="CA861" t="str">
        <f>"S------ 2330-2359; -MTWT-- 0000-0800 2330-2359; -----F- 0000-0800"</f>
        <v>S------ 2330-2359; -MTWT-- 0000-0800 2330-2359; -----F- 0000-0800</v>
      </c>
      <c r="CB861" t="str">
        <f>""</f>
        <v/>
      </c>
      <c r="CC861" t="str">
        <f>""</f>
        <v/>
      </c>
      <c r="CD861" t="str">
        <f>""</f>
        <v/>
      </c>
      <c r="CE861" t="str">
        <f>""</f>
        <v/>
      </c>
      <c r="CF861" t="str">
        <f>""</f>
        <v/>
      </c>
      <c r="CG861" t="str">
        <f>""</f>
        <v/>
      </c>
      <c r="CH861" t="str">
        <f>""</f>
        <v/>
      </c>
    </row>
    <row r="862" spans="1:86" x14ac:dyDescent="0.25">
      <c r="A862" t="s">
        <v>4132</v>
      </c>
      <c r="B862" t="s">
        <v>4133</v>
      </c>
      <c r="C862" t="s">
        <v>1991</v>
      </c>
      <c r="D862" t="s">
        <v>2010</v>
      </c>
      <c r="E862" t="s">
        <v>4134</v>
      </c>
      <c r="H862" t="s">
        <v>4135</v>
      </c>
      <c r="I862" t="s">
        <v>558</v>
      </c>
      <c r="J862" t="str">
        <f>"33602-3555"</f>
        <v>33602-3555</v>
      </c>
      <c r="K862" t="s">
        <v>1998</v>
      </c>
      <c r="L862" t="s">
        <v>408</v>
      </c>
      <c r="M862" t="s">
        <v>4136</v>
      </c>
      <c r="N862" t="s">
        <v>1991</v>
      </c>
      <c r="O862" t="s">
        <v>1991</v>
      </c>
      <c r="P862" t="s">
        <v>1992</v>
      </c>
      <c r="Q862" t="s">
        <v>1991</v>
      </c>
      <c r="R862" t="s">
        <v>1991</v>
      </c>
      <c r="S862" t="s">
        <v>1992</v>
      </c>
      <c r="T862" t="s">
        <v>1992</v>
      </c>
      <c r="U862" t="s">
        <v>1991</v>
      </c>
      <c r="V862" t="s">
        <v>1991</v>
      </c>
      <c r="W862" t="s">
        <v>1991</v>
      </c>
      <c r="X862" t="s">
        <v>1992</v>
      </c>
      <c r="Y862" t="s">
        <v>1991</v>
      </c>
      <c r="Z862" t="s">
        <v>1992</v>
      </c>
      <c r="AA862" t="s">
        <v>1992</v>
      </c>
      <c r="AE862" t="s">
        <v>2047</v>
      </c>
      <c r="AF862" t="s">
        <v>2016</v>
      </c>
      <c r="AG862" t="s">
        <v>1991</v>
      </c>
      <c r="AH862">
        <v>60</v>
      </c>
      <c r="AI862">
        <v>30</v>
      </c>
      <c r="AJ862" t="s">
        <v>4137</v>
      </c>
      <c r="AK862">
        <v>22</v>
      </c>
      <c r="AL862">
        <v>332888</v>
      </c>
      <c r="AN862" t="s">
        <v>1053</v>
      </c>
      <c r="AO862" t="s">
        <v>1053</v>
      </c>
      <c r="AP862" t="s">
        <v>1053</v>
      </c>
      <c r="AQ862" t="s">
        <v>1053</v>
      </c>
      <c r="AR862" t="s">
        <v>1053</v>
      </c>
      <c r="AS862" t="s">
        <v>4132</v>
      </c>
      <c r="AT862" t="s">
        <v>4138</v>
      </c>
      <c r="AU862" t="s">
        <v>1053</v>
      </c>
      <c r="AV862" t="s">
        <v>1053</v>
      </c>
      <c r="AW862" t="s">
        <v>1053</v>
      </c>
      <c r="AX862" t="s">
        <v>1053</v>
      </c>
      <c r="AY862" t="s">
        <v>1053</v>
      </c>
      <c r="AZ862" t="s">
        <v>4132</v>
      </c>
      <c r="BA862" t="s">
        <v>4138</v>
      </c>
      <c r="BB862" t="s">
        <v>1053</v>
      </c>
      <c r="BC862" t="s">
        <v>2069</v>
      </c>
      <c r="BD862" t="s">
        <v>1053</v>
      </c>
      <c r="BE862" t="s">
        <v>2069</v>
      </c>
      <c r="BF862" t="s">
        <v>1053</v>
      </c>
      <c r="BG862" t="s">
        <v>2019</v>
      </c>
      <c r="BH862" t="s">
        <v>4633</v>
      </c>
      <c r="BI862" t="s">
        <v>1053</v>
      </c>
      <c r="BJ862" t="s">
        <v>2069</v>
      </c>
      <c r="BK862" t="s">
        <v>1053</v>
      </c>
      <c r="BL862" t="s">
        <v>2069</v>
      </c>
      <c r="BM862" t="s">
        <v>1138</v>
      </c>
      <c r="BN862" t="s">
        <v>562</v>
      </c>
      <c r="BO862" t="s">
        <v>1053</v>
      </c>
      <c r="BP862" t="s">
        <v>653</v>
      </c>
      <c r="BQ862" t="s">
        <v>2127</v>
      </c>
      <c r="BR862" t="s">
        <v>1053</v>
      </c>
      <c r="BS862" t="s">
        <v>1053</v>
      </c>
      <c r="BT862" t="s">
        <v>1053</v>
      </c>
      <c r="BU862" t="s">
        <v>1053</v>
      </c>
      <c r="BV862" t="s">
        <v>1052</v>
      </c>
      <c r="BW862" t="s">
        <v>170</v>
      </c>
      <c r="BX862" t="str">
        <f>"SMTWTFS 0815-1815"</f>
        <v>SMTWTFS 0815-1815</v>
      </c>
      <c r="BY862" t="str">
        <f>"SMTWTFS 0815-1815"</f>
        <v>SMTWTFS 0815-1815</v>
      </c>
      <c r="BZ862" t="str">
        <f>"SMTWTFS 1000-1815"</f>
        <v>SMTWTFS 1000-1815</v>
      </c>
      <c r="CA862" t="str">
        <f>"SMTWTFS 0815-1815"</f>
        <v>SMTWTFS 0815-1815</v>
      </c>
      <c r="CB862" t="str">
        <f>""</f>
        <v/>
      </c>
      <c r="CC862" t="str">
        <f>"SMTWTFS 0815-1815"</f>
        <v>SMTWTFS 0815-1815</v>
      </c>
      <c r="CD862" t="str">
        <f>""</f>
        <v/>
      </c>
      <c r="CE862" t="str">
        <f>""</f>
        <v/>
      </c>
      <c r="CF862" t="str">
        <f>"SMTWTFS 1000-1600"</f>
        <v>SMTWTFS 1000-1600</v>
      </c>
      <c r="CG862" t="str">
        <f>""</f>
        <v/>
      </c>
      <c r="CH862" t="str">
        <f>""</f>
        <v/>
      </c>
    </row>
    <row r="863" spans="1:86" x14ac:dyDescent="0.25">
      <c r="A863" t="s">
        <v>4139</v>
      </c>
      <c r="B863" t="s">
        <v>4140</v>
      </c>
      <c r="C863" t="s">
        <v>1991</v>
      </c>
      <c r="D863" t="s">
        <v>2010</v>
      </c>
      <c r="E863" t="s">
        <v>4141</v>
      </c>
      <c r="H863" t="s">
        <v>4142</v>
      </c>
      <c r="I863" t="s">
        <v>2381</v>
      </c>
      <c r="J863" t="str">
        <f>"76501"</f>
        <v>76501</v>
      </c>
      <c r="K863" t="s">
        <v>1998</v>
      </c>
      <c r="L863" t="s">
        <v>2045</v>
      </c>
      <c r="M863" t="s">
        <v>4143</v>
      </c>
      <c r="N863" t="s">
        <v>1991</v>
      </c>
      <c r="O863" t="s">
        <v>1992</v>
      </c>
      <c r="P863" t="s">
        <v>1992</v>
      </c>
      <c r="Q863" t="s">
        <v>1992</v>
      </c>
      <c r="R863" t="s">
        <v>1992</v>
      </c>
      <c r="S863" t="s">
        <v>1992</v>
      </c>
      <c r="T863" t="s">
        <v>1992</v>
      </c>
      <c r="U863" t="s">
        <v>1992</v>
      </c>
      <c r="V863" t="s">
        <v>1991</v>
      </c>
      <c r="W863" t="s">
        <v>1991</v>
      </c>
      <c r="X863" t="s">
        <v>1992</v>
      </c>
      <c r="Y863" t="s">
        <v>1992</v>
      </c>
      <c r="Z863" t="s">
        <v>1991</v>
      </c>
      <c r="AA863" t="s">
        <v>1992</v>
      </c>
      <c r="AE863" t="s">
        <v>2047</v>
      </c>
      <c r="AF863" t="s">
        <v>2001</v>
      </c>
      <c r="AG863" t="s">
        <v>1991</v>
      </c>
      <c r="AH863">
        <v>60</v>
      </c>
      <c r="AI863">
        <v>30</v>
      </c>
      <c r="AJ863" t="s">
        <v>4144</v>
      </c>
      <c r="AK863">
        <v>704</v>
      </c>
      <c r="AL863">
        <v>60000</v>
      </c>
      <c r="AN863" t="s">
        <v>1053</v>
      </c>
      <c r="AO863" t="s">
        <v>1053</v>
      </c>
      <c r="AP863" t="s">
        <v>2069</v>
      </c>
      <c r="AQ863" t="s">
        <v>1053</v>
      </c>
      <c r="AR863" t="s">
        <v>2069</v>
      </c>
      <c r="AS863" t="s">
        <v>4139</v>
      </c>
      <c r="AT863" t="s">
        <v>4145</v>
      </c>
      <c r="BF863" t="s">
        <v>1053</v>
      </c>
      <c r="BG863" t="s">
        <v>235</v>
      </c>
      <c r="BH863" t="s">
        <v>433</v>
      </c>
      <c r="BI863" t="s">
        <v>1053</v>
      </c>
      <c r="BJ863" t="s">
        <v>2069</v>
      </c>
      <c r="BK863" t="s">
        <v>1053</v>
      </c>
      <c r="BL863" t="s">
        <v>2069</v>
      </c>
      <c r="BM863" t="s">
        <v>4146</v>
      </c>
      <c r="BN863" t="s">
        <v>2100</v>
      </c>
      <c r="BO863" t="s">
        <v>1053</v>
      </c>
      <c r="BP863" t="s">
        <v>2101</v>
      </c>
      <c r="BQ863" t="s">
        <v>2055</v>
      </c>
      <c r="BR863" t="s">
        <v>1053</v>
      </c>
      <c r="BS863" t="s">
        <v>1053</v>
      </c>
      <c r="BT863" t="s">
        <v>1053</v>
      </c>
      <c r="BU863" t="s">
        <v>1053</v>
      </c>
      <c r="BV863" t="s">
        <v>2056</v>
      </c>
      <c r="BX863" t="str">
        <f>"-MTWTF- 0930-1800"</f>
        <v>-MTWTF- 0930-1800</v>
      </c>
      <c r="BY863" t="str">
        <f>""</f>
        <v/>
      </c>
      <c r="BZ863" t="str">
        <f>"-MTWTF- 0930-1800"</f>
        <v>-MTWTF- 0930-1800</v>
      </c>
      <c r="CA863" t="str">
        <f>"-MTWTF- 0930-1800"</f>
        <v>-MTWTF- 0930-1800</v>
      </c>
      <c r="CB863" t="str">
        <f>""</f>
        <v/>
      </c>
      <c r="CC863" t="str">
        <f>""</f>
        <v/>
      </c>
      <c r="CD863" t="str">
        <f>""</f>
        <v/>
      </c>
      <c r="CE863" t="str">
        <f>""</f>
        <v/>
      </c>
      <c r="CF863" t="str">
        <f>""</f>
        <v/>
      </c>
      <c r="CG863" t="str">
        <f>""</f>
        <v/>
      </c>
      <c r="CH863" t="str">
        <f>"SMTWTFS 0000-2345"</f>
        <v>SMTWTFS 0000-2345</v>
      </c>
    </row>
    <row r="864" spans="1:86" x14ac:dyDescent="0.25">
      <c r="A864" t="s">
        <v>4147</v>
      </c>
      <c r="B864" t="s">
        <v>4148</v>
      </c>
      <c r="C864" t="s">
        <v>1992</v>
      </c>
      <c r="D864" t="s">
        <v>1993</v>
      </c>
      <c r="E864" t="s">
        <v>4149</v>
      </c>
      <c r="F864" t="s">
        <v>4150</v>
      </c>
      <c r="G864" t="s">
        <v>445</v>
      </c>
      <c r="H864" t="s">
        <v>4151</v>
      </c>
      <c r="I864" t="s">
        <v>2061</v>
      </c>
      <c r="J864" t="str">
        <f>"95376-1746"</f>
        <v>95376-1746</v>
      </c>
      <c r="K864" t="s">
        <v>1998</v>
      </c>
      <c r="L864" t="s">
        <v>2062</v>
      </c>
      <c r="M864" t="s">
        <v>2063</v>
      </c>
      <c r="N864" t="s">
        <v>1992</v>
      </c>
      <c r="O864" t="s">
        <v>1992</v>
      </c>
      <c r="P864" t="s">
        <v>1992</v>
      </c>
      <c r="Q864" t="s">
        <v>1992</v>
      </c>
      <c r="R864" t="s">
        <v>1992</v>
      </c>
      <c r="S864" t="s">
        <v>1992</v>
      </c>
      <c r="T864" t="s">
        <v>1992</v>
      </c>
      <c r="U864" t="s">
        <v>1992</v>
      </c>
      <c r="V864" t="s">
        <v>1991</v>
      </c>
      <c r="W864" t="s">
        <v>1992</v>
      </c>
      <c r="X864" t="s">
        <v>1992</v>
      </c>
      <c r="Y864" t="s">
        <v>1992</v>
      </c>
      <c r="Z864" t="s">
        <v>1991</v>
      </c>
      <c r="AF864" t="s">
        <v>2064</v>
      </c>
      <c r="AG864" t="s">
        <v>1991</v>
      </c>
      <c r="AH864">
        <v>30</v>
      </c>
      <c r="AI864">
        <v>30</v>
      </c>
      <c r="AJ864" t="s">
        <v>4152</v>
      </c>
      <c r="AK864">
        <v>18</v>
      </c>
      <c r="AL864">
        <v>18428</v>
      </c>
      <c r="AM864" t="s">
        <v>2298</v>
      </c>
      <c r="BF864" t="s">
        <v>1053</v>
      </c>
      <c r="BG864" t="s">
        <v>309</v>
      </c>
      <c r="BH864" t="s">
        <v>2301</v>
      </c>
      <c r="BI864" t="s">
        <v>1053</v>
      </c>
      <c r="BK864" t="s">
        <v>1053</v>
      </c>
      <c r="BO864" t="s">
        <v>1053</v>
      </c>
      <c r="BP864" t="s">
        <v>518</v>
      </c>
      <c r="BQ864" t="s">
        <v>3820</v>
      </c>
      <c r="BR864" t="s">
        <v>1053</v>
      </c>
      <c r="BT864" t="s">
        <v>1053</v>
      </c>
      <c r="BV864" t="s">
        <v>2070</v>
      </c>
      <c r="BW864">
        <v>0</v>
      </c>
      <c r="BX864" t="str">
        <f>""</f>
        <v/>
      </c>
      <c r="BY864" t="str">
        <f>""</f>
        <v/>
      </c>
      <c r="BZ864" t="str">
        <f>""</f>
        <v/>
      </c>
      <c r="CA864" t="str">
        <f>""</f>
        <v/>
      </c>
      <c r="CB864" t="str">
        <f>""</f>
        <v/>
      </c>
      <c r="CC864" t="str">
        <f>""</f>
        <v/>
      </c>
      <c r="CD864" t="str">
        <f>""</f>
        <v/>
      </c>
      <c r="CE864" t="str">
        <f>""</f>
        <v/>
      </c>
      <c r="CF864" t="str">
        <f>""</f>
        <v/>
      </c>
      <c r="CG864" t="str">
        <f>""</f>
        <v/>
      </c>
      <c r="CH864" t="str">
        <f>""</f>
        <v/>
      </c>
    </row>
    <row r="865" spans="1:86" x14ac:dyDescent="0.25">
      <c r="A865" t="s">
        <v>4153</v>
      </c>
      <c r="B865" t="s">
        <v>4154</v>
      </c>
      <c r="C865" t="s">
        <v>1992</v>
      </c>
      <c r="D865" t="s">
        <v>2028</v>
      </c>
      <c r="E865" t="s">
        <v>4155</v>
      </c>
      <c r="H865" t="s">
        <v>4151</v>
      </c>
      <c r="I865" t="s">
        <v>2061</v>
      </c>
      <c r="J865" t="str">
        <f>"95377"</f>
        <v>95377</v>
      </c>
      <c r="K865" t="s">
        <v>1998</v>
      </c>
      <c r="L865" t="s">
        <v>2062</v>
      </c>
      <c r="M865" t="s">
        <v>2063</v>
      </c>
      <c r="N865" t="s">
        <v>1992</v>
      </c>
      <c r="O865" t="s">
        <v>1992</v>
      </c>
      <c r="P865" t="s">
        <v>1992</v>
      </c>
      <c r="Q865" t="s">
        <v>1992</v>
      </c>
      <c r="R865" t="s">
        <v>1992</v>
      </c>
      <c r="S865" t="s">
        <v>1992</v>
      </c>
      <c r="T865" t="s">
        <v>1992</v>
      </c>
      <c r="U865" t="s">
        <v>1992</v>
      </c>
      <c r="V865" t="s">
        <v>1991</v>
      </c>
      <c r="W865" t="s">
        <v>1992</v>
      </c>
      <c r="X865" t="s">
        <v>1991</v>
      </c>
      <c r="Y865" t="s">
        <v>1992</v>
      </c>
      <c r="Z865" t="s">
        <v>1992</v>
      </c>
      <c r="AF865" t="s">
        <v>2064</v>
      </c>
      <c r="AG865" t="s">
        <v>1991</v>
      </c>
      <c r="AH865">
        <v>15</v>
      </c>
      <c r="AI865">
        <v>15</v>
      </c>
      <c r="AJ865" t="s">
        <v>4156</v>
      </c>
      <c r="AK865">
        <v>152</v>
      </c>
      <c r="BF865" t="s">
        <v>1053</v>
      </c>
      <c r="BG865" t="s">
        <v>309</v>
      </c>
      <c r="BH865" t="s">
        <v>2301</v>
      </c>
      <c r="BI865" t="s">
        <v>1053</v>
      </c>
      <c r="BK865" t="s">
        <v>1053</v>
      </c>
      <c r="BO865" t="s">
        <v>1053</v>
      </c>
      <c r="BP865" t="s">
        <v>394</v>
      </c>
      <c r="BQ865" t="s">
        <v>311</v>
      </c>
      <c r="BR865" t="s">
        <v>1053</v>
      </c>
      <c r="BS865" t="s">
        <v>1053</v>
      </c>
      <c r="BT865" t="s">
        <v>1053</v>
      </c>
      <c r="BU865" t="s">
        <v>1053</v>
      </c>
      <c r="BX865" t="str">
        <f>""</f>
        <v/>
      </c>
      <c r="BY865" t="str">
        <f>""</f>
        <v/>
      </c>
      <c r="BZ865" t="str">
        <f>""</f>
        <v/>
      </c>
      <c r="CA865" t="str">
        <f>""</f>
        <v/>
      </c>
      <c r="CB865" t="str">
        <f>""</f>
        <v/>
      </c>
      <c r="CC865" t="str">
        <f>""</f>
        <v/>
      </c>
      <c r="CD865" t="str">
        <f>""</f>
        <v/>
      </c>
      <c r="CE865" t="str">
        <f>""</f>
        <v/>
      </c>
      <c r="CF865" t="str">
        <f>""</f>
        <v/>
      </c>
      <c r="CG865" t="str">
        <f>""</f>
        <v/>
      </c>
      <c r="CH865" t="str">
        <f>""</f>
        <v/>
      </c>
    </row>
    <row r="866" spans="1:86" x14ac:dyDescent="0.25">
      <c r="A866" t="s">
        <v>4157</v>
      </c>
      <c r="B866" t="s">
        <v>4158</v>
      </c>
      <c r="C866" t="s">
        <v>1991</v>
      </c>
      <c r="D866" t="s">
        <v>2010</v>
      </c>
      <c r="E866" t="s">
        <v>4159</v>
      </c>
      <c r="F866" t="s">
        <v>4160</v>
      </c>
      <c r="H866" t="s">
        <v>4161</v>
      </c>
      <c r="I866" t="s">
        <v>2032</v>
      </c>
      <c r="J866" t="str">
        <f>"08609-1238"</f>
        <v>08609-1238</v>
      </c>
      <c r="K866" t="s">
        <v>1998</v>
      </c>
      <c r="L866" t="s">
        <v>2033</v>
      </c>
      <c r="M866" t="s">
        <v>4162</v>
      </c>
      <c r="N866" t="s">
        <v>1991</v>
      </c>
      <c r="O866" t="s">
        <v>1991</v>
      </c>
      <c r="P866" t="s">
        <v>1992</v>
      </c>
      <c r="Q866" t="s">
        <v>1992</v>
      </c>
      <c r="R866" t="s">
        <v>1992</v>
      </c>
      <c r="S866" t="s">
        <v>1992</v>
      </c>
      <c r="T866" t="s">
        <v>1992</v>
      </c>
      <c r="U866" t="s">
        <v>1991</v>
      </c>
      <c r="V866" t="s">
        <v>1991</v>
      </c>
      <c r="W866" t="s">
        <v>1991</v>
      </c>
      <c r="X866" t="s">
        <v>1991</v>
      </c>
      <c r="Y866" t="s">
        <v>1992</v>
      </c>
      <c r="Z866" t="s">
        <v>1992</v>
      </c>
      <c r="AA866" t="s">
        <v>1991</v>
      </c>
      <c r="AE866" t="s">
        <v>4163</v>
      </c>
      <c r="AF866" t="s">
        <v>2016</v>
      </c>
      <c r="AG866" t="s">
        <v>1991</v>
      </c>
      <c r="AH866">
        <v>45</v>
      </c>
      <c r="AI866">
        <v>30</v>
      </c>
      <c r="AJ866" t="s">
        <v>4164</v>
      </c>
      <c r="AK866">
        <v>40</v>
      </c>
      <c r="AL866">
        <v>91430</v>
      </c>
      <c r="AM866" t="s">
        <v>4165</v>
      </c>
      <c r="AN866" t="s">
        <v>1053</v>
      </c>
      <c r="AO866" t="s">
        <v>1053</v>
      </c>
      <c r="AP866" t="s">
        <v>1053</v>
      </c>
      <c r="AQ866" t="s">
        <v>1053</v>
      </c>
      <c r="AR866" t="s">
        <v>1053</v>
      </c>
      <c r="AS866" t="s">
        <v>4166</v>
      </c>
      <c r="AT866" t="s">
        <v>4167</v>
      </c>
      <c r="AU866" t="s">
        <v>1053</v>
      </c>
      <c r="AV866" t="s">
        <v>1053</v>
      </c>
      <c r="AW866" t="s">
        <v>1053</v>
      </c>
      <c r="AX866" t="s">
        <v>1053</v>
      </c>
      <c r="AY866" t="s">
        <v>1053</v>
      </c>
      <c r="AZ866" t="s">
        <v>4166</v>
      </c>
      <c r="BA866" t="s">
        <v>4167</v>
      </c>
      <c r="BB866" t="s">
        <v>1053</v>
      </c>
      <c r="BC866" t="s">
        <v>1053</v>
      </c>
      <c r="BD866" t="s">
        <v>1053</v>
      </c>
      <c r="BE866" t="s">
        <v>2083</v>
      </c>
      <c r="BF866" t="s">
        <v>1053</v>
      </c>
      <c r="BG866" t="s">
        <v>1512</v>
      </c>
      <c r="BH866" t="s">
        <v>1064</v>
      </c>
      <c r="BI866" t="s">
        <v>1053</v>
      </c>
      <c r="BJ866" t="s">
        <v>1053</v>
      </c>
      <c r="BK866" t="s">
        <v>1053</v>
      </c>
      <c r="BL866" t="s">
        <v>1053</v>
      </c>
      <c r="BM866" t="s">
        <v>1323</v>
      </c>
      <c r="BN866" t="s">
        <v>1066</v>
      </c>
      <c r="BO866" t="s">
        <v>1053</v>
      </c>
      <c r="BP866" t="s">
        <v>1515</v>
      </c>
      <c r="BQ866" t="s">
        <v>1067</v>
      </c>
      <c r="BR866" t="s">
        <v>1053</v>
      </c>
      <c r="BS866" t="s">
        <v>1053</v>
      </c>
      <c r="BT866" t="s">
        <v>1053</v>
      </c>
      <c r="BU866" t="s">
        <v>1053</v>
      </c>
      <c r="BV866" t="s">
        <v>1068</v>
      </c>
      <c r="BW866" t="s">
        <v>1069</v>
      </c>
      <c r="BX866" t="str">
        <f>"SMTWTFS 0000-2359"</f>
        <v>SMTWTFS 0000-2359</v>
      </c>
      <c r="BY866" t="str">
        <f>""</f>
        <v/>
      </c>
      <c r="BZ866" t="str">
        <f>""</f>
        <v/>
      </c>
      <c r="CA866" t="str">
        <f>"S-----S 0700-2100; -MTWTF- 0530-2100"</f>
        <v>S-----S 0700-2100; -MTWTF- 0530-2100</v>
      </c>
      <c r="CB866" t="str">
        <f>""</f>
        <v/>
      </c>
      <c r="CC866" t="str">
        <f>"SMTWTFS 0000-2359"</f>
        <v>SMTWTFS 0000-2359</v>
      </c>
      <c r="CD866" t="str">
        <f>""</f>
        <v/>
      </c>
      <c r="CE866" t="str">
        <f>""</f>
        <v/>
      </c>
      <c r="CF866" t="str">
        <f>""</f>
        <v/>
      </c>
      <c r="CG866" t="str">
        <f>""</f>
        <v/>
      </c>
      <c r="CH866" t="str">
        <f>"SMTWTFS 0000-2359"</f>
        <v>SMTWTFS 0000-2359</v>
      </c>
    </row>
    <row r="867" spans="1:86" x14ac:dyDescent="0.25">
      <c r="A867" t="s">
        <v>4168</v>
      </c>
      <c r="B867" t="s">
        <v>4169</v>
      </c>
      <c r="C867" t="s">
        <v>1992</v>
      </c>
      <c r="D867" t="s">
        <v>2028</v>
      </c>
      <c r="E867" t="s">
        <v>4170</v>
      </c>
      <c r="H867" t="s">
        <v>4171</v>
      </c>
      <c r="I867" t="s">
        <v>3629</v>
      </c>
      <c r="J867" t="str">
        <f>"81082"</f>
        <v>81082</v>
      </c>
      <c r="K867" t="s">
        <v>1998</v>
      </c>
      <c r="L867" t="s">
        <v>2045</v>
      </c>
      <c r="M867" t="s">
        <v>2063</v>
      </c>
      <c r="N867" t="s">
        <v>1992</v>
      </c>
      <c r="O867" t="s">
        <v>1992</v>
      </c>
      <c r="P867" t="s">
        <v>1992</v>
      </c>
      <c r="Q867" t="s">
        <v>1992</v>
      </c>
      <c r="R867" t="s">
        <v>1992</v>
      </c>
      <c r="S867" t="s">
        <v>1992</v>
      </c>
      <c r="T867" t="s">
        <v>1992</v>
      </c>
      <c r="U867" t="s">
        <v>1992</v>
      </c>
      <c r="V867" t="s">
        <v>1991</v>
      </c>
      <c r="W867" t="s">
        <v>1991</v>
      </c>
      <c r="X867" t="s">
        <v>1992</v>
      </c>
      <c r="Y867" t="s">
        <v>1992</v>
      </c>
      <c r="Z867" t="s">
        <v>1992</v>
      </c>
      <c r="AF867" t="s">
        <v>2048</v>
      </c>
      <c r="AG867" t="s">
        <v>1991</v>
      </c>
      <c r="AH867">
        <v>30</v>
      </c>
      <c r="AI867">
        <v>30</v>
      </c>
      <c r="AJ867" t="s">
        <v>4172</v>
      </c>
      <c r="AK867">
        <v>5988</v>
      </c>
      <c r="AL867">
        <v>9663</v>
      </c>
      <c r="AN867" t="s">
        <v>3560</v>
      </c>
      <c r="BF867" t="s">
        <v>1053</v>
      </c>
      <c r="BG867" t="s">
        <v>2019</v>
      </c>
      <c r="BH867" t="s">
        <v>2053</v>
      </c>
      <c r="BI867" t="s">
        <v>1053</v>
      </c>
      <c r="BO867" t="s">
        <v>1053</v>
      </c>
      <c r="BP867" t="s">
        <v>2054</v>
      </c>
      <c r="BQ867" t="s">
        <v>2055</v>
      </c>
      <c r="BR867" t="s">
        <v>1053</v>
      </c>
      <c r="BS867" t="s">
        <v>1053</v>
      </c>
      <c r="BV867" t="s">
        <v>2056</v>
      </c>
      <c r="BX867" t="str">
        <f>"SMTWTFS 0850-1901"</f>
        <v>SMTWTFS 0850-1901</v>
      </c>
      <c r="BY867" t="str">
        <f>""</f>
        <v/>
      </c>
      <c r="BZ867" t="str">
        <f>""</f>
        <v/>
      </c>
      <c r="CA867" t="str">
        <f>""</f>
        <v/>
      </c>
      <c r="CB867" t="str">
        <f>""</f>
        <v/>
      </c>
      <c r="CC867" t="str">
        <f>""</f>
        <v/>
      </c>
      <c r="CD867" t="str">
        <f>""</f>
        <v/>
      </c>
      <c r="CE867" t="str">
        <f>""</f>
        <v/>
      </c>
      <c r="CF867" t="str">
        <f>""</f>
        <v/>
      </c>
      <c r="CG867" t="str">
        <f>""</f>
        <v/>
      </c>
      <c r="CH867" t="str">
        <f>""</f>
        <v/>
      </c>
    </row>
    <row r="868" spans="1:86" x14ac:dyDescent="0.25">
      <c r="A868" t="s">
        <v>4173</v>
      </c>
      <c r="B868" t="s">
        <v>4174</v>
      </c>
      <c r="C868" t="s">
        <v>1992</v>
      </c>
      <c r="D868" t="s">
        <v>2028</v>
      </c>
      <c r="E868" t="s">
        <v>4175</v>
      </c>
      <c r="F868" t="s">
        <v>4176</v>
      </c>
      <c r="G868" t="s">
        <v>4177</v>
      </c>
      <c r="H868" t="s">
        <v>4178</v>
      </c>
      <c r="I868" t="s">
        <v>2061</v>
      </c>
      <c r="J868" t="str">
        <f>"95316"</f>
        <v>95316</v>
      </c>
      <c r="K868" t="s">
        <v>1998</v>
      </c>
      <c r="L868" t="s">
        <v>2062</v>
      </c>
      <c r="M868" t="s">
        <v>2063</v>
      </c>
      <c r="N868" t="s">
        <v>1992</v>
      </c>
      <c r="O868" t="s">
        <v>1992</v>
      </c>
      <c r="P868" t="s">
        <v>1992</v>
      </c>
      <c r="Q868" t="s">
        <v>1992</v>
      </c>
      <c r="R868" t="s">
        <v>1992</v>
      </c>
      <c r="S868" t="s">
        <v>1992</v>
      </c>
      <c r="T868" t="s">
        <v>1992</v>
      </c>
      <c r="U868" t="s">
        <v>1992</v>
      </c>
      <c r="V868" t="s">
        <v>1991</v>
      </c>
      <c r="W868" t="s">
        <v>1991</v>
      </c>
      <c r="X868" t="s">
        <v>1992</v>
      </c>
      <c r="Y868" t="s">
        <v>1992</v>
      </c>
      <c r="Z868" t="s">
        <v>1992</v>
      </c>
      <c r="AA868" t="s">
        <v>1992</v>
      </c>
      <c r="AF868" t="s">
        <v>2064</v>
      </c>
      <c r="AG868" t="s">
        <v>1991</v>
      </c>
      <c r="AH868">
        <v>30</v>
      </c>
      <c r="AI868">
        <v>30</v>
      </c>
      <c r="AJ868" t="s">
        <v>4179</v>
      </c>
      <c r="AK868">
        <v>123</v>
      </c>
      <c r="AL868">
        <v>39000</v>
      </c>
      <c r="AM868" t="s">
        <v>2298</v>
      </c>
      <c r="AN868" t="s">
        <v>2066</v>
      </c>
      <c r="AO868" t="s">
        <v>2063</v>
      </c>
      <c r="BF868" t="s">
        <v>1053</v>
      </c>
      <c r="BG868" t="s">
        <v>2067</v>
      </c>
      <c r="BH868" t="s">
        <v>3252</v>
      </c>
      <c r="BI868" t="s">
        <v>1053</v>
      </c>
      <c r="BJ868" t="s">
        <v>2069</v>
      </c>
      <c r="BK868" t="s">
        <v>1053</v>
      </c>
      <c r="BL868" t="s">
        <v>2069</v>
      </c>
      <c r="BM868" t="s">
        <v>2070</v>
      </c>
      <c r="BN868" t="s">
        <v>2071</v>
      </c>
      <c r="BO868" t="s">
        <v>1053</v>
      </c>
      <c r="BP868" t="s">
        <v>986</v>
      </c>
      <c r="BQ868" t="s">
        <v>2073</v>
      </c>
      <c r="BR868" t="s">
        <v>1053</v>
      </c>
      <c r="BS868" t="s">
        <v>1053</v>
      </c>
      <c r="BT868" t="s">
        <v>1053</v>
      </c>
      <c r="BU868" t="s">
        <v>1053</v>
      </c>
      <c r="BV868" t="s">
        <v>2074</v>
      </c>
      <c r="BX868" t="str">
        <f>""</f>
        <v/>
      </c>
      <c r="BY868" t="str">
        <f>""</f>
        <v/>
      </c>
      <c r="BZ868" t="str">
        <f>""</f>
        <v/>
      </c>
      <c r="CA868" t="str">
        <f>""</f>
        <v/>
      </c>
      <c r="CB868" t="str">
        <f>""</f>
        <v/>
      </c>
      <c r="CC868" t="str">
        <f>""</f>
        <v/>
      </c>
      <c r="CD868" t="str">
        <f>""</f>
        <v/>
      </c>
      <c r="CE868" t="str">
        <f>""</f>
        <v/>
      </c>
      <c r="CF868" t="str">
        <f>""</f>
        <v/>
      </c>
      <c r="CG868" t="str">
        <f>""</f>
        <v/>
      </c>
      <c r="CH868" t="str">
        <f>"SMTWTFS 0001-2359"</f>
        <v>SMTWTFS 0001-2359</v>
      </c>
    </row>
    <row r="869" spans="1:86" x14ac:dyDescent="0.25">
      <c r="A869" t="s">
        <v>4180</v>
      </c>
      <c r="B869" t="s">
        <v>4181</v>
      </c>
      <c r="C869" t="s">
        <v>1992</v>
      </c>
      <c r="D869" t="s">
        <v>2010</v>
      </c>
      <c r="E869" t="s">
        <v>4182</v>
      </c>
      <c r="H869" t="s">
        <v>4183</v>
      </c>
      <c r="I869" t="s">
        <v>2061</v>
      </c>
      <c r="J869" t="str">
        <f>"96161-0329"</f>
        <v>96161-0329</v>
      </c>
      <c r="K869" t="s">
        <v>1998</v>
      </c>
      <c r="L869" t="s">
        <v>2062</v>
      </c>
      <c r="M869" t="s">
        <v>2063</v>
      </c>
      <c r="N869" t="s">
        <v>1992</v>
      </c>
      <c r="O869" t="s">
        <v>1992</v>
      </c>
      <c r="P869" t="s">
        <v>1992</v>
      </c>
      <c r="Q869" t="s">
        <v>1992</v>
      </c>
      <c r="R869" t="s">
        <v>1992</v>
      </c>
      <c r="S869" t="s">
        <v>1992</v>
      </c>
      <c r="T869" t="s">
        <v>1992</v>
      </c>
      <c r="U869" t="s">
        <v>1992</v>
      </c>
      <c r="V869" t="s">
        <v>1991</v>
      </c>
      <c r="W869" t="s">
        <v>1991</v>
      </c>
      <c r="X869" t="s">
        <v>1992</v>
      </c>
      <c r="Y869" t="s">
        <v>1991</v>
      </c>
      <c r="Z869" t="s">
        <v>1992</v>
      </c>
      <c r="AA869" t="s">
        <v>1992</v>
      </c>
      <c r="AF869" t="s">
        <v>2064</v>
      </c>
      <c r="AG869" t="s">
        <v>1991</v>
      </c>
      <c r="AH869">
        <v>30</v>
      </c>
      <c r="AI869">
        <v>30</v>
      </c>
      <c r="AJ869" t="s">
        <v>4184</v>
      </c>
      <c r="AK869">
        <v>5825</v>
      </c>
      <c r="AL869">
        <v>2389</v>
      </c>
      <c r="AM869" t="s">
        <v>4185</v>
      </c>
      <c r="AN869" t="s">
        <v>2066</v>
      </c>
      <c r="AO869" t="s">
        <v>2063</v>
      </c>
      <c r="BF869" t="s">
        <v>1053</v>
      </c>
      <c r="BG869" t="s">
        <v>2067</v>
      </c>
      <c r="BH869" t="s">
        <v>348</v>
      </c>
      <c r="BI869" t="s">
        <v>1053</v>
      </c>
      <c r="BM869" t="s">
        <v>3653</v>
      </c>
      <c r="BN869" t="s">
        <v>3654</v>
      </c>
      <c r="BO869" t="s">
        <v>1053</v>
      </c>
      <c r="BP869" t="s">
        <v>3655</v>
      </c>
      <c r="BQ869" t="s">
        <v>2073</v>
      </c>
      <c r="BR869" t="s">
        <v>1053</v>
      </c>
      <c r="BS869" t="s">
        <v>1053</v>
      </c>
      <c r="BX869" t="str">
        <f>"S-----S 0900-1600; -MTWTF- 0900-1700"</f>
        <v>S-----S 0900-1600; -MTWTF- 0900-1700</v>
      </c>
      <c r="BY869" t="str">
        <f>""</f>
        <v/>
      </c>
      <c r="BZ869" t="str">
        <f>""</f>
        <v/>
      </c>
      <c r="CA869" t="str">
        <f>""</f>
        <v/>
      </c>
      <c r="CB869" t="str">
        <f>""</f>
        <v/>
      </c>
      <c r="CC869" t="str">
        <f>""</f>
        <v/>
      </c>
      <c r="CD869" t="str">
        <f>""</f>
        <v/>
      </c>
      <c r="CE869" t="str">
        <f>""</f>
        <v/>
      </c>
      <c r="CF869" t="str">
        <f>""</f>
        <v/>
      </c>
      <c r="CG869" t="str">
        <f>""</f>
        <v/>
      </c>
      <c r="CH869" t="str">
        <f>""</f>
        <v/>
      </c>
    </row>
    <row r="870" spans="1:86" x14ac:dyDescent="0.25">
      <c r="A870" t="s">
        <v>4186</v>
      </c>
      <c r="B870" t="s">
        <v>4187</v>
      </c>
      <c r="C870" t="s">
        <v>1992</v>
      </c>
      <c r="D870" t="s">
        <v>1993</v>
      </c>
      <c r="E870" t="s">
        <v>4188</v>
      </c>
      <c r="H870" t="s">
        <v>4189</v>
      </c>
      <c r="I870" t="s">
        <v>2352</v>
      </c>
      <c r="J870" t="str">
        <f>"49684-2215"</f>
        <v>49684-2215</v>
      </c>
      <c r="K870" t="s">
        <v>1998</v>
      </c>
      <c r="L870" t="s">
        <v>1999</v>
      </c>
      <c r="M870" t="s">
        <v>4190</v>
      </c>
      <c r="N870" t="s">
        <v>1992</v>
      </c>
      <c r="O870" t="s">
        <v>1992</v>
      </c>
      <c r="P870" t="s">
        <v>1992</v>
      </c>
      <c r="Q870" t="s">
        <v>1992</v>
      </c>
      <c r="R870" t="s">
        <v>1992</v>
      </c>
      <c r="S870" t="s">
        <v>1992</v>
      </c>
      <c r="T870" t="s">
        <v>1992</v>
      </c>
      <c r="U870" t="s">
        <v>1992</v>
      </c>
      <c r="V870" t="s">
        <v>1991</v>
      </c>
      <c r="W870" t="s">
        <v>1992</v>
      </c>
      <c r="X870" t="s">
        <v>1992</v>
      </c>
      <c r="Y870" t="s">
        <v>1991</v>
      </c>
      <c r="Z870" t="s">
        <v>1992</v>
      </c>
      <c r="AF870" t="s">
        <v>2016</v>
      </c>
      <c r="AG870" t="s">
        <v>1991</v>
      </c>
      <c r="AH870">
        <v>30</v>
      </c>
      <c r="AI870">
        <v>30</v>
      </c>
      <c r="AJ870" t="s">
        <v>4191</v>
      </c>
      <c r="AK870">
        <v>591</v>
      </c>
      <c r="AL870">
        <v>15800</v>
      </c>
      <c r="AM870" t="s">
        <v>4192</v>
      </c>
      <c r="AN870" t="s">
        <v>445</v>
      </c>
      <c r="AO870" t="s">
        <v>2311</v>
      </c>
      <c r="BF870" t="s">
        <v>1053</v>
      </c>
      <c r="BG870" t="s">
        <v>643</v>
      </c>
      <c r="BH870" t="s">
        <v>644</v>
      </c>
      <c r="BI870" t="s">
        <v>1053</v>
      </c>
      <c r="BK870" t="s">
        <v>1053</v>
      </c>
      <c r="BM870" t="s">
        <v>2313</v>
      </c>
      <c r="BN870" t="s">
        <v>2314</v>
      </c>
      <c r="BO870" t="s">
        <v>1053</v>
      </c>
      <c r="BP870" t="s">
        <v>2356</v>
      </c>
      <c r="BQ870" t="s">
        <v>2316</v>
      </c>
      <c r="BR870" t="s">
        <v>1053</v>
      </c>
      <c r="BT870" t="s">
        <v>1053</v>
      </c>
      <c r="BX870" t="str">
        <f>""</f>
        <v/>
      </c>
      <c r="BY870" t="str">
        <f>""</f>
        <v/>
      </c>
      <c r="BZ870" t="str">
        <f>""</f>
        <v/>
      </c>
      <c r="CA870" t="str">
        <f>""</f>
        <v/>
      </c>
      <c r="CB870" t="str">
        <f>""</f>
        <v/>
      </c>
      <c r="CC870" t="str">
        <f>""</f>
        <v/>
      </c>
      <c r="CD870" t="str">
        <f>""</f>
        <v/>
      </c>
      <c r="CE870" t="str">
        <f>""</f>
        <v/>
      </c>
      <c r="CF870" t="str">
        <f>""</f>
        <v/>
      </c>
      <c r="CG870" t="str">
        <f>""</f>
        <v/>
      </c>
      <c r="CH870" t="str">
        <f>""</f>
        <v/>
      </c>
    </row>
    <row r="871" spans="1:86" x14ac:dyDescent="0.25">
      <c r="A871" t="s">
        <v>4193</v>
      </c>
      <c r="B871" t="s">
        <v>4194</v>
      </c>
      <c r="C871" t="s">
        <v>1992</v>
      </c>
      <c r="D871" t="s">
        <v>1993</v>
      </c>
      <c r="E871" t="s">
        <v>4195</v>
      </c>
      <c r="F871" t="s">
        <v>4196</v>
      </c>
      <c r="H871" t="s">
        <v>4197</v>
      </c>
      <c r="I871" t="s">
        <v>586</v>
      </c>
      <c r="J871" t="str">
        <f>"86023"</f>
        <v>86023</v>
      </c>
      <c r="K871" t="s">
        <v>1998</v>
      </c>
      <c r="L871" t="s">
        <v>2045</v>
      </c>
      <c r="M871" t="s">
        <v>2063</v>
      </c>
      <c r="N871" t="s">
        <v>1992</v>
      </c>
      <c r="O871" t="s">
        <v>1992</v>
      </c>
      <c r="P871" t="s">
        <v>1992</v>
      </c>
      <c r="Q871" t="s">
        <v>1992</v>
      </c>
      <c r="R871" t="s">
        <v>1992</v>
      </c>
      <c r="S871" t="s">
        <v>1992</v>
      </c>
      <c r="T871" t="s">
        <v>1992</v>
      </c>
      <c r="U871" t="s">
        <v>1992</v>
      </c>
      <c r="V871" t="s">
        <v>1991</v>
      </c>
      <c r="W871" t="s">
        <v>1992</v>
      </c>
      <c r="X871" t="s">
        <v>1992</v>
      </c>
      <c r="Y871" t="s">
        <v>1992</v>
      </c>
      <c r="Z871" t="s">
        <v>1991</v>
      </c>
      <c r="AF871" t="s">
        <v>2048</v>
      </c>
      <c r="AG871" t="s">
        <v>1992</v>
      </c>
      <c r="AH871">
        <v>30</v>
      </c>
      <c r="AI871">
        <v>30</v>
      </c>
      <c r="AJ871" t="s">
        <v>4198</v>
      </c>
      <c r="AK871">
        <v>6594</v>
      </c>
      <c r="AN871" t="s">
        <v>4837</v>
      </c>
      <c r="AO871" t="s">
        <v>2063</v>
      </c>
      <c r="BF871" t="s">
        <v>1053</v>
      </c>
      <c r="BG871" t="s">
        <v>4199</v>
      </c>
      <c r="BH871" t="s">
        <v>2383</v>
      </c>
      <c r="BI871" t="s">
        <v>1053</v>
      </c>
      <c r="BK871" t="s">
        <v>1053</v>
      </c>
      <c r="BM871" t="s">
        <v>4200</v>
      </c>
      <c r="BN871" t="s">
        <v>2100</v>
      </c>
      <c r="BO871" t="s">
        <v>1053</v>
      </c>
      <c r="BP871" t="s">
        <v>986</v>
      </c>
      <c r="BQ871" t="s">
        <v>2055</v>
      </c>
      <c r="BR871" t="s">
        <v>1053</v>
      </c>
      <c r="BS871" t="s">
        <v>1053</v>
      </c>
      <c r="BV871" t="s">
        <v>2056</v>
      </c>
      <c r="BX871" t="str">
        <f>""</f>
        <v/>
      </c>
      <c r="BY871" t="str">
        <f>""</f>
        <v/>
      </c>
      <c r="BZ871" t="str">
        <f>""</f>
        <v/>
      </c>
      <c r="CA871" t="str">
        <f>""</f>
        <v/>
      </c>
      <c r="CB871" t="str">
        <f>""</f>
        <v/>
      </c>
      <c r="CC871" t="str">
        <f>""</f>
        <v/>
      </c>
      <c r="CD871" t="str">
        <f>""</f>
        <v/>
      </c>
      <c r="CE871" t="str">
        <f>""</f>
        <v/>
      </c>
      <c r="CF871" t="str">
        <f>""</f>
        <v/>
      </c>
      <c r="CG871" t="str">
        <f>""</f>
        <v/>
      </c>
      <c r="CH871" t="str">
        <f>""</f>
        <v/>
      </c>
    </row>
    <row r="872" spans="1:86" x14ac:dyDescent="0.25">
      <c r="A872" t="s">
        <v>4201</v>
      </c>
      <c r="B872" t="s">
        <v>4202</v>
      </c>
      <c r="C872" t="s">
        <v>1992</v>
      </c>
      <c r="D872" t="s">
        <v>2028</v>
      </c>
      <c r="E872" t="s">
        <v>4203</v>
      </c>
      <c r="F872" t="s">
        <v>4204</v>
      </c>
      <c r="H872" t="s">
        <v>4205</v>
      </c>
      <c r="I872" t="s">
        <v>576</v>
      </c>
      <c r="J872" t="str">
        <f>"98188"</f>
        <v>98188</v>
      </c>
      <c r="K872" t="s">
        <v>1998</v>
      </c>
      <c r="L872" t="s">
        <v>231</v>
      </c>
      <c r="M872" t="s">
        <v>2000</v>
      </c>
      <c r="N872" t="s">
        <v>1992</v>
      </c>
      <c r="O872" t="s">
        <v>1992</v>
      </c>
      <c r="P872" t="s">
        <v>1992</v>
      </c>
      <c r="Q872" t="s">
        <v>1992</v>
      </c>
      <c r="R872" t="s">
        <v>1992</v>
      </c>
      <c r="S872" t="s">
        <v>1992</v>
      </c>
      <c r="T872" t="s">
        <v>1992</v>
      </c>
      <c r="U872" t="s">
        <v>1992</v>
      </c>
      <c r="V872" t="s">
        <v>1991</v>
      </c>
      <c r="W872" t="s">
        <v>1991</v>
      </c>
      <c r="X872" t="s">
        <v>1991</v>
      </c>
      <c r="Y872" t="s">
        <v>1992</v>
      </c>
      <c r="Z872" t="s">
        <v>1992</v>
      </c>
      <c r="AF872" t="s">
        <v>2064</v>
      </c>
      <c r="AG872" t="s">
        <v>1991</v>
      </c>
      <c r="AH872">
        <v>30</v>
      </c>
      <c r="AI872">
        <v>30</v>
      </c>
      <c r="AJ872" t="s">
        <v>4206</v>
      </c>
      <c r="AK872">
        <v>29</v>
      </c>
      <c r="AL872">
        <v>14480</v>
      </c>
      <c r="AM872" t="s">
        <v>4207</v>
      </c>
      <c r="BF872" t="s">
        <v>1053</v>
      </c>
      <c r="BG872" t="s">
        <v>2067</v>
      </c>
      <c r="BH872" t="s">
        <v>4208</v>
      </c>
      <c r="BI872" t="s">
        <v>1053</v>
      </c>
      <c r="BJ872" t="s">
        <v>1053</v>
      </c>
      <c r="BK872" t="s">
        <v>1053</v>
      </c>
      <c r="BL872" t="s">
        <v>1053</v>
      </c>
      <c r="BM872" t="s">
        <v>237</v>
      </c>
      <c r="BN872" t="s">
        <v>238</v>
      </c>
      <c r="BO872" t="s">
        <v>1053</v>
      </c>
      <c r="BP872" t="s">
        <v>653</v>
      </c>
      <c r="BQ872" t="s">
        <v>240</v>
      </c>
      <c r="BR872" t="s">
        <v>1053</v>
      </c>
      <c r="BS872" t="s">
        <v>1053</v>
      </c>
      <c r="BT872" t="s">
        <v>1053</v>
      </c>
      <c r="BU872" t="s">
        <v>1053</v>
      </c>
      <c r="BV872" t="s">
        <v>241</v>
      </c>
      <c r="BW872" t="s">
        <v>242</v>
      </c>
      <c r="BX872" t="str">
        <f>"SMTWTFS 0000-2359"</f>
        <v>SMTWTFS 0000-2359</v>
      </c>
      <c r="BY872" t="str">
        <f>""</f>
        <v/>
      </c>
      <c r="BZ872" t="str">
        <f>""</f>
        <v/>
      </c>
      <c r="CA872" t="str">
        <f>""</f>
        <v/>
      </c>
      <c r="CB872" t="str">
        <f>""</f>
        <v/>
      </c>
      <c r="CC872" t="str">
        <f>""</f>
        <v/>
      </c>
      <c r="CD872" t="str">
        <f>""</f>
        <v/>
      </c>
      <c r="CE872" t="str">
        <f>""</f>
        <v/>
      </c>
      <c r="CF872" t="str">
        <f>""</f>
        <v/>
      </c>
      <c r="CG872" t="str">
        <f>""</f>
        <v/>
      </c>
      <c r="CH872" t="str">
        <f>""</f>
        <v/>
      </c>
    </row>
    <row r="873" spans="1:86" x14ac:dyDescent="0.25">
      <c r="A873" t="s">
        <v>4209</v>
      </c>
      <c r="B873" t="s">
        <v>4210</v>
      </c>
      <c r="C873" t="s">
        <v>1991</v>
      </c>
      <c r="D873" t="s">
        <v>2010</v>
      </c>
      <c r="E873" t="s">
        <v>4211</v>
      </c>
      <c r="H873" t="s">
        <v>4212</v>
      </c>
      <c r="I873" t="s">
        <v>586</v>
      </c>
      <c r="J873" t="str">
        <f>"85701-1899"</f>
        <v>85701-1899</v>
      </c>
      <c r="K873" t="s">
        <v>1998</v>
      </c>
      <c r="L873" t="s">
        <v>2045</v>
      </c>
      <c r="M873" t="s">
        <v>4213</v>
      </c>
      <c r="N873" t="s">
        <v>1991</v>
      </c>
      <c r="O873" t="s">
        <v>1991</v>
      </c>
      <c r="P873" t="s">
        <v>1992</v>
      </c>
      <c r="Q873" t="s">
        <v>1991</v>
      </c>
      <c r="R873" t="s">
        <v>1991</v>
      </c>
      <c r="S873" t="s">
        <v>1992</v>
      </c>
      <c r="T873" t="s">
        <v>1992</v>
      </c>
      <c r="U873" t="s">
        <v>1992</v>
      </c>
      <c r="V873" t="s">
        <v>1991</v>
      </c>
      <c r="W873" t="s">
        <v>1991</v>
      </c>
      <c r="X873" t="s">
        <v>1992</v>
      </c>
      <c r="Y873" t="s">
        <v>1992</v>
      </c>
      <c r="Z873" t="s">
        <v>1992</v>
      </c>
      <c r="AA873" t="s">
        <v>1992</v>
      </c>
      <c r="AF873" t="s">
        <v>2048</v>
      </c>
      <c r="AG873" t="s">
        <v>1992</v>
      </c>
      <c r="AH873">
        <v>60</v>
      </c>
      <c r="AI873">
        <v>30</v>
      </c>
      <c r="AJ873" t="s">
        <v>4214</v>
      </c>
      <c r="AK873">
        <v>2394</v>
      </c>
      <c r="AL873">
        <v>541132</v>
      </c>
      <c r="AN873" t="s">
        <v>1053</v>
      </c>
      <c r="AO873" t="s">
        <v>1053</v>
      </c>
      <c r="AQ873" t="s">
        <v>1053</v>
      </c>
      <c r="AS873" t="s">
        <v>4209</v>
      </c>
      <c r="AT873" t="s">
        <v>4215</v>
      </c>
      <c r="BF873" t="s">
        <v>1053</v>
      </c>
      <c r="BG873" t="s">
        <v>2019</v>
      </c>
      <c r="BH873" t="s">
        <v>2053</v>
      </c>
      <c r="BI873" t="s">
        <v>1053</v>
      </c>
      <c r="BO873" t="s">
        <v>1053</v>
      </c>
      <c r="BP873" t="s">
        <v>2101</v>
      </c>
      <c r="BQ873" t="s">
        <v>2055</v>
      </c>
      <c r="BR873" t="s">
        <v>1053</v>
      </c>
      <c r="BS873" t="s">
        <v>1053</v>
      </c>
      <c r="BV873" t="s">
        <v>2056</v>
      </c>
      <c r="BX873" t="str">
        <f>"SM--T-- 0615-2100; --TW--- 1345-2100; -----FS 0615-1330"</f>
        <v>SM--T-- 0615-2100; --TW--- 1345-2100; -----FS 0615-1330</v>
      </c>
      <c r="BY873" t="str">
        <f>"SM--T-- 0615-2100; --TW--- 1345-2100; -----FS 0615-1330"</f>
        <v>SM--T-- 0615-2100; --TW--- 1345-2100; -----FS 0615-1330</v>
      </c>
      <c r="BZ873" t="str">
        <f>"SM--T-- 0615-2100; --TW--- 1345-2100; -----FS 0615-1330"</f>
        <v>SM--T-- 0615-2100; --TW--- 1345-2100; -----FS 0615-1330</v>
      </c>
      <c r="CA873" t="str">
        <f>"SM--T-- 0615-2100; --TW--- 1345-2100; -----FS 0615-1330"</f>
        <v>SM--T-- 0615-2100; --TW--- 1345-2100; -----FS 0615-1330</v>
      </c>
      <c r="CB873" t="str">
        <f>""</f>
        <v/>
      </c>
      <c r="CC873" t="str">
        <f>"SM--T-- 0615-2100; --TW--- 1345-2100; -----FS 0615-1330"</f>
        <v>SM--T-- 0615-2100; --TW--- 1345-2100; -----FS 0615-1330</v>
      </c>
      <c r="CD873" t="str">
        <f>""</f>
        <v/>
      </c>
      <c r="CE873" t="str">
        <f>""</f>
        <v/>
      </c>
      <c r="CF873" t="str">
        <f>"SM--T-- 0615-2100; --TW--- 1345-2100; -----FS 0615-1330"</f>
        <v>SM--T-- 0615-2100; --TW--- 1345-2100; -----FS 0615-1330</v>
      </c>
      <c r="CG873" t="str">
        <f>""</f>
        <v/>
      </c>
      <c r="CH873" t="str">
        <f>"SMTWTFS 0000-2359"</f>
        <v>SMTWTFS 0000-2359</v>
      </c>
    </row>
    <row r="874" spans="1:86" x14ac:dyDescent="0.25">
      <c r="A874" t="s">
        <v>4216</v>
      </c>
      <c r="B874" t="s">
        <v>4217</v>
      </c>
      <c r="C874" t="s">
        <v>1992</v>
      </c>
      <c r="D874" t="s">
        <v>1993</v>
      </c>
      <c r="E874" t="s">
        <v>4218</v>
      </c>
      <c r="F874" t="s">
        <v>4219</v>
      </c>
      <c r="H874" t="s">
        <v>4220</v>
      </c>
      <c r="I874" t="s">
        <v>558</v>
      </c>
      <c r="J874" t="str">
        <f>"32159-9318"</f>
        <v>32159-9318</v>
      </c>
      <c r="K874" t="s">
        <v>1998</v>
      </c>
      <c r="L874" t="s">
        <v>408</v>
      </c>
      <c r="M874" t="s">
        <v>2000</v>
      </c>
      <c r="N874" t="s">
        <v>1992</v>
      </c>
      <c r="O874" t="s">
        <v>1992</v>
      </c>
      <c r="P874" t="s">
        <v>1992</v>
      </c>
      <c r="Q874" t="s">
        <v>1992</v>
      </c>
      <c r="R874" t="s">
        <v>1992</v>
      </c>
      <c r="S874" t="s">
        <v>1992</v>
      </c>
      <c r="T874" t="s">
        <v>1992</v>
      </c>
      <c r="U874" t="s">
        <v>1992</v>
      </c>
      <c r="V874" t="s">
        <v>1991</v>
      </c>
      <c r="Y874" t="s">
        <v>1991</v>
      </c>
      <c r="AF874" t="s">
        <v>2016</v>
      </c>
      <c r="AG874" t="s">
        <v>1991</v>
      </c>
      <c r="AH874">
        <v>15</v>
      </c>
      <c r="AI874">
        <v>15</v>
      </c>
      <c r="AJ874" t="s">
        <v>4221</v>
      </c>
      <c r="AK874">
        <v>70</v>
      </c>
      <c r="BX874" t="str">
        <f>""</f>
        <v/>
      </c>
      <c r="BY874" t="str">
        <f>""</f>
        <v/>
      </c>
      <c r="BZ874" t="str">
        <f>""</f>
        <v/>
      </c>
      <c r="CA874" t="str">
        <f>""</f>
        <v/>
      </c>
      <c r="CB874" t="str">
        <f>""</f>
        <v/>
      </c>
      <c r="CC874" t="str">
        <f>""</f>
        <v/>
      </c>
      <c r="CD874" t="str">
        <f>""</f>
        <v/>
      </c>
      <c r="CE874" t="str">
        <f>""</f>
        <v/>
      </c>
      <c r="CF874" t="str">
        <f>""</f>
        <v/>
      </c>
      <c r="CG874" t="str">
        <f>""</f>
        <v/>
      </c>
      <c r="CH874" t="str">
        <f>""</f>
        <v/>
      </c>
    </row>
    <row r="875" spans="1:86" x14ac:dyDescent="0.25">
      <c r="A875" t="s">
        <v>4222</v>
      </c>
      <c r="B875" t="s">
        <v>4223</v>
      </c>
      <c r="C875" t="s">
        <v>1992</v>
      </c>
      <c r="D875" t="s">
        <v>1993</v>
      </c>
      <c r="E875" t="s">
        <v>4224</v>
      </c>
      <c r="F875" t="s">
        <v>4225</v>
      </c>
      <c r="H875" t="s">
        <v>4226</v>
      </c>
      <c r="I875" t="s">
        <v>2352</v>
      </c>
      <c r="J875" t="str">
        <f>"48763"</f>
        <v>48763</v>
      </c>
      <c r="K875" t="s">
        <v>1998</v>
      </c>
      <c r="L875" t="s">
        <v>1999</v>
      </c>
      <c r="M875" t="s">
        <v>2000</v>
      </c>
      <c r="N875" t="s">
        <v>1992</v>
      </c>
      <c r="O875" t="s">
        <v>1992</v>
      </c>
      <c r="P875" t="s">
        <v>1992</v>
      </c>
      <c r="Q875" t="s">
        <v>1992</v>
      </c>
      <c r="R875" t="s">
        <v>1992</v>
      </c>
      <c r="S875" t="s">
        <v>1992</v>
      </c>
      <c r="T875" t="s">
        <v>1992</v>
      </c>
      <c r="U875" t="s">
        <v>1992</v>
      </c>
      <c r="V875" t="s">
        <v>1991</v>
      </c>
      <c r="Z875" t="s">
        <v>1991</v>
      </c>
      <c r="AF875" t="s">
        <v>2016</v>
      </c>
      <c r="AG875" t="s">
        <v>1991</v>
      </c>
      <c r="AH875">
        <v>30</v>
      </c>
      <c r="AI875">
        <v>30</v>
      </c>
      <c r="AJ875" t="s">
        <v>4227</v>
      </c>
      <c r="AK875">
        <v>591</v>
      </c>
      <c r="BX875" t="str">
        <f>""</f>
        <v/>
      </c>
      <c r="BY875" t="str">
        <f>""</f>
        <v/>
      </c>
      <c r="BZ875" t="str">
        <f>""</f>
        <v/>
      </c>
      <c r="CA875" t="str">
        <f>""</f>
        <v/>
      </c>
      <c r="CB875" t="str">
        <f>""</f>
        <v/>
      </c>
      <c r="CC875" t="str">
        <f>""</f>
        <v/>
      </c>
      <c r="CD875" t="str">
        <f>""</f>
        <v/>
      </c>
      <c r="CE875" t="str">
        <f>""</f>
        <v/>
      </c>
      <c r="CF875" t="str">
        <f>""</f>
        <v/>
      </c>
      <c r="CG875" t="str">
        <f>""</f>
        <v/>
      </c>
      <c r="CH875" t="str">
        <f>""</f>
        <v/>
      </c>
    </row>
    <row r="876" spans="1:86" x14ac:dyDescent="0.25">
      <c r="A876" t="s">
        <v>383</v>
      </c>
      <c r="B876" t="s">
        <v>4228</v>
      </c>
      <c r="C876" t="s">
        <v>1991</v>
      </c>
      <c r="D876" t="s">
        <v>2010</v>
      </c>
      <c r="E876" t="s">
        <v>4229</v>
      </c>
      <c r="F876" t="s">
        <v>1095</v>
      </c>
      <c r="H876" t="s">
        <v>4230</v>
      </c>
      <c r="I876" t="s">
        <v>372</v>
      </c>
      <c r="J876" t="str">
        <f>"M5J 1E7"</f>
        <v>M5J 1E7</v>
      </c>
      <c r="K876" t="s">
        <v>373</v>
      </c>
      <c r="L876" t="s">
        <v>374</v>
      </c>
      <c r="M876" t="s">
        <v>375</v>
      </c>
      <c r="N876" t="s">
        <v>1991</v>
      </c>
      <c r="O876" t="s">
        <v>1992</v>
      </c>
      <c r="P876" t="s">
        <v>1992</v>
      </c>
      <c r="Q876" t="s">
        <v>1992</v>
      </c>
      <c r="R876" t="s">
        <v>1992</v>
      </c>
      <c r="S876" t="s">
        <v>1992</v>
      </c>
      <c r="T876" t="s">
        <v>1991</v>
      </c>
      <c r="U876" t="s">
        <v>1992</v>
      </c>
      <c r="V876" t="s">
        <v>1991</v>
      </c>
      <c r="W876" t="s">
        <v>1991</v>
      </c>
      <c r="X876" t="s">
        <v>1991</v>
      </c>
      <c r="Y876" t="s">
        <v>1992</v>
      </c>
      <c r="Z876" t="s">
        <v>1992</v>
      </c>
      <c r="AC876" t="s">
        <v>4231</v>
      </c>
      <c r="AD876" t="s">
        <v>4232</v>
      </c>
      <c r="AE876" t="s">
        <v>296</v>
      </c>
      <c r="AF876" t="s">
        <v>2016</v>
      </c>
      <c r="AG876" t="s">
        <v>1991</v>
      </c>
      <c r="AH876">
        <v>45</v>
      </c>
      <c r="AI876">
        <v>30</v>
      </c>
      <c r="AJ876" t="s">
        <v>4233</v>
      </c>
      <c r="AK876">
        <v>266</v>
      </c>
      <c r="AL876">
        <v>3000000</v>
      </c>
      <c r="AM876" t="s">
        <v>4234</v>
      </c>
      <c r="AN876" t="s">
        <v>1053</v>
      </c>
      <c r="AO876" t="s">
        <v>1053</v>
      </c>
      <c r="AP876" t="s">
        <v>2069</v>
      </c>
      <c r="AQ876" t="s">
        <v>1053</v>
      </c>
      <c r="AR876" t="s">
        <v>2069</v>
      </c>
      <c r="AS876" t="s">
        <v>383</v>
      </c>
      <c r="AT876" t="s">
        <v>4235</v>
      </c>
      <c r="AU876" t="s">
        <v>1053</v>
      </c>
      <c r="AV876" t="s">
        <v>1053</v>
      </c>
      <c r="AW876" t="s">
        <v>2069</v>
      </c>
      <c r="AX876" t="s">
        <v>1053</v>
      </c>
      <c r="AY876" t="s">
        <v>2069</v>
      </c>
      <c r="AZ876" t="s">
        <v>383</v>
      </c>
      <c r="BA876" t="s">
        <v>4235</v>
      </c>
      <c r="BB876" t="s">
        <v>1053</v>
      </c>
      <c r="BC876" t="s">
        <v>2069</v>
      </c>
      <c r="BD876" t="s">
        <v>1053</v>
      </c>
      <c r="BE876" t="s">
        <v>2069</v>
      </c>
      <c r="BF876" t="s">
        <v>1053</v>
      </c>
      <c r="BG876" t="s">
        <v>4236</v>
      </c>
      <c r="BH876" t="s">
        <v>4237</v>
      </c>
      <c r="BI876" t="s">
        <v>1053</v>
      </c>
      <c r="BJ876" t="s">
        <v>2069</v>
      </c>
      <c r="BK876" t="s">
        <v>1053</v>
      </c>
      <c r="BL876" t="s">
        <v>2069</v>
      </c>
      <c r="BM876" t="s">
        <v>383</v>
      </c>
      <c r="BN876" t="s">
        <v>4235</v>
      </c>
      <c r="BO876" t="s">
        <v>1053</v>
      </c>
      <c r="BP876" t="s">
        <v>4238</v>
      </c>
      <c r="BQ876" t="s">
        <v>4228</v>
      </c>
      <c r="BR876" t="s">
        <v>1053</v>
      </c>
      <c r="BS876" t="s">
        <v>2069</v>
      </c>
      <c r="BT876" t="s">
        <v>1053</v>
      </c>
      <c r="BU876" t="s">
        <v>2069</v>
      </c>
      <c r="BV876" t="s">
        <v>383</v>
      </c>
      <c r="BW876" t="s">
        <v>4235</v>
      </c>
      <c r="BX876" t="str">
        <f>"S------ 0000-0045 0630-2359; -MTWTFS 0000-0045 0530-2359"</f>
        <v>S------ 0000-0045 0630-2359; -MTWTFS 0000-0045 0530-2359</v>
      </c>
      <c r="BY876" t="str">
        <f>"SMTWTF- 0600-2300; ------S 0630-2300"</f>
        <v>SMTWTF- 0600-2300; ------S 0630-2300</v>
      </c>
      <c r="BZ876" t="str">
        <f>"S------ 0700-2330; -MTWTFS 0600-2330"</f>
        <v>S------ 0700-2330; -MTWTFS 0600-2330</v>
      </c>
      <c r="CA876" t="str">
        <f>"S------ 0700-1300; -MTWTF- 0600-1300; ------S 0615-1300"</f>
        <v>S------ 0700-1300; -MTWTF- 0600-1300; ------S 0615-1300</v>
      </c>
      <c r="CB876" t="str">
        <f>"S------ 0700-2200; -MTWTF- 0600-2200; ------S 0615-2200"</f>
        <v>S------ 0700-2200; -MTWTF- 0600-2200; ------S 0615-2200</v>
      </c>
      <c r="CC876" t="str">
        <f>""</f>
        <v/>
      </c>
      <c r="CD876" t="str">
        <f>""</f>
        <v/>
      </c>
      <c r="CE876" t="str">
        <f>"S------ 0700-1915; -M-W-F- 0600-1915; --T-T-- 0600-2200; ------S 0615-2200"</f>
        <v>S------ 0700-1915; -M-W-F- 0600-1915; --T-T-- 0600-2200; ------S 0615-2200</v>
      </c>
      <c r="CF876" t="str">
        <f>""</f>
        <v/>
      </c>
      <c r="CG876" t="str">
        <f>""</f>
        <v/>
      </c>
      <c r="CH876" t="str">
        <f>""</f>
        <v/>
      </c>
    </row>
    <row r="877" spans="1:86" x14ac:dyDescent="0.25">
      <c r="A877" t="s">
        <v>4239</v>
      </c>
      <c r="B877" t="s">
        <v>4240</v>
      </c>
      <c r="C877" t="s">
        <v>1991</v>
      </c>
      <c r="D877" t="s">
        <v>2010</v>
      </c>
      <c r="E877" t="s">
        <v>4241</v>
      </c>
      <c r="H877" t="s">
        <v>4242</v>
      </c>
      <c r="I877" t="s">
        <v>336</v>
      </c>
      <c r="J877" t="str">
        <f>"71854-5907"</f>
        <v>71854-5907</v>
      </c>
      <c r="K877" t="s">
        <v>1998</v>
      </c>
      <c r="L877" t="s">
        <v>2045</v>
      </c>
      <c r="M877" t="s">
        <v>4243</v>
      </c>
      <c r="N877" t="s">
        <v>1991</v>
      </c>
      <c r="O877" t="s">
        <v>1992</v>
      </c>
      <c r="P877" t="s">
        <v>1992</v>
      </c>
      <c r="Q877" t="s">
        <v>1991</v>
      </c>
      <c r="R877" t="s">
        <v>1992</v>
      </c>
      <c r="S877" t="s">
        <v>1992</v>
      </c>
      <c r="T877" t="s">
        <v>1992</v>
      </c>
      <c r="U877" t="s">
        <v>1991</v>
      </c>
      <c r="V877" t="s">
        <v>1991</v>
      </c>
      <c r="W877" t="s">
        <v>1991</v>
      </c>
      <c r="X877" t="s">
        <v>1992</v>
      </c>
      <c r="Y877" t="s">
        <v>1992</v>
      </c>
      <c r="Z877" t="s">
        <v>1992</v>
      </c>
      <c r="AA877" t="s">
        <v>1992</v>
      </c>
      <c r="AF877" t="s">
        <v>2001</v>
      </c>
      <c r="AG877" t="s">
        <v>1991</v>
      </c>
      <c r="AH877">
        <v>60</v>
      </c>
      <c r="AI877">
        <v>30</v>
      </c>
      <c r="AJ877" t="s">
        <v>4244</v>
      </c>
      <c r="AK877">
        <v>311</v>
      </c>
      <c r="AL877">
        <v>93000</v>
      </c>
      <c r="AN877" t="s">
        <v>1053</v>
      </c>
      <c r="AO877" t="s">
        <v>1053</v>
      </c>
      <c r="AQ877" t="s">
        <v>1053</v>
      </c>
      <c r="AS877" t="s">
        <v>4239</v>
      </c>
      <c r="AT877" t="s">
        <v>4245</v>
      </c>
      <c r="AU877" t="s">
        <v>1053</v>
      </c>
      <c r="AV877" t="s">
        <v>1053</v>
      </c>
      <c r="AX877" t="s">
        <v>1053</v>
      </c>
      <c r="AZ877" t="s">
        <v>4239</v>
      </c>
      <c r="BA877" t="s">
        <v>4245</v>
      </c>
      <c r="BB877" t="s">
        <v>1053</v>
      </c>
      <c r="BD877" t="s">
        <v>1053</v>
      </c>
      <c r="BF877" t="s">
        <v>1053</v>
      </c>
      <c r="BG877" t="s">
        <v>235</v>
      </c>
      <c r="BH877" t="s">
        <v>2098</v>
      </c>
      <c r="BI877" t="s">
        <v>1053</v>
      </c>
      <c r="BK877" t="s">
        <v>1053</v>
      </c>
      <c r="BM877" t="s">
        <v>2099</v>
      </c>
      <c r="BN877" t="s">
        <v>2100</v>
      </c>
      <c r="BO877" t="s">
        <v>1053</v>
      </c>
      <c r="BP877" t="s">
        <v>2101</v>
      </c>
      <c r="BQ877" t="s">
        <v>311</v>
      </c>
      <c r="BR877" t="s">
        <v>1053</v>
      </c>
      <c r="BS877" t="s">
        <v>1053</v>
      </c>
      <c r="BT877" t="s">
        <v>1053</v>
      </c>
      <c r="BU877" t="s">
        <v>1053</v>
      </c>
      <c r="BV877" t="s">
        <v>2056</v>
      </c>
      <c r="BX877" t="str">
        <f>"SM----S 0500-0800 1900-2200; --TWTF- 0500-0900 1900-2300"</f>
        <v>SM----S 0500-0800 1900-2200; --TWTF- 0500-0900 1900-2300</v>
      </c>
      <c r="BY877" t="str">
        <f>"SM----S 0500-0800 1900-2145; --TWTF- 0500-0900 1900-2245"</f>
        <v>SM----S 0500-0800 1900-2145; --TWTF- 0500-0900 1900-2245</v>
      </c>
      <c r="BZ877" t="str">
        <f>"SM----S 0500-0800 1900-2200; --TWTF- 0500-0900 1900-2300"</f>
        <v>SM----S 0500-0800 1900-2200; --TWTF- 0500-0900 1900-2300</v>
      </c>
      <c r="CA877" t="str">
        <f>"SM----S 0500-0800 1900-2145; --TWTF- 0500-0900 1900-2245"</f>
        <v>SM----S 0500-0800 1900-2145; --TWTF- 0500-0900 1900-2245</v>
      </c>
      <c r="CB877" t="str">
        <f>""</f>
        <v/>
      </c>
      <c r="CC877" t="str">
        <f>""</f>
        <v/>
      </c>
      <c r="CD877" t="str">
        <f>""</f>
        <v/>
      </c>
      <c r="CE877" t="str">
        <f>""</f>
        <v/>
      </c>
      <c r="CF877" t="str">
        <f>""</f>
        <v/>
      </c>
      <c r="CG877" t="str">
        <f>""</f>
        <v/>
      </c>
      <c r="CH877" t="str">
        <f>"SMTWTFS 0000-2359"</f>
        <v>SMTWTFS 0000-2359</v>
      </c>
    </row>
    <row r="878" spans="1:86" x14ac:dyDescent="0.25">
      <c r="A878" t="s">
        <v>4246</v>
      </c>
      <c r="B878" t="s">
        <v>4247</v>
      </c>
      <c r="C878" t="s">
        <v>1992</v>
      </c>
      <c r="D878" t="s">
        <v>2028</v>
      </c>
      <c r="E878" t="s">
        <v>4248</v>
      </c>
      <c r="H878" t="s">
        <v>4249</v>
      </c>
      <c r="I878" t="s">
        <v>2388</v>
      </c>
      <c r="J878" t="str">
        <f>"16686"</f>
        <v>16686</v>
      </c>
      <c r="K878" t="s">
        <v>1998</v>
      </c>
      <c r="L878" t="s">
        <v>2015</v>
      </c>
      <c r="M878" t="s">
        <v>2063</v>
      </c>
      <c r="N878" t="s">
        <v>1992</v>
      </c>
      <c r="O878" t="s">
        <v>1992</v>
      </c>
      <c r="P878" t="s">
        <v>1992</v>
      </c>
      <c r="Q878" t="s">
        <v>1992</v>
      </c>
      <c r="R878" t="s">
        <v>1992</v>
      </c>
      <c r="S878" t="s">
        <v>1992</v>
      </c>
      <c r="T878" t="s">
        <v>1992</v>
      </c>
      <c r="U878" t="s">
        <v>1992</v>
      </c>
      <c r="V878" t="s">
        <v>1991</v>
      </c>
      <c r="W878" t="s">
        <v>1991</v>
      </c>
      <c r="X878" t="s">
        <v>1991</v>
      </c>
      <c r="Y878" t="s">
        <v>1992</v>
      </c>
      <c r="Z878" t="s">
        <v>1992</v>
      </c>
      <c r="AF878" t="s">
        <v>2016</v>
      </c>
      <c r="AG878" t="s">
        <v>1991</v>
      </c>
      <c r="AH878">
        <v>30</v>
      </c>
      <c r="AI878">
        <v>30</v>
      </c>
      <c r="AJ878" t="s">
        <v>4250</v>
      </c>
      <c r="AK878">
        <v>912</v>
      </c>
      <c r="AL878">
        <v>7000</v>
      </c>
      <c r="AN878" t="s">
        <v>425</v>
      </c>
      <c r="AO878" t="s">
        <v>2063</v>
      </c>
      <c r="BF878" t="s">
        <v>1053</v>
      </c>
      <c r="BG878" t="s">
        <v>2393</v>
      </c>
      <c r="BH878" t="s">
        <v>2414</v>
      </c>
      <c r="BI878" t="s">
        <v>1053</v>
      </c>
      <c r="BJ878" t="s">
        <v>1053</v>
      </c>
      <c r="BK878" t="s">
        <v>1053</v>
      </c>
      <c r="BL878" t="s">
        <v>1053</v>
      </c>
      <c r="BM878" t="s">
        <v>2395</v>
      </c>
      <c r="BN878" t="s">
        <v>2396</v>
      </c>
      <c r="BO878" t="s">
        <v>1053</v>
      </c>
      <c r="BP878" t="s">
        <v>2397</v>
      </c>
      <c r="BQ878" t="s">
        <v>2398</v>
      </c>
      <c r="BR878" t="s">
        <v>1053</v>
      </c>
      <c r="BS878" t="s">
        <v>1053</v>
      </c>
      <c r="BT878" t="s">
        <v>1053</v>
      </c>
      <c r="BU878" t="s">
        <v>1053</v>
      </c>
      <c r="BV878" t="s">
        <v>2399</v>
      </c>
      <c r="BW878" t="s">
        <v>2400</v>
      </c>
      <c r="BX878" t="str">
        <f>""</f>
        <v/>
      </c>
      <c r="BY878" t="str">
        <f>""</f>
        <v/>
      </c>
      <c r="BZ878" t="str">
        <f>""</f>
        <v/>
      </c>
      <c r="CA878" t="str">
        <f>""</f>
        <v/>
      </c>
      <c r="CB878" t="str">
        <f>""</f>
        <v/>
      </c>
      <c r="CC878" t="str">
        <f>""</f>
        <v/>
      </c>
      <c r="CD878" t="str">
        <f>""</f>
        <v/>
      </c>
      <c r="CE878" t="str">
        <f>""</f>
        <v/>
      </c>
      <c r="CF878" t="str">
        <f>""</f>
        <v/>
      </c>
      <c r="CG878" t="str">
        <f>""</f>
        <v/>
      </c>
      <c r="CH878" t="str">
        <f>""</f>
        <v/>
      </c>
    </row>
    <row r="879" spans="1:86" x14ac:dyDescent="0.25">
      <c r="A879" t="s">
        <v>4251</v>
      </c>
      <c r="B879" t="s">
        <v>4252</v>
      </c>
      <c r="C879" t="s">
        <v>1991</v>
      </c>
      <c r="D879" t="s">
        <v>2010</v>
      </c>
      <c r="E879" t="s">
        <v>4253</v>
      </c>
      <c r="F879" t="s">
        <v>4254</v>
      </c>
      <c r="H879" t="s">
        <v>4255</v>
      </c>
      <c r="I879" t="s">
        <v>2321</v>
      </c>
      <c r="J879" t="str">
        <f>"13501"</f>
        <v>13501</v>
      </c>
      <c r="K879" t="s">
        <v>1998</v>
      </c>
      <c r="L879" t="s">
        <v>2033</v>
      </c>
      <c r="M879" t="s">
        <v>4256</v>
      </c>
      <c r="N879" t="s">
        <v>1991</v>
      </c>
      <c r="O879" t="s">
        <v>1991</v>
      </c>
      <c r="P879" t="s">
        <v>1992</v>
      </c>
      <c r="Q879" t="s">
        <v>1991</v>
      </c>
      <c r="R879" t="s">
        <v>1991</v>
      </c>
      <c r="S879" t="s">
        <v>1992</v>
      </c>
      <c r="T879" t="s">
        <v>1992</v>
      </c>
      <c r="U879" t="s">
        <v>1991</v>
      </c>
      <c r="V879" t="s">
        <v>1991</v>
      </c>
      <c r="W879" t="s">
        <v>1991</v>
      </c>
      <c r="X879" t="s">
        <v>1992</v>
      </c>
      <c r="Y879" t="s">
        <v>1992</v>
      </c>
      <c r="Z879" t="s">
        <v>1992</v>
      </c>
      <c r="AE879" t="s">
        <v>2047</v>
      </c>
      <c r="AF879" t="s">
        <v>2016</v>
      </c>
      <c r="AG879" t="s">
        <v>1991</v>
      </c>
      <c r="AH879">
        <v>60</v>
      </c>
      <c r="AI879">
        <v>30</v>
      </c>
      <c r="AJ879" t="s">
        <v>4257</v>
      </c>
      <c r="AK879">
        <v>418</v>
      </c>
      <c r="AL879">
        <v>63000</v>
      </c>
      <c r="AN879" t="s">
        <v>1053</v>
      </c>
      <c r="AO879" t="s">
        <v>1053</v>
      </c>
      <c r="AP879" t="s">
        <v>2069</v>
      </c>
      <c r="AQ879" t="s">
        <v>1053</v>
      </c>
      <c r="AR879" t="s">
        <v>2069</v>
      </c>
      <c r="AS879" t="s">
        <v>4251</v>
      </c>
      <c r="AT879" t="s">
        <v>4258</v>
      </c>
      <c r="AU879" t="s">
        <v>1053</v>
      </c>
      <c r="AV879" t="s">
        <v>1053</v>
      </c>
      <c r="AW879" t="s">
        <v>2069</v>
      </c>
      <c r="AX879" t="s">
        <v>1053</v>
      </c>
      <c r="AY879" t="s">
        <v>2069</v>
      </c>
      <c r="AZ879" t="s">
        <v>4251</v>
      </c>
      <c r="BA879" t="s">
        <v>4258</v>
      </c>
      <c r="BB879" t="s">
        <v>1053</v>
      </c>
      <c r="BC879" t="s">
        <v>2069</v>
      </c>
      <c r="BD879" t="s">
        <v>1053</v>
      </c>
      <c r="BE879" t="s">
        <v>2069</v>
      </c>
      <c r="BF879" t="s">
        <v>1053</v>
      </c>
      <c r="BG879" t="s">
        <v>2067</v>
      </c>
      <c r="BH879" t="s">
        <v>5355</v>
      </c>
      <c r="BI879" t="s">
        <v>1053</v>
      </c>
      <c r="BJ879" t="s">
        <v>2069</v>
      </c>
      <c r="BK879" t="s">
        <v>1053</v>
      </c>
      <c r="BL879" t="s">
        <v>2069</v>
      </c>
      <c r="BM879" t="s">
        <v>632</v>
      </c>
      <c r="BN879" t="s">
        <v>633</v>
      </c>
      <c r="BO879" t="s">
        <v>1053</v>
      </c>
      <c r="BP879" t="s">
        <v>634</v>
      </c>
      <c r="BQ879" t="s">
        <v>635</v>
      </c>
      <c r="BR879" t="s">
        <v>1053</v>
      </c>
      <c r="BS879" t="s">
        <v>2069</v>
      </c>
      <c r="BT879" t="s">
        <v>1053</v>
      </c>
      <c r="BU879" t="s">
        <v>2069</v>
      </c>
      <c r="BV879" t="s">
        <v>1444</v>
      </c>
      <c r="BW879" t="s">
        <v>4259</v>
      </c>
      <c r="BX879" t="str">
        <f>"SMTWTFS 0630-2300"</f>
        <v>SMTWTFS 0630-2300</v>
      </c>
      <c r="BY879" t="str">
        <f>"SMTWTFS 0645-2230"</f>
        <v>SMTWTFS 0645-2230</v>
      </c>
      <c r="BZ879" t="str">
        <f>"SMTWTFS 0645-2245"</f>
        <v>SMTWTFS 0645-2245</v>
      </c>
      <c r="CA879" t="str">
        <f>"SMTWTFS 0645-2245"</f>
        <v>SMTWTFS 0645-2245</v>
      </c>
      <c r="CB879" t="str">
        <f>""</f>
        <v/>
      </c>
      <c r="CC879" t="str">
        <f>"SMTWTFS 0630-2300"</f>
        <v>SMTWTFS 0630-2300</v>
      </c>
      <c r="CD879" t="str">
        <f>""</f>
        <v/>
      </c>
      <c r="CE879" t="str">
        <f>""</f>
        <v/>
      </c>
      <c r="CF879" t="str">
        <f>"SMTWTFS 0645-2230"</f>
        <v>SMTWTFS 0645-2230</v>
      </c>
      <c r="CG879" t="str">
        <f>""</f>
        <v/>
      </c>
      <c r="CH879" t="str">
        <f>""</f>
        <v/>
      </c>
    </row>
    <row r="880" spans="1:86" x14ac:dyDescent="0.25">
      <c r="A880" t="s">
        <v>4260</v>
      </c>
      <c r="B880" t="s">
        <v>4261</v>
      </c>
      <c r="C880" t="s">
        <v>1992</v>
      </c>
      <c r="D880" t="s">
        <v>1993</v>
      </c>
      <c r="E880" t="s">
        <v>4262</v>
      </c>
      <c r="F880" t="s">
        <v>4263</v>
      </c>
      <c r="H880" t="s">
        <v>4264</v>
      </c>
      <c r="I880" t="s">
        <v>2061</v>
      </c>
      <c r="J880" t="str">
        <f>"95482"</f>
        <v>95482</v>
      </c>
      <c r="K880" t="s">
        <v>1998</v>
      </c>
      <c r="L880" t="s">
        <v>2062</v>
      </c>
      <c r="M880" t="s">
        <v>2063</v>
      </c>
      <c r="N880" t="s">
        <v>1992</v>
      </c>
      <c r="O880" t="s">
        <v>1992</v>
      </c>
      <c r="P880" t="s">
        <v>1992</v>
      </c>
      <c r="Q880" t="s">
        <v>1992</v>
      </c>
      <c r="R880" t="s">
        <v>1992</v>
      </c>
      <c r="S880" t="s">
        <v>1992</v>
      </c>
      <c r="T880" t="s">
        <v>1992</v>
      </c>
      <c r="U880" t="s">
        <v>1992</v>
      </c>
      <c r="V880" t="s">
        <v>1991</v>
      </c>
      <c r="W880" t="s">
        <v>1992</v>
      </c>
      <c r="X880" t="s">
        <v>1992</v>
      </c>
      <c r="Y880" t="s">
        <v>1991</v>
      </c>
      <c r="Z880" t="s">
        <v>1992</v>
      </c>
      <c r="AF880" t="s">
        <v>2064</v>
      </c>
      <c r="AG880" t="s">
        <v>1991</v>
      </c>
      <c r="AH880">
        <v>30</v>
      </c>
      <c r="AI880">
        <v>30</v>
      </c>
      <c r="AJ880" t="s">
        <v>4265</v>
      </c>
      <c r="AK880">
        <v>601</v>
      </c>
      <c r="AL880">
        <v>13700</v>
      </c>
      <c r="AM880" t="s">
        <v>2298</v>
      </c>
      <c r="BF880" t="s">
        <v>1053</v>
      </c>
      <c r="BG880" t="s">
        <v>309</v>
      </c>
      <c r="BH880" t="s">
        <v>2301</v>
      </c>
      <c r="BI880" t="s">
        <v>1053</v>
      </c>
      <c r="BK880" t="s">
        <v>1053</v>
      </c>
      <c r="BO880" t="s">
        <v>1053</v>
      </c>
      <c r="BP880" t="s">
        <v>5519</v>
      </c>
      <c r="BQ880" t="s">
        <v>1814</v>
      </c>
      <c r="BR880" t="s">
        <v>1053</v>
      </c>
      <c r="BX880" t="str">
        <f>""</f>
        <v/>
      </c>
      <c r="BY880" t="str">
        <f>""</f>
        <v/>
      </c>
      <c r="BZ880" t="str">
        <f>""</f>
        <v/>
      </c>
      <c r="CA880" t="str">
        <f>""</f>
        <v/>
      </c>
      <c r="CB880" t="str">
        <f>""</f>
        <v/>
      </c>
      <c r="CC880" t="str">
        <f>""</f>
        <v/>
      </c>
      <c r="CD880" t="str">
        <f>""</f>
        <v/>
      </c>
      <c r="CE880" t="str">
        <f>""</f>
        <v/>
      </c>
      <c r="CF880" t="str">
        <f>""</f>
        <v/>
      </c>
      <c r="CG880" t="str">
        <f>""</f>
        <v/>
      </c>
      <c r="CH880" t="str">
        <f>""</f>
        <v/>
      </c>
    </row>
    <row r="881" spans="1:86" x14ac:dyDescent="0.25">
      <c r="A881" t="s">
        <v>4266</v>
      </c>
      <c r="B881" t="s">
        <v>4267</v>
      </c>
      <c r="D881" t="s">
        <v>2089</v>
      </c>
      <c r="E881" t="s">
        <v>4268</v>
      </c>
      <c r="F881" t="s">
        <v>4269</v>
      </c>
      <c r="G881" t="s">
        <v>4270</v>
      </c>
      <c r="H881" t="s">
        <v>4841</v>
      </c>
      <c r="I881" t="s">
        <v>2388</v>
      </c>
      <c r="J881" t="str">
        <f>"19104"</f>
        <v>19104</v>
      </c>
      <c r="K881" t="s">
        <v>1998</v>
      </c>
      <c r="L881" t="s">
        <v>2015</v>
      </c>
      <c r="M881" t="s">
        <v>2000</v>
      </c>
      <c r="O881" t="s">
        <v>1991</v>
      </c>
      <c r="AF881" t="s">
        <v>2016</v>
      </c>
      <c r="AG881" t="s">
        <v>1991</v>
      </c>
      <c r="AJ881" t="s">
        <v>2090</v>
      </c>
      <c r="AM881" t="s">
        <v>4271</v>
      </c>
      <c r="BX881" t="str">
        <f>""</f>
        <v/>
      </c>
      <c r="BY881" t="str">
        <f>""</f>
        <v/>
      </c>
      <c r="BZ881" t="str">
        <f>""</f>
        <v/>
      </c>
      <c r="CA881" t="str">
        <f>""</f>
        <v/>
      </c>
      <c r="CB881" t="str">
        <f>""</f>
        <v/>
      </c>
      <c r="CC881" t="str">
        <f>""</f>
        <v/>
      </c>
      <c r="CD881" t="str">
        <f>""</f>
        <v/>
      </c>
      <c r="CE881" t="str">
        <f>""</f>
        <v/>
      </c>
      <c r="CF881" t="str">
        <f>""</f>
        <v/>
      </c>
      <c r="CG881" t="str">
        <f>""</f>
        <v/>
      </c>
      <c r="CH881" t="str">
        <f>""</f>
        <v/>
      </c>
    </row>
    <row r="882" spans="1:86" x14ac:dyDescent="0.25">
      <c r="A882" t="s">
        <v>4272</v>
      </c>
      <c r="B882" t="s">
        <v>4273</v>
      </c>
      <c r="D882" t="s">
        <v>2089</v>
      </c>
      <c r="V882" t="s">
        <v>1991</v>
      </c>
      <c r="AJ882" t="s">
        <v>2090</v>
      </c>
      <c r="BX882" t="str">
        <f>""</f>
        <v/>
      </c>
      <c r="BY882" t="str">
        <f>""</f>
        <v/>
      </c>
      <c r="BZ882" t="str">
        <f>""</f>
        <v/>
      </c>
      <c r="CA882" t="str">
        <f>""</f>
        <v/>
      </c>
      <c r="CB882" t="str">
        <f>""</f>
        <v/>
      </c>
      <c r="CC882" t="str">
        <f>""</f>
        <v/>
      </c>
      <c r="CD882" t="str">
        <f>""</f>
        <v/>
      </c>
      <c r="CE882" t="str">
        <f>""</f>
        <v/>
      </c>
      <c r="CF882" t="str">
        <f>""</f>
        <v/>
      </c>
      <c r="CG882" t="str">
        <f>""</f>
        <v/>
      </c>
      <c r="CH882" t="str">
        <f>""</f>
        <v/>
      </c>
    </row>
    <row r="883" spans="1:86" x14ac:dyDescent="0.25">
      <c r="A883" t="s">
        <v>4274</v>
      </c>
      <c r="B883" t="s">
        <v>4275</v>
      </c>
      <c r="D883" t="s">
        <v>2089</v>
      </c>
      <c r="V883" t="s">
        <v>1992</v>
      </c>
      <c r="AJ883" t="s">
        <v>2090</v>
      </c>
      <c r="BX883" t="str">
        <f>""</f>
        <v/>
      </c>
      <c r="BY883" t="str">
        <f>""</f>
        <v/>
      </c>
      <c r="BZ883" t="str">
        <f>""</f>
        <v/>
      </c>
      <c r="CA883" t="str">
        <f>""</f>
        <v/>
      </c>
      <c r="CB883" t="str">
        <f>""</f>
        <v/>
      </c>
      <c r="CC883" t="str">
        <f>""</f>
        <v/>
      </c>
      <c r="CD883" t="str">
        <f>""</f>
        <v/>
      </c>
      <c r="CE883" t="str">
        <f>""</f>
        <v/>
      </c>
      <c r="CF883" t="str">
        <f>""</f>
        <v/>
      </c>
      <c r="CG883" t="str">
        <f>""</f>
        <v/>
      </c>
      <c r="CH883" t="str">
        <f>""</f>
        <v/>
      </c>
    </row>
    <row r="884" spans="1:86" x14ac:dyDescent="0.25">
      <c r="A884" t="s">
        <v>4276</v>
      </c>
      <c r="B884" t="s">
        <v>4277</v>
      </c>
      <c r="C884" t="s">
        <v>1992</v>
      </c>
      <c r="D884" t="s">
        <v>1993</v>
      </c>
      <c r="E884" t="s">
        <v>4278</v>
      </c>
      <c r="F884" t="s">
        <v>4279</v>
      </c>
      <c r="H884" t="s">
        <v>4280</v>
      </c>
      <c r="I884" t="s">
        <v>700</v>
      </c>
      <c r="J884" t="str">
        <f>"27110-0001"</f>
        <v>27110-0001</v>
      </c>
      <c r="K884" t="s">
        <v>1998</v>
      </c>
      <c r="L884" t="s">
        <v>408</v>
      </c>
      <c r="M884" t="s">
        <v>2000</v>
      </c>
      <c r="N884" t="s">
        <v>1992</v>
      </c>
      <c r="O884" t="s">
        <v>1992</v>
      </c>
      <c r="P884" t="s">
        <v>1992</v>
      </c>
      <c r="Q884" t="s">
        <v>1992</v>
      </c>
      <c r="R884" t="s">
        <v>1992</v>
      </c>
      <c r="S884" t="s">
        <v>1992</v>
      </c>
      <c r="T884" t="s">
        <v>1992</v>
      </c>
      <c r="U884" t="s">
        <v>1992</v>
      </c>
      <c r="V884" t="s">
        <v>1991</v>
      </c>
      <c r="W884" t="s">
        <v>1992</v>
      </c>
      <c r="X884" t="s">
        <v>1992</v>
      </c>
      <c r="Y884" t="s">
        <v>1991</v>
      </c>
      <c r="Z884" t="s">
        <v>1992</v>
      </c>
      <c r="AF884" t="s">
        <v>2016</v>
      </c>
      <c r="AG884" t="s">
        <v>1991</v>
      </c>
      <c r="AH884">
        <v>30</v>
      </c>
      <c r="AI884">
        <v>30</v>
      </c>
      <c r="AJ884" t="s">
        <v>4281</v>
      </c>
      <c r="AK884">
        <v>873</v>
      </c>
      <c r="AL884">
        <v>187000</v>
      </c>
      <c r="AM884" t="s">
        <v>4282</v>
      </c>
      <c r="BX884" t="str">
        <f>""</f>
        <v/>
      </c>
      <c r="BY884" t="str">
        <f>""</f>
        <v/>
      </c>
      <c r="BZ884" t="str">
        <f>""</f>
        <v/>
      </c>
      <c r="CA884" t="str">
        <f>""</f>
        <v/>
      </c>
      <c r="CB884" t="str">
        <f>""</f>
        <v/>
      </c>
      <c r="CC884" t="str">
        <f>""</f>
        <v/>
      </c>
      <c r="CD884" t="str">
        <f>""</f>
        <v/>
      </c>
      <c r="CE884" t="str">
        <f>""</f>
        <v/>
      </c>
      <c r="CF884" t="str">
        <f>""</f>
        <v/>
      </c>
      <c r="CG884" t="str">
        <f>""</f>
        <v/>
      </c>
      <c r="CH884" t="str">
        <f>""</f>
        <v/>
      </c>
    </row>
    <row r="885" spans="1:86" x14ac:dyDescent="0.25">
      <c r="A885" t="s">
        <v>4283</v>
      </c>
      <c r="B885" t="s">
        <v>4284</v>
      </c>
      <c r="C885" t="s">
        <v>1992</v>
      </c>
      <c r="D885" t="s">
        <v>2028</v>
      </c>
      <c r="E885" t="s">
        <v>4285</v>
      </c>
      <c r="H885" t="s">
        <v>4286</v>
      </c>
      <c r="I885" t="s">
        <v>2405</v>
      </c>
      <c r="J885" t="str">
        <f>"23451"</f>
        <v>23451</v>
      </c>
      <c r="K885" t="s">
        <v>1998</v>
      </c>
      <c r="L885" t="s">
        <v>2015</v>
      </c>
      <c r="M885" t="s">
        <v>2063</v>
      </c>
      <c r="N885" t="s">
        <v>1992</v>
      </c>
      <c r="O885" t="s">
        <v>1992</v>
      </c>
      <c r="P885" t="s">
        <v>1992</v>
      </c>
      <c r="Q885" t="s">
        <v>1992</v>
      </c>
      <c r="R885" t="s">
        <v>1992</v>
      </c>
      <c r="S885" t="s">
        <v>1992</v>
      </c>
      <c r="T885" t="s">
        <v>1992</v>
      </c>
      <c r="U885" t="s">
        <v>1992</v>
      </c>
      <c r="V885" t="s">
        <v>1991</v>
      </c>
      <c r="W885" t="s">
        <v>1992</v>
      </c>
      <c r="X885" t="s">
        <v>1992</v>
      </c>
      <c r="Y885" t="s">
        <v>1991</v>
      </c>
      <c r="Z885" t="s">
        <v>1992</v>
      </c>
      <c r="AF885" t="s">
        <v>2016</v>
      </c>
      <c r="AG885" t="s">
        <v>1991</v>
      </c>
      <c r="AH885">
        <v>30</v>
      </c>
      <c r="AI885">
        <v>30</v>
      </c>
      <c r="AJ885" t="s">
        <v>4287</v>
      </c>
      <c r="AK885">
        <v>14</v>
      </c>
      <c r="AL885">
        <v>500000</v>
      </c>
      <c r="AM885" t="s">
        <v>4288</v>
      </c>
      <c r="AN885" t="s">
        <v>4289</v>
      </c>
      <c r="AO885" t="s">
        <v>2063</v>
      </c>
      <c r="BF885" t="s">
        <v>1053</v>
      </c>
      <c r="BG885" t="s">
        <v>1054</v>
      </c>
      <c r="BH885" t="s">
        <v>4049</v>
      </c>
      <c r="BI885" t="s">
        <v>1053</v>
      </c>
      <c r="BJ885" t="s">
        <v>1053</v>
      </c>
      <c r="BK885" t="s">
        <v>1053</v>
      </c>
      <c r="BL885" t="s">
        <v>1053</v>
      </c>
      <c r="BM885" t="s">
        <v>2343</v>
      </c>
      <c r="BN885" t="s">
        <v>2344</v>
      </c>
      <c r="BO885" t="s">
        <v>1053</v>
      </c>
      <c r="BP885" t="s">
        <v>4290</v>
      </c>
      <c r="BQ885" t="s">
        <v>4291</v>
      </c>
      <c r="BR885" t="s">
        <v>1053</v>
      </c>
      <c r="BS885" t="s">
        <v>1053</v>
      </c>
      <c r="BX885" t="str">
        <f>""</f>
        <v/>
      </c>
      <c r="BY885" t="str">
        <f>""</f>
        <v/>
      </c>
      <c r="BZ885" t="str">
        <f>""</f>
        <v/>
      </c>
      <c r="CA885" t="str">
        <f>""</f>
        <v/>
      </c>
      <c r="CB885" t="str">
        <f>""</f>
        <v/>
      </c>
      <c r="CC885" t="str">
        <f>""</f>
        <v/>
      </c>
      <c r="CD885" t="str">
        <f>""</f>
        <v/>
      </c>
      <c r="CE885" t="str">
        <f>""</f>
        <v/>
      </c>
      <c r="CF885" t="str">
        <f>""</f>
        <v/>
      </c>
      <c r="CG885" t="str">
        <f>""</f>
        <v/>
      </c>
      <c r="CH885" t="str">
        <f>""</f>
        <v/>
      </c>
    </row>
    <row r="886" spans="1:86" x14ac:dyDescent="0.25">
      <c r="A886" t="s">
        <v>4292</v>
      </c>
      <c r="B886" t="s">
        <v>4293</v>
      </c>
      <c r="C886" t="s">
        <v>1991</v>
      </c>
      <c r="D886" t="s">
        <v>2010</v>
      </c>
      <c r="E886" t="s">
        <v>4294</v>
      </c>
      <c r="F886" t="s">
        <v>4295</v>
      </c>
      <c r="H886" t="s">
        <v>4296</v>
      </c>
      <c r="I886" t="s">
        <v>1797</v>
      </c>
      <c r="J886" t="str">
        <f>"V6A 4C7"</f>
        <v>V6A 4C7</v>
      </c>
      <c r="K886" t="s">
        <v>373</v>
      </c>
      <c r="L886" t="s">
        <v>374</v>
      </c>
      <c r="M886" t="s">
        <v>375</v>
      </c>
      <c r="N886" t="s">
        <v>1991</v>
      </c>
      <c r="O886" t="s">
        <v>1992</v>
      </c>
      <c r="P886" t="s">
        <v>1992</v>
      </c>
      <c r="Q886" t="s">
        <v>1991</v>
      </c>
      <c r="R886" t="s">
        <v>1992</v>
      </c>
      <c r="S886" t="s">
        <v>1992</v>
      </c>
      <c r="T886" t="s">
        <v>1992</v>
      </c>
      <c r="U886" t="s">
        <v>1992</v>
      </c>
      <c r="V886" t="s">
        <v>1991</v>
      </c>
      <c r="W886" t="s">
        <v>1991</v>
      </c>
      <c r="X886" t="s">
        <v>1991</v>
      </c>
      <c r="Y886" t="s">
        <v>1992</v>
      </c>
      <c r="Z886" t="s">
        <v>1991</v>
      </c>
      <c r="AD886" t="s">
        <v>4297</v>
      </c>
      <c r="AE886" t="s">
        <v>296</v>
      </c>
      <c r="AF886" t="s">
        <v>2064</v>
      </c>
      <c r="AG886" t="s">
        <v>1991</v>
      </c>
      <c r="AH886">
        <v>60</v>
      </c>
      <c r="AI886">
        <v>60</v>
      </c>
      <c r="AJ886" t="s">
        <v>4298</v>
      </c>
      <c r="AK886">
        <v>20</v>
      </c>
      <c r="AL886">
        <v>500000</v>
      </c>
      <c r="AM886" t="s">
        <v>4299</v>
      </c>
      <c r="AN886" t="s">
        <v>1053</v>
      </c>
      <c r="AO886" t="s">
        <v>1053</v>
      </c>
      <c r="AP886" t="s">
        <v>2069</v>
      </c>
      <c r="AQ886" t="s">
        <v>1053</v>
      </c>
      <c r="AS886" t="s">
        <v>4292</v>
      </c>
      <c r="AT886" t="s">
        <v>4300</v>
      </c>
      <c r="AU886" t="s">
        <v>1053</v>
      </c>
      <c r="AV886" t="s">
        <v>1053</v>
      </c>
      <c r="AX886" t="s">
        <v>1053</v>
      </c>
      <c r="AY886" t="s">
        <v>2069</v>
      </c>
      <c r="AZ886" t="s">
        <v>4292</v>
      </c>
      <c r="BA886" t="s">
        <v>4300</v>
      </c>
      <c r="BB886" t="s">
        <v>1053</v>
      </c>
      <c r="BD886" t="s">
        <v>1053</v>
      </c>
      <c r="BF886" t="s">
        <v>1053</v>
      </c>
      <c r="BG886" t="s">
        <v>4301</v>
      </c>
      <c r="BH886" t="s">
        <v>4302</v>
      </c>
      <c r="BI886" t="s">
        <v>1053</v>
      </c>
      <c r="BK886" t="s">
        <v>1053</v>
      </c>
      <c r="BM886" t="s">
        <v>4292</v>
      </c>
      <c r="BN886" t="s">
        <v>4300</v>
      </c>
      <c r="BO886" t="s">
        <v>1053</v>
      </c>
      <c r="BP886" t="s">
        <v>4303</v>
      </c>
      <c r="BQ886" t="s">
        <v>4304</v>
      </c>
      <c r="BR886" t="s">
        <v>1053</v>
      </c>
      <c r="BT886" t="s">
        <v>1053</v>
      </c>
      <c r="BX886" t="str">
        <f>"SMTWTFS 0000-0100 0500-2359"</f>
        <v>SMTWTFS 0000-0100 0500-2359</v>
      </c>
      <c r="BY886" t="str">
        <f>"S-T--F- 0600-2030; -M-WT-S 0600-1745"</f>
        <v>S-T--F- 0600-2030; -M-WT-S 0600-1745</v>
      </c>
      <c r="BZ886" t="str">
        <f>"S-T--F- 0600-2030; -M-WT-S 0600-1745"</f>
        <v>S-T--F- 0600-2030; -M-WT-S 0600-1745</v>
      </c>
      <c r="CA886" t="str">
        <f>"S-T--F- 0600-2030; -M-WT-S 0600-1745"</f>
        <v>S-T--F- 0600-2030; -M-WT-S 0600-1745</v>
      </c>
      <c r="CB886" t="str">
        <f>"S-T--F- 0600-2030; -M-WT-S 0600-1745"</f>
        <v>S-T--F- 0600-2030; -M-WT-S 0600-1745</v>
      </c>
      <c r="CC886" t="str">
        <f>""</f>
        <v/>
      </c>
      <c r="CD886" t="str">
        <f>""</f>
        <v/>
      </c>
      <c r="CE886" t="str">
        <f>""</f>
        <v/>
      </c>
      <c r="CF886" t="str">
        <f>""</f>
        <v/>
      </c>
      <c r="CG886" t="str">
        <f>""</f>
        <v/>
      </c>
      <c r="CH886" t="str">
        <f>""</f>
        <v/>
      </c>
    </row>
    <row r="887" spans="1:86" x14ac:dyDescent="0.25">
      <c r="A887" t="s">
        <v>4305</v>
      </c>
      <c r="B887" t="s">
        <v>4306</v>
      </c>
      <c r="C887" t="s">
        <v>1992</v>
      </c>
      <c r="D887" t="s">
        <v>1993</v>
      </c>
      <c r="E887" t="s">
        <v>4307</v>
      </c>
      <c r="F887" t="s">
        <v>4308</v>
      </c>
      <c r="H887" t="s">
        <v>4309</v>
      </c>
      <c r="I887" t="s">
        <v>2295</v>
      </c>
      <c r="J887" t="str">
        <f>"97918-1163"</f>
        <v>97918-1163</v>
      </c>
      <c r="K887" t="s">
        <v>1998</v>
      </c>
      <c r="L887" t="s">
        <v>231</v>
      </c>
      <c r="M887" t="s">
        <v>2063</v>
      </c>
      <c r="N887" t="s">
        <v>1992</v>
      </c>
      <c r="O887" t="s">
        <v>1992</v>
      </c>
      <c r="P887" t="s">
        <v>1992</v>
      </c>
      <c r="Q887" t="s">
        <v>1992</v>
      </c>
      <c r="R887" t="s">
        <v>1992</v>
      </c>
      <c r="S887" t="s">
        <v>1992</v>
      </c>
      <c r="T887" t="s">
        <v>1992</v>
      </c>
      <c r="U887" t="s">
        <v>1992</v>
      </c>
      <c r="V887" t="s">
        <v>1991</v>
      </c>
      <c r="W887" t="s">
        <v>1992</v>
      </c>
      <c r="X887" t="s">
        <v>1992</v>
      </c>
      <c r="Y887" t="s">
        <v>1992</v>
      </c>
      <c r="Z887" t="s">
        <v>1991</v>
      </c>
      <c r="AE887" t="s">
        <v>2038</v>
      </c>
      <c r="AF887" t="s">
        <v>2064</v>
      </c>
      <c r="AG887" t="s">
        <v>1991</v>
      </c>
      <c r="AH887">
        <v>30</v>
      </c>
      <c r="AI887">
        <v>30</v>
      </c>
      <c r="AJ887" t="s">
        <v>4310</v>
      </c>
      <c r="AK887">
        <v>2243</v>
      </c>
      <c r="AM887" t="s">
        <v>2298</v>
      </c>
      <c r="BX887" t="str">
        <f>""</f>
        <v/>
      </c>
      <c r="BY887" t="str">
        <f>""</f>
        <v/>
      </c>
      <c r="BZ887" t="str">
        <f>""</f>
        <v/>
      </c>
      <c r="CA887" t="str">
        <f>""</f>
        <v/>
      </c>
      <c r="CB887" t="str">
        <f>""</f>
        <v/>
      </c>
      <c r="CC887" t="str">
        <f>""</f>
        <v/>
      </c>
      <c r="CD887" t="str">
        <f>""</f>
        <v/>
      </c>
      <c r="CE887" t="str">
        <f>""</f>
        <v/>
      </c>
      <c r="CF887" t="str">
        <f>""</f>
        <v/>
      </c>
      <c r="CG887" t="str">
        <f>""</f>
        <v/>
      </c>
      <c r="CH887" t="str">
        <f>""</f>
        <v/>
      </c>
    </row>
    <row r="888" spans="1:86" x14ac:dyDescent="0.25">
      <c r="A888" t="s">
        <v>4311</v>
      </c>
      <c r="B888" t="s">
        <v>4312</v>
      </c>
      <c r="C888" t="s">
        <v>1992</v>
      </c>
      <c r="D888" t="s">
        <v>1993</v>
      </c>
      <c r="E888" t="s">
        <v>4313</v>
      </c>
      <c r="H888" t="s">
        <v>4314</v>
      </c>
      <c r="I888" t="s">
        <v>3629</v>
      </c>
      <c r="J888" t="str">
        <f>"81657"</f>
        <v>81657</v>
      </c>
      <c r="K888" t="s">
        <v>1998</v>
      </c>
      <c r="L888" t="s">
        <v>1999</v>
      </c>
      <c r="M888" t="s">
        <v>4315</v>
      </c>
      <c r="N888" t="s">
        <v>1992</v>
      </c>
      <c r="O888" t="s">
        <v>1992</v>
      </c>
      <c r="P888" t="s">
        <v>1992</v>
      </c>
      <c r="Q888" t="s">
        <v>1992</v>
      </c>
      <c r="R888" t="s">
        <v>1992</v>
      </c>
      <c r="S888" t="s">
        <v>1992</v>
      </c>
      <c r="T888" t="s">
        <v>1992</v>
      </c>
      <c r="U888" t="s">
        <v>1992</v>
      </c>
      <c r="V888" t="s">
        <v>1991</v>
      </c>
      <c r="W888" t="s">
        <v>1992</v>
      </c>
      <c r="X888" t="s">
        <v>1992</v>
      </c>
      <c r="Y888" t="s">
        <v>1992</v>
      </c>
      <c r="Z888" t="s">
        <v>1991</v>
      </c>
      <c r="AF888" t="s">
        <v>2048</v>
      </c>
      <c r="AG888" t="s">
        <v>1991</v>
      </c>
      <c r="AH888">
        <v>30</v>
      </c>
      <c r="AI888">
        <v>30</v>
      </c>
      <c r="AJ888" t="s">
        <v>4316</v>
      </c>
      <c r="AK888">
        <v>8190</v>
      </c>
      <c r="AL888">
        <v>4460</v>
      </c>
      <c r="AN888" t="s">
        <v>4837</v>
      </c>
      <c r="AO888" t="s">
        <v>1053</v>
      </c>
      <c r="BF888" t="s">
        <v>1053</v>
      </c>
      <c r="BG888" t="s">
        <v>235</v>
      </c>
      <c r="BH888" t="s">
        <v>1012</v>
      </c>
      <c r="BI888" t="s">
        <v>1053</v>
      </c>
      <c r="BJ888" t="s">
        <v>1053</v>
      </c>
      <c r="BK888" t="s">
        <v>1053</v>
      </c>
      <c r="BL888" t="s">
        <v>1053</v>
      </c>
      <c r="BO888" t="s">
        <v>1053</v>
      </c>
      <c r="BP888" t="s">
        <v>1717</v>
      </c>
      <c r="BQ888" t="s">
        <v>1012</v>
      </c>
      <c r="BR888" t="s">
        <v>1053</v>
      </c>
      <c r="BS888" t="s">
        <v>1053</v>
      </c>
      <c r="BX888" t="str">
        <f>""</f>
        <v/>
      </c>
      <c r="BY888" t="str">
        <f>""</f>
        <v/>
      </c>
      <c r="BZ888" t="str">
        <f>""</f>
        <v/>
      </c>
      <c r="CA888" t="str">
        <f>""</f>
        <v/>
      </c>
      <c r="CB888" t="str">
        <f>""</f>
        <v/>
      </c>
      <c r="CC888" t="str">
        <f>""</f>
        <v/>
      </c>
      <c r="CD888" t="str">
        <f>""</f>
        <v/>
      </c>
      <c r="CE888" t="str">
        <f>""</f>
        <v/>
      </c>
      <c r="CF888" t="str">
        <f>""</f>
        <v/>
      </c>
      <c r="CG888" t="str">
        <f>""</f>
        <v/>
      </c>
      <c r="CH888" t="str">
        <f>""</f>
        <v/>
      </c>
    </row>
    <row r="889" spans="1:86" x14ac:dyDescent="0.25">
      <c r="A889" t="s">
        <v>4317</v>
      </c>
      <c r="B889" t="s">
        <v>4318</v>
      </c>
      <c r="C889" t="s">
        <v>1992</v>
      </c>
      <c r="D889" t="s">
        <v>1993</v>
      </c>
      <c r="E889" t="s">
        <v>4319</v>
      </c>
      <c r="F889" t="s">
        <v>3048</v>
      </c>
      <c r="H889" t="s">
        <v>4320</v>
      </c>
      <c r="I889" t="s">
        <v>2061</v>
      </c>
      <c r="J889" t="str">
        <f>"94589"</f>
        <v>94589</v>
      </c>
      <c r="K889" t="s">
        <v>1998</v>
      </c>
      <c r="L889" t="s">
        <v>2062</v>
      </c>
      <c r="M889" t="s">
        <v>2063</v>
      </c>
      <c r="N889" t="s">
        <v>1992</v>
      </c>
      <c r="O889" t="s">
        <v>1992</v>
      </c>
      <c r="P889" t="s">
        <v>1992</v>
      </c>
      <c r="Q889" t="s">
        <v>1992</v>
      </c>
      <c r="R889" t="s">
        <v>1992</v>
      </c>
      <c r="S889" t="s">
        <v>1992</v>
      </c>
      <c r="T889" t="s">
        <v>1992</v>
      </c>
      <c r="U889" t="s">
        <v>1992</v>
      </c>
      <c r="V889" t="s">
        <v>1991</v>
      </c>
      <c r="W889" t="s">
        <v>1992</v>
      </c>
      <c r="X889" t="s">
        <v>1992</v>
      </c>
      <c r="Y889" t="s">
        <v>1991</v>
      </c>
      <c r="Z889" t="s">
        <v>1992</v>
      </c>
      <c r="AA889" t="s">
        <v>1992</v>
      </c>
      <c r="AF889" t="s">
        <v>2064</v>
      </c>
      <c r="AG889" t="s">
        <v>1991</v>
      </c>
      <c r="AH889">
        <v>30</v>
      </c>
      <c r="AI889">
        <v>30</v>
      </c>
      <c r="AJ889" t="s">
        <v>4321</v>
      </c>
      <c r="AK889">
        <v>7</v>
      </c>
      <c r="AM889" t="s">
        <v>4322</v>
      </c>
      <c r="AN889" t="s">
        <v>450</v>
      </c>
      <c r="AO889" t="s">
        <v>2063</v>
      </c>
      <c r="BF889" t="s">
        <v>1053</v>
      </c>
      <c r="BG889" t="s">
        <v>309</v>
      </c>
      <c r="BH889" t="s">
        <v>2301</v>
      </c>
      <c r="BI889" t="s">
        <v>1053</v>
      </c>
      <c r="BK889" t="s">
        <v>1053</v>
      </c>
      <c r="BO889" t="s">
        <v>1053</v>
      </c>
      <c r="BP889" t="s">
        <v>310</v>
      </c>
      <c r="BQ889" t="s">
        <v>311</v>
      </c>
      <c r="BR889" t="s">
        <v>1053</v>
      </c>
      <c r="BS889" t="s">
        <v>1053</v>
      </c>
      <c r="BT889" t="s">
        <v>1053</v>
      </c>
      <c r="BU889" t="s">
        <v>1053</v>
      </c>
      <c r="BX889" t="str">
        <f>""</f>
        <v/>
      </c>
      <c r="BY889" t="str">
        <f>""</f>
        <v/>
      </c>
      <c r="BZ889" t="str">
        <f>""</f>
        <v/>
      </c>
      <c r="CA889" t="str">
        <f>""</f>
        <v/>
      </c>
      <c r="CB889" t="str">
        <f>""</f>
        <v/>
      </c>
      <c r="CC889" t="str">
        <f>""</f>
        <v/>
      </c>
      <c r="CD889" t="str">
        <f>""</f>
        <v/>
      </c>
      <c r="CE889" t="str">
        <f>""</f>
        <v/>
      </c>
      <c r="CF889" t="str">
        <f>""</f>
        <v/>
      </c>
      <c r="CG889" t="str">
        <f>""</f>
        <v/>
      </c>
      <c r="CH889" t="str">
        <f>""</f>
        <v/>
      </c>
    </row>
    <row r="890" spans="1:86" x14ac:dyDescent="0.25">
      <c r="A890" t="s">
        <v>4323</v>
      </c>
      <c r="B890" t="s">
        <v>4324</v>
      </c>
      <c r="C890" t="s">
        <v>1991</v>
      </c>
      <c r="D890" t="s">
        <v>2010</v>
      </c>
      <c r="E890" t="s">
        <v>4325</v>
      </c>
      <c r="H890" t="s">
        <v>4296</v>
      </c>
      <c r="I890" t="s">
        <v>576</v>
      </c>
      <c r="J890" t="str">
        <f>"98660"</f>
        <v>98660</v>
      </c>
      <c r="K890" t="s">
        <v>1998</v>
      </c>
      <c r="L890" t="s">
        <v>231</v>
      </c>
      <c r="M890" t="s">
        <v>4326</v>
      </c>
      <c r="N890" t="s">
        <v>1991</v>
      </c>
      <c r="O890" t="s">
        <v>1991</v>
      </c>
      <c r="P890" t="s">
        <v>1992</v>
      </c>
      <c r="Q890" t="s">
        <v>1991</v>
      </c>
      <c r="R890" t="s">
        <v>1991</v>
      </c>
      <c r="S890" t="s">
        <v>1992</v>
      </c>
      <c r="T890" t="s">
        <v>1992</v>
      </c>
      <c r="U890" t="s">
        <v>1991</v>
      </c>
      <c r="V890" t="s">
        <v>1991</v>
      </c>
      <c r="W890" t="s">
        <v>1991</v>
      </c>
      <c r="X890" t="s">
        <v>1992</v>
      </c>
      <c r="Y890" t="s">
        <v>1992</v>
      </c>
      <c r="Z890" t="s">
        <v>1992</v>
      </c>
      <c r="AE890" t="s">
        <v>2047</v>
      </c>
      <c r="AF890" t="s">
        <v>2064</v>
      </c>
      <c r="AG890" t="s">
        <v>1991</v>
      </c>
      <c r="AH890">
        <v>60</v>
      </c>
      <c r="AI890">
        <v>30</v>
      </c>
      <c r="AJ890" t="s">
        <v>4327</v>
      </c>
      <c r="AK890">
        <v>53</v>
      </c>
      <c r="AL890">
        <v>135100</v>
      </c>
      <c r="AN890" t="s">
        <v>1053</v>
      </c>
      <c r="AO890" t="s">
        <v>1053</v>
      </c>
      <c r="AP890" t="s">
        <v>2069</v>
      </c>
      <c r="AQ890" t="s">
        <v>1053</v>
      </c>
      <c r="AR890" t="s">
        <v>2069</v>
      </c>
      <c r="AS890" t="s">
        <v>4323</v>
      </c>
      <c r="AT890" t="s">
        <v>4328</v>
      </c>
      <c r="AU890" t="s">
        <v>1053</v>
      </c>
      <c r="AV890" t="s">
        <v>1053</v>
      </c>
      <c r="AW890" t="s">
        <v>2069</v>
      </c>
      <c r="AX890" t="s">
        <v>1053</v>
      </c>
      <c r="AY890" t="s">
        <v>2069</v>
      </c>
      <c r="AZ890" t="s">
        <v>4323</v>
      </c>
      <c r="BA890" t="s">
        <v>4328</v>
      </c>
      <c r="BB890" t="s">
        <v>1053</v>
      </c>
      <c r="BC890" t="s">
        <v>2069</v>
      </c>
      <c r="BD890" t="s">
        <v>1053</v>
      </c>
      <c r="BE890" t="s">
        <v>2069</v>
      </c>
      <c r="BF890" t="s">
        <v>1053</v>
      </c>
      <c r="BG890" t="s">
        <v>235</v>
      </c>
      <c r="BH890" t="s">
        <v>236</v>
      </c>
      <c r="BI890" t="s">
        <v>1053</v>
      </c>
      <c r="BJ890" t="s">
        <v>1053</v>
      </c>
      <c r="BK890" t="s">
        <v>1053</v>
      </c>
      <c r="BL890" t="s">
        <v>1053</v>
      </c>
      <c r="BM890" t="s">
        <v>237</v>
      </c>
      <c r="BN890" t="s">
        <v>238</v>
      </c>
      <c r="BO890" t="s">
        <v>1053</v>
      </c>
      <c r="BP890" t="s">
        <v>239</v>
      </c>
      <c r="BQ890" t="s">
        <v>4329</v>
      </c>
      <c r="BR890" t="s">
        <v>1053</v>
      </c>
      <c r="BS890" t="s">
        <v>1053</v>
      </c>
      <c r="BT890" t="s">
        <v>1053</v>
      </c>
      <c r="BU890" t="s">
        <v>1053</v>
      </c>
      <c r="BV890" t="s">
        <v>241</v>
      </c>
      <c r="BW890" t="s">
        <v>242</v>
      </c>
      <c r="BX890" t="str">
        <f>"SMTWTFS 0815-2100"</f>
        <v>SMTWTFS 0815-2100</v>
      </c>
      <c r="BY890" t="str">
        <f>"SMTWTFS 0815-2030"</f>
        <v>SMTWTFS 0815-2030</v>
      </c>
      <c r="BZ890" t="str">
        <f>"SMTWTFS 0815-2045"</f>
        <v>SMTWTFS 0815-2045</v>
      </c>
      <c r="CA890" t="str">
        <f>"SMTWTFS 0815-2045"</f>
        <v>SMTWTFS 0815-2045</v>
      </c>
      <c r="CB890" t="str">
        <f>""</f>
        <v/>
      </c>
      <c r="CC890" t="str">
        <f>"SMTWTFS 0815-2045"</f>
        <v>SMTWTFS 0815-2045</v>
      </c>
      <c r="CD890" t="str">
        <f>""</f>
        <v/>
      </c>
      <c r="CE890" t="str">
        <f>""</f>
        <v/>
      </c>
      <c r="CF890" t="str">
        <f>"SMTWTFS 0815-2015"</f>
        <v>SMTWTFS 0815-2015</v>
      </c>
      <c r="CG890" t="str">
        <f>""</f>
        <v/>
      </c>
      <c r="CH890" t="str">
        <f>"SMTWTFS 0001-2359"</f>
        <v>SMTWTFS 0001-2359</v>
      </c>
    </row>
    <row r="891" spans="1:86" x14ac:dyDescent="0.25">
      <c r="A891" t="s">
        <v>4330</v>
      </c>
      <c r="B891" t="s">
        <v>4331</v>
      </c>
      <c r="C891" t="s">
        <v>1992</v>
      </c>
      <c r="D891" t="s">
        <v>2028</v>
      </c>
      <c r="E891" t="s">
        <v>4332</v>
      </c>
      <c r="H891" t="s">
        <v>3162</v>
      </c>
      <c r="I891" t="s">
        <v>2061</v>
      </c>
      <c r="J891" t="str">
        <f>"94550"</f>
        <v>94550</v>
      </c>
      <c r="K891" t="s">
        <v>1998</v>
      </c>
      <c r="L891" t="s">
        <v>2062</v>
      </c>
      <c r="M891" t="s">
        <v>2000</v>
      </c>
      <c r="N891" t="s">
        <v>1992</v>
      </c>
      <c r="O891" t="s">
        <v>1992</v>
      </c>
      <c r="P891" t="s">
        <v>1992</v>
      </c>
      <c r="Q891" t="s">
        <v>1992</v>
      </c>
      <c r="R891" t="s">
        <v>1992</v>
      </c>
      <c r="S891" t="s">
        <v>1992</v>
      </c>
      <c r="T891" t="s">
        <v>1992</v>
      </c>
      <c r="U891" t="s">
        <v>1992</v>
      </c>
      <c r="V891" t="s">
        <v>1991</v>
      </c>
      <c r="X891" t="s">
        <v>1991</v>
      </c>
      <c r="AF891" t="s">
        <v>2064</v>
      </c>
      <c r="AG891" t="s">
        <v>1991</v>
      </c>
      <c r="AH891">
        <v>15</v>
      </c>
      <c r="AI891">
        <v>15</v>
      </c>
      <c r="AJ891" t="s">
        <v>4333</v>
      </c>
      <c r="AK891">
        <v>563</v>
      </c>
      <c r="BF891" t="s">
        <v>1053</v>
      </c>
      <c r="BG891" t="s">
        <v>309</v>
      </c>
      <c r="BH891" t="s">
        <v>2301</v>
      </c>
      <c r="BI891" t="s">
        <v>1053</v>
      </c>
      <c r="BK891" t="s">
        <v>1053</v>
      </c>
      <c r="BO891" t="s">
        <v>1053</v>
      </c>
      <c r="BP891" t="s">
        <v>394</v>
      </c>
      <c r="BQ891" t="s">
        <v>2055</v>
      </c>
      <c r="BR891" t="s">
        <v>1053</v>
      </c>
      <c r="BS891" t="s">
        <v>1053</v>
      </c>
      <c r="BT891" t="s">
        <v>1053</v>
      </c>
      <c r="BU891" t="s">
        <v>1053</v>
      </c>
      <c r="BV891" t="s">
        <v>2304</v>
      </c>
      <c r="BW891" t="s">
        <v>2305</v>
      </c>
      <c r="BX891" t="str">
        <f>""</f>
        <v/>
      </c>
      <c r="BY891" t="str">
        <f>""</f>
        <v/>
      </c>
      <c r="BZ891" t="str">
        <f>""</f>
        <v/>
      </c>
      <c r="CA891" t="str">
        <f>""</f>
        <v/>
      </c>
      <c r="CB891" t="str">
        <f>""</f>
        <v/>
      </c>
      <c r="CC891" t="str">
        <f>""</f>
        <v/>
      </c>
      <c r="CD891" t="str">
        <f>""</f>
        <v/>
      </c>
      <c r="CE891" t="str">
        <f>""</f>
        <v/>
      </c>
      <c r="CF891" t="str">
        <f>""</f>
        <v/>
      </c>
      <c r="CG891" t="str">
        <f>""</f>
        <v/>
      </c>
      <c r="CH891" t="str">
        <f>""</f>
        <v/>
      </c>
    </row>
    <row r="892" spans="1:86" x14ac:dyDescent="0.25">
      <c r="A892" t="s">
        <v>4334</v>
      </c>
      <c r="B892" t="s">
        <v>4335</v>
      </c>
      <c r="C892" t="s">
        <v>1992</v>
      </c>
      <c r="D892" t="s">
        <v>2010</v>
      </c>
      <c r="E892" t="s">
        <v>4336</v>
      </c>
      <c r="F892" t="s">
        <v>4337</v>
      </c>
      <c r="H892" t="s">
        <v>4338</v>
      </c>
      <c r="I892" t="s">
        <v>1797</v>
      </c>
      <c r="J892" t="str">
        <f>"V8W 3M6"</f>
        <v>V8W 3M6</v>
      </c>
      <c r="K892" t="s">
        <v>373</v>
      </c>
      <c r="L892" t="s">
        <v>2062</v>
      </c>
      <c r="M892" t="s">
        <v>4339</v>
      </c>
      <c r="N892" t="s">
        <v>1992</v>
      </c>
      <c r="O892" t="s">
        <v>1992</v>
      </c>
      <c r="P892" t="s">
        <v>1992</v>
      </c>
      <c r="Q892" t="s">
        <v>1992</v>
      </c>
      <c r="R892" t="s">
        <v>1992</v>
      </c>
      <c r="S892" t="s">
        <v>1992</v>
      </c>
      <c r="T892" t="s">
        <v>1992</v>
      </c>
      <c r="U892" t="s">
        <v>1992</v>
      </c>
      <c r="V892" t="s">
        <v>1991</v>
      </c>
      <c r="W892" t="s">
        <v>1992</v>
      </c>
      <c r="X892" t="s">
        <v>1992</v>
      </c>
      <c r="Y892" t="s">
        <v>1992</v>
      </c>
      <c r="Z892" t="s">
        <v>1991</v>
      </c>
      <c r="AA892" t="s">
        <v>1992</v>
      </c>
      <c r="AB892" t="s">
        <v>4340</v>
      </c>
      <c r="AE892" t="s">
        <v>4341</v>
      </c>
      <c r="AF892" t="s">
        <v>2064</v>
      </c>
      <c r="AG892" t="s">
        <v>1991</v>
      </c>
      <c r="AH892">
        <v>30</v>
      </c>
      <c r="AI892">
        <v>30</v>
      </c>
      <c r="AJ892" t="s">
        <v>4342</v>
      </c>
      <c r="AK892">
        <v>23</v>
      </c>
      <c r="AL892">
        <v>66000</v>
      </c>
      <c r="BF892" t="s">
        <v>1053</v>
      </c>
      <c r="BG892" t="s">
        <v>5224</v>
      </c>
      <c r="BH892" t="s">
        <v>311</v>
      </c>
      <c r="BI892" t="s">
        <v>1053</v>
      </c>
      <c r="BJ892" t="s">
        <v>1053</v>
      </c>
      <c r="BK892" t="s">
        <v>1053</v>
      </c>
      <c r="BL892" t="s">
        <v>1053</v>
      </c>
      <c r="BO892" t="s">
        <v>2038</v>
      </c>
      <c r="BP892" t="s">
        <v>2038</v>
      </c>
      <c r="BQ892" t="s">
        <v>2038</v>
      </c>
      <c r="BR892" t="s">
        <v>2063</v>
      </c>
      <c r="BX892" t="str">
        <f>"SMTWTFS 0530-2000"</f>
        <v>SMTWTFS 0530-2000</v>
      </c>
      <c r="BY892" t="str">
        <f>""</f>
        <v/>
      </c>
      <c r="BZ892" t="str">
        <f>""</f>
        <v/>
      </c>
      <c r="CA892" t="str">
        <f>""</f>
        <v/>
      </c>
      <c r="CB892" t="str">
        <f>""</f>
        <v/>
      </c>
      <c r="CC892" t="str">
        <f>""</f>
        <v/>
      </c>
      <c r="CD892" t="str">
        <f>""</f>
        <v/>
      </c>
      <c r="CE892" t="str">
        <f>""</f>
        <v/>
      </c>
      <c r="CF892" t="str">
        <f>""</f>
        <v/>
      </c>
      <c r="CG892" t="str">
        <f>""</f>
        <v/>
      </c>
      <c r="CH892" t="str">
        <f>""</f>
        <v/>
      </c>
    </row>
    <row r="893" spans="1:86" x14ac:dyDescent="0.25">
      <c r="A893" t="s">
        <v>4343</v>
      </c>
      <c r="B893" t="s">
        <v>4344</v>
      </c>
      <c r="C893" t="s">
        <v>1992</v>
      </c>
      <c r="D893" t="s">
        <v>2028</v>
      </c>
      <c r="E893" t="s">
        <v>4345</v>
      </c>
      <c r="H893" t="s">
        <v>4346</v>
      </c>
      <c r="I893" t="s">
        <v>2061</v>
      </c>
      <c r="J893" t="str">
        <f>"93003"</f>
        <v>93003</v>
      </c>
      <c r="K893" t="s">
        <v>1998</v>
      </c>
      <c r="L893" t="s">
        <v>2045</v>
      </c>
      <c r="M893" t="s">
        <v>2063</v>
      </c>
      <c r="N893" t="s">
        <v>1992</v>
      </c>
      <c r="O893" t="s">
        <v>1992</v>
      </c>
      <c r="P893" t="s">
        <v>1991</v>
      </c>
      <c r="Q893" t="s">
        <v>1992</v>
      </c>
      <c r="R893" t="s">
        <v>1992</v>
      </c>
      <c r="S893" t="s">
        <v>1992</v>
      </c>
      <c r="T893" t="s">
        <v>1992</v>
      </c>
      <c r="U893" t="s">
        <v>1992</v>
      </c>
      <c r="V893" t="s">
        <v>1991</v>
      </c>
      <c r="W893" t="s">
        <v>1991</v>
      </c>
      <c r="X893" t="s">
        <v>1992</v>
      </c>
      <c r="Y893" t="s">
        <v>1991</v>
      </c>
      <c r="Z893" t="s">
        <v>1992</v>
      </c>
      <c r="AA893" t="s">
        <v>1992</v>
      </c>
      <c r="AF893" t="s">
        <v>2064</v>
      </c>
      <c r="AG893" t="s">
        <v>1991</v>
      </c>
      <c r="AH893">
        <v>30</v>
      </c>
      <c r="AI893">
        <v>30</v>
      </c>
      <c r="AJ893" t="s">
        <v>4347</v>
      </c>
      <c r="AK893">
        <v>13</v>
      </c>
      <c r="AL893">
        <v>55000</v>
      </c>
      <c r="AM893" t="s">
        <v>2298</v>
      </c>
      <c r="AN893" t="s">
        <v>2066</v>
      </c>
      <c r="AO893" t="s">
        <v>2063</v>
      </c>
      <c r="BF893" t="s">
        <v>1053</v>
      </c>
      <c r="BG893" t="s">
        <v>2067</v>
      </c>
      <c r="BH893" t="s">
        <v>275</v>
      </c>
      <c r="BI893" t="s">
        <v>1053</v>
      </c>
      <c r="BJ893" t="s">
        <v>2069</v>
      </c>
      <c r="BK893" t="s">
        <v>1053</v>
      </c>
      <c r="BL893" t="s">
        <v>2069</v>
      </c>
      <c r="BM893" t="s">
        <v>276</v>
      </c>
      <c r="BN893" t="s">
        <v>277</v>
      </c>
      <c r="BO893" t="s">
        <v>1053</v>
      </c>
      <c r="BP893" t="s">
        <v>2067</v>
      </c>
      <c r="BQ893" t="s">
        <v>275</v>
      </c>
      <c r="BR893" t="s">
        <v>1053</v>
      </c>
      <c r="BX893" t="str">
        <f>""</f>
        <v/>
      </c>
      <c r="BY893" t="str">
        <f>""</f>
        <v/>
      </c>
      <c r="BZ893" t="str">
        <f>""</f>
        <v/>
      </c>
      <c r="CA893" t="str">
        <f>""</f>
        <v/>
      </c>
      <c r="CB893" t="str">
        <f>""</f>
        <v/>
      </c>
      <c r="CC893" t="str">
        <f>""</f>
        <v/>
      </c>
      <c r="CD893" t="str">
        <f>"SMTWTFS 0000-2359"</f>
        <v>SMTWTFS 0000-2359</v>
      </c>
      <c r="CE893" t="str">
        <f>""</f>
        <v/>
      </c>
      <c r="CF893" t="str">
        <f>""</f>
        <v/>
      </c>
      <c r="CG893" t="str">
        <f>""</f>
        <v/>
      </c>
      <c r="CH893" t="str">
        <f>""</f>
        <v/>
      </c>
    </row>
    <row r="894" spans="1:86" x14ac:dyDescent="0.25">
      <c r="A894" t="s">
        <v>4348</v>
      </c>
      <c r="B894" t="s">
        <v>296</v>
      </c>
      <c r="D894" t="s">
        <v>2089</v>
      </c>
      <c r="AJ894" t="s">
        <v>2090</v>
      </c>
      <c r="BX894" t="str">
        <f>""</f>
        <v/>
      </c>
      <c r="BY894" t="str">
        <f>""</f>
        <v/>
      </c>
      <c r="BZ894" t="str">
        <f>""</f>
        <v/>
      </c>
      <c r="CA894" t="str">
        <f>""</f>
        <v/>
      </c>
      <c r="CB894" t="str">
        <f>""</f>
        <v/>
      </c>
      <c r="CC894" t="str">
        <f>""</f>
        <v/>
      </c>
      <c r="CD894" t="str">
        <f>""</f>
        <v/>
      </c>
      <c r="CE894" t="str">
        <f>""</f>
        <v/>
      </c>
      <c r="CF894" t="str">
        <f>""</f>
        <v/>
      </c>
      <c r="CG894" t="str">
        <f>""</f>
        <v/>
      </c>
      <c r="CH894" t="str">
        <f>""</f>
        <v/>
      </c>
    </row>
    <row r="895" spans="1:86" x14ac:dyDescent="0.25">
      <c r="A895" t="s">
        <v>4349</v>
      </c>
      <c r="B895" t="s">
        <v>4350</v>
      </c>
      <c r="C895" t="s">
        <v>1992</v>
      </c>
      <c r="D895" t="s">
        <v>2331</v>
      </c>
      <c r="E895" t="s">
        <v>4351</v>
      </c>
      <c r="F895" t="s">
        <v>4352</v>
      </c>
      <c r="H895" t="s">
        <v>4338</v>
      </c>
      <c r="I895" t="s">
        <v>1797</v>
      </c>
      <c r="J895" t="str">
        <f>"V8V 1W9"</f>
        <v>V8V 1W9</v>
      </c>
      <c r="K895" t="s">
        <v>373</v>
      </c>
      <c r="L895" t="s">
        <v>2062</v>
      </c>
      <c r="M895" t="s">
        <v>4353</v>
      </c>
      <c r="N895" t="s">
        <v>1992</v>
      </c>
      <c r="O895" t="s">
        <v>1992</v>
      </c>
      <c r="P895" t="s">
        <v>1992</v>
      </c>
      <c r="Q895" t="s">
        <v>1992</v>
      </c>
      <c r="R895" t="s">
        <v>1992</v>
      </c>
      <c r="S895" t="s">
        <v>1992</v>
      </c>
      <c r="T895" t="s">
        <v>1992</v>
      </c>
      <c r="U895" t="s">
        <v>1992</v>
      </c>
      <c r="V895" t="s">
        <v>1991</v>
      </c>
      <c r="W895" t="s">
        <v>1992</v>
      </c>
      <c r="X895" t="s">
        <v>1992</v>
      </c>
      <c r="Y895" t="s">
        <v>1992</v>
      </c>
      <c r="Z895" t="s">
        <v>1991</v>
      </c>
      <c r="AA895" t="s">
        <v>1991</v>
      </c>
      <c r="AB895" t="s">
        <v>4340</v>
      </c>
      <c r="AE895" t="s">
        <v>6800</v>
      </c>
      <c r="AF895" t="s">
        <v>2064</v>
      </c>
      <c r="AG895" t="s">
        <v>1991</v>
      </c>
      <c r="AH895">
        <v>45</v>
      </c>
      <c r="AI895">
        <v>45</v>
      </c>
      <c r="AJ895" t="s">
        <v>4354</v>
      </c>
      <c r="AK895">
        <v>15</v>
      </c>
      <c r="AM895" t="s">
        <v>4355</v>
      </c>
      <c r="BX895" t="str">
        <f>""</f>
        <v/>
      </c>
      <c r="BY895" t="str">
        <f>""</f>
        <v/>
      </c>
      <c r="BZ895" t="str">
        <f>""</f>
        <v/>
      </c>
      <c r="CA895" t="str">
        <f>""</f>
        <v/>
      </c>
      <c r="CB895" t="str">
        <f>""</f>
        <v/>
      </c>
      <c r="CC895" t="str">
        <f>""</f>
        <v/>
      </c>
      <c r="CD895" t="str">
        <f>""</f>
        <v/>
      </c>
      <c r="CE895" t="str">
        <f>""</f>
        <v/>
      </c>
      <c r="CF895" t="str">
        <f>""</f>
        <v/>
      </c>
      <c r="CG895" t="str">
        <f>""</f>
        <v/>
      </c>
      <c r="CH895" t="str">
        <f>""</f>
        <v/>
      </c>
    </row>
    <row r="896" spans="1:86" x14ac:dyDescent="0.25">
      <c r="A896" t="s">
        <v>4356</v>
      </c>
      <c r="B896" t="s">
        <v>4357</v>
      </c>
      <c r="C896" t="s">
        <v>1992</v>
      </c>
      <c r="D896" t="s">
        <v>2010</v>
      </c>
      <c r="E896" t="s">
        <v>4358</v>
      </c>
      <c r="F896" t="s">
        <v>4359</v>
      </c>
      <c r="G896" t="s">
        <v>445</v>
      </c>
      <c r="H896" t="s">
        <v>4360</v>
      </c>
      <c r="I896" t="s">
        <v>2061</v>
      </c>
      <c r="J896" t="str">
        <f>"93291-5053"</f>
        <v>93291-5053</v>
      </c>
      <c r="K896" t="s">
        <v>1998</v>
      </c>
      <c r="L896" t="s">
        <v>2062</v>
      </c>
      <c r="M896" t="s">
        <v>2063</v>
      </c>
      <c r="N896" t="s">
        <v>1992</v>
      </c>
      <c r="O896" t="s">
        <v>1992</v>
      </c>
      <c r="P896" t="s">
        <v>1992</v>
      </c>
      <c r="Q896" t="s">
        <v>1992</v>
      </c>
      <c r="R896" t="s">
        <v>1992</v>
      </c>
      <c r="S896" t="s">
        <v>1992</v>
      </c>
      <c r="T896" t="s">
        <v>1992</v>
      </c>
      <c r="U896" t="s">
        <v>1992</v>
      </c>
      <c r="V896" t="s">
        <v>1991</v>
      </c>
      <c r="W896" t="s">
        <v>1992</v>
      </c>
      <c r="X896" t="s">
        <v>1992</v>
      </c>
      <c r="Y896" t="s">
        <v>1991</v>
      </c>
      <c r="Z896" t="s">
        <v>1992</v>
      </c>
      <c r="AA896" t="s">
        <v>1991</v>
      </c>
      <c r="AF896" t="s">
        <v>2064</v>
      </c>
      <c r="AG896" t="s">
        <v>1991</v>
      </c>
      <c r="AH896">
        <v>30</v>
      </c>
      <c r="AI896">
        <v>30</v>
      </c>
      <c r="AJ896" t="s">
        <v>4361</v>
      </c>
      <c r="AK896">
        <v>334</v>
      </c>
      <c r="AL896">
        <v>98400</v>
      </c>
      <c r="AM896" t="s">
        <v>2298</v>
      </c>
      <c r="BF896" t="s">
        <v>1053</v>
      </c>
      <c r="BG896" t="s">
        <v>5224</v>
      </c>
      <c r="BH896" t="s">
        <v>2301</v>
      </c>
      <c r="BI896" t="s">
        <v>1053</v>
      </c>
      <c r="BK896" t="s">
        <v>1053</v>
      </c>
      <c r="BO896" t="s">
        <v>1053</v>
      </c>
      <c r="BP896" t="s">
        <v>518</v>
      </c>
      <c r="BQ896" t="s">
        <v>3820</v>
      </c>
      <c r="BR896" t="s">
        <v>1053</v>
      </c>
      <c r="BT896" t="s">
        <v>1053</v>
      </c>
      <c r="BV896" t="s">
        <v>2070</v>
      </c>
      <c r="BW896">
        <v>0</v>
      </c>
      <c r="BX896" t="str">
        <f>""</f>
        <v/>
      </c>
      <c r="BY896" t="str">
        <f>""</f>
        <v/>
      </c>
      <c r="BZ896" t="str">
        <f>""</f>
        <v/>
      </c>
      <c r="CA896" t="str">
        <f>""</f>
        <v/>
      </c>
      <c r="CB896" t="str">
        <f>""</f>
        <v/>
      </c>
      <c r="CC896" t="str">
        <f>""</f>
        <v/>
      </c>
      <c r="CD896" t="str">
        <f>""</f>
        <v/>
      </c>
      <c r="CE896" t="str">
        <f>""</f>
        <v/>
      </c>
      <c r="CF896" t="str">
        <f>""</f>
        <v/>
      </c>
      <c r="CG896" t="str">
        <f>""</f>
        <v/>
      </c>
      <c r="CH896" t="str">
        <f>""</f>
        <v/>
      </c>
    </row>
    <row r="897" spans="1:86" x14ac:dyDescent="0.25">
      <c r="A897" t="s">
        <v>4362</v>
      </c>
      <c r="B897" t="s">
        <v>4363</v>
      </c>
      <c r="C897" t="s">
        <v>1992</v>
      </c>
      <c r="D897" t="s">
        <v>1993</v>
      </c>
      <c r="E897" t="s">
        <v>4364</v>
      </c>
      <c r="F897" t="s">
        <v>4365</v>
      </c>
      <c r="G897" t="s">
        <v>4366</v>
      </c>
      <c r="H897" t="s">
        <v>4320</v>
      </c>
      <c r="I897" t="s">
        <v>2061</v>
      </c>
      <c r="J897" t="str">
        <f>"94589"</f>
        <v>94589</v>
      </c>
      <c r="K897" t="s">
        <v>1998</v>
      </c>
      <c r="L897" t="s">
        <v>2062</v>
      </c>
      <c r="M897" t="s">
        <v>2063</v>
      </c>
      <c r="N897" t="s">
        <v>1992</v>
      </c>
      <c r="O897" t="s">
        <v>1992</v>
      </c>
      <c r="P897" t="s">
        <v>1992</v>
      </c>
      <c r="Q897" t="s">
        <v>1992</v>
      </c>
      <c r="R897" t="s">
        <v>1992</v>
      </c>
      <c r="S897" t="s">
        <v>1992</v>
      </c>
      <c r="T897" t="s">
        <v>1992</v>
      </c>
      <c r="U897" t="s">
        <v>1992</v>
      </c>
      <c r="V897" t="s">
        <v>1991</v>
      </c>
      <c r="W897" t="s">
        <v>1992</v>
      </c>
      <c r="X897" t="s">
        <v>1992</v>
      </c>
      <c r="Y897" t="s">
        <v>1991</v>
      </c>
      <c r="Z897" t="s">
        <v>1992</v>
      </c>
      <c r="AA897" t="s">
        <v>1992</v>
      </c>
      <c r="AE897" t="s">
        <v>357</v>
      </c>
      <c r="AF897" t="s">
        <v>2064</v>
      </c>
      <c r="AG897" t="s">
        <v>1991</v>
      </c>
      <c r="AH897">
        <v>30</v>
      </c>
      <c r="AI897">
        <v>30</v>
      </c>
      <c r="AJ897" t="s">
        <v>4367</v>
      </c>
      <c r="AK897">
        <v>83</v>
      </c>
      <c r="AM897" t="s">
        <v>2298</v>
      </c>
      <c r="AN897" t="s">
        <v>308</v>
      </c>
      <c r="AO897" t="s">
        <v>2063</v>
      </c>
      <c r="BF897" t="s">
        <v>1053</v>
      </c>
      <c r="BG897" t="s">
        <v>309</v>
      </c>
      <c r="BH897" t="s">
        <v>2301</v>
      </c>
      <c r="BI897" t="s">
        <v>1053</v>
      </c>
      <c r="BK897" t="s">
        <v>1053</v>
      </c>
      <c r="BO897" t="s">
        <v>1053</v>
      </c>
      <c r="BP897" t="s">
        <v>394</v>
      </c>
      <c r="BQ897" t="s">
        <v>311</v>
      </c>
      <c r="BR897" t="s">
        <v>1053</v>
      </c>
      <c r="BS897" t="s">
        <v>1053</v>
      </c>
      <c r="BT897" t="s">
        <v>1053</v>
      </c>
      <c r="BU897" t="s">
        <v>1053</v>
      </c>
      <c r="BX897" t="str">
        <f>""</f>
        <v/>
      </c>
      <c r="BY897" t="str">
        <f>""</f>
        <v/>
      </c>
      <c r="BZ897" t="str">
        <f>""</f>
        <v/>
      </c>
      <c r="CA897" t="str">
        <f>""</f>
        <v/>
      </c>
      <c r="CB897" t="str">
        <f>""</f>
        <v/>
      </c>
      <c r="CC897" t="str">
        <f>""</f>
        <v/>
      </c>
      <c r="CD897" t="str">
        <f>""</f>
        <v/>
      </c>
      <c r="CE897" t="str">
        <f>""</f>
        <v/>
      </c>
      <c r="CF897" t="str">
        <f>""</f>
        <v/>
      </c>
      <c r="CG897" t="str">
        <f>""</f>
        <v/>
      </c>
      <c r="CH897" t="str">
        <f>""</f>
        <v/>
      </c>
    </row>
    <row r="898" spans="1:86" x14ac:dyDescent="0.25">
      <c r="A898" t="s">
        <v>4368</v>
      </c>
      <c r="B898" t="s">
        <v>4369</v>
      </c>
      <c r="C898" t="s">
        <v>1991</v>
      </c>
      <c r="D898" t="s">
        <v>2010</v>
      </c>
      <c r="E898" t="s">
        <v>4370</v>
      </c>
      <c r="F898" t="s">
        <v>2940</v>
      </c>
      <c r="H898" t="s">
        <v>4371</v>
      </c>
      <c r="I898" t="s">
        <v>2061</v>
      </c>
      <c r="J898" t="str">
        <f>"91405"</f>
        <v>91405</v>
      </c>
      <c r="K898" t="s">
        <v>1998</v>
      </c>
      <c r="L898" t="s">
        <v>2045</v>
      </c>
      <c r="M898" t="s">
        <v>4372</v>
      </c>
      <c r="N898" t="s">
        <v>1991</v>
      </c>
      <c r="O898" t="s">
        <v>1991</v>
      </c>
      <c r="P898" t="s">
        <v>1991</v>
      </c>
      <c r="Q898" t="s">
        <v>1991</v>
      </c>
      <c r="R898" t="s">
        <v>1992</v>
      </c>
      <c r="S898" t="s">
        <v>1992</v>
      </c>
      <c r="T898" t="s">
        <v>1992</v>
      </c>
      <c r="U898" t="s">
        <v>1991</v>
      </c>
      <c r="V898" t="s">
        <v>1991</v>
      </c>
      <c r="W898" t="s">
        <v>1991</v>
      </c>
      <c r="X898" t="s">
        <v>1991</v>
      </c>
      <c r="Y898" t="s">
        <v>1991</v>
      </c>
      <c r="Z898" t="s">
        <v>1992</v>
      </c>
      <c r="AA898" t="s">
        <v>1992</v>
      </c>
      <c r="AB898" t="s">
        <v>4373</v>
      </c>
      <c r="AE898" t="s">
        <v>2047</v>
      </c>
      <c r="AF898" t="s">
        <v>2064</v>
      </c>
      <c r="AG898" t="s">
        <v>1991</v>
      </c>
      <c r="AH898">
        <v>60</v>
      </c>
      <c r="AI898">
        <v>30</v>
      </c>
      <c r="AJ898" t="s">
        <v>4374</v>
      </c>
      <c r="AK898">
        <v>779</v>
      </c>
      <c r="AL898">
        <v>136443</v>
      </c>
      <c r="AM898" t="s">
        <v>2298</v>
      </c>
      <c r="AN898" t="s">
        <v>1053</v>
      </c>
      <c r="AO898" t="s">
        <v>1053</v>
      </c>
      <c r="AP898" t="s">
        <v>2069</v>
      </c>
      <c r="AQ898" t="s">
        <v>1053</v>
      </c>
      <c r="AR898" t="s">
        <v>2069</v>
      </c>
      <c r="AS898" t="s">
        <v>4368</v>
      </c>
      <c r="AT898" t="s">
        <v>4375</v>
      </c>
      <c r="AU898" t="s">
        <v>1053</v>
      </c>
      <c r="AV898" t="s">
        <v>1053</v>
      </c>
      <c r="AW898" t="s">
        <v>2069</v>
      </c>
      <c r="AX898" t="s">
        <v>1053</v>
      </c>
      <c r="AY898" t="s">
        <v>2069</v>
      </c>
      <c r="AZ898" t="s">
        <v>4368</v>
      </c>
      <c r="BA898" t="s">
        <v>4375</v>
      </c>
      <c r="BB898" t="s">
        <v>1053</v>
      </c>
      <c r="BC898" t="s">
        <v>2069</v>
      </c>
      <c r="BD898" t="s">
        <v>1053</v>
      </c>
      <c r="BE898" t="s">
        <v>2069</v>
      </c>
      <c r="BF898" t="s">
        <v>1053</v>
      </c>
      <c r="BG898" t="s">
        <v>2067</v>
      </c>
      <c r="BH898" t="s">
        <v>275</v>
      </c>
      <c r="BI898" t="s">
        <v>1053</v>
      </c>
      <c r="BJ898" t="s">
        <v>2069</v>
      </c>
      <c r="BK898" t="s">
        <v>1053</v>
      </c>
      <c r="BL898" t="s">
        <v>2069</v>
      </c>
      <c r="BM898" t="s">
        <v>276</v>
      </c>
      <c r="BN898" t="s">
        <v>277</v>
      </c>
      <c r="BO898" t="s">
        <v>1053</v>
      </c>
      <c r="BP898" t="s">
        <v>2067</v>
      </c>
      <c r="BQ898" t="s">
        <v>275</v>
      </c>
      <c r="BR898" t="s">
        <v>1053</v>
      </c>
      <c r="BX898" t="str">
        <f>"SMTWTFS 0630-2200"</f>
        <v>SMTWTFS 0630-2200</v>
      </c>
      <c r="BY898" t="str">
        <f>"SMTWTFS 0630-2030"</f>
        <v>SMTWTFS 0630-2030</v>
      </c>
      <c r="BZ898" t="str">
        <f>"SMTWTFS 0630-2200"</f>
        <v>SMTWTFS 0630-2200</v>
      </c>
      <c r="CA898" t="str">
        <f>"SMTWTFS 0630-2145"</f>
        <v>SMTWTFS 0630-2145</v>
      </c>
      <c r="CB898" t="str">
        <f>""</f>
        <v/>
      </c>
      <c r="CC898" t="str">
        <f>"SMTWTFS 0630-2200"</f>
        <v>SMTWTFS 0630-2200</v>
      </c>
      <c r="CD898" t="str">
        <f>"SMTWTFS 0000-2359"</f>
        <v>SMTWTFS 0000-2359</v>
      </c>
      <c r="CE898" t="str">
        <f>""</f>
        <v/>
      </c>
      <c r="CF898" t="str">
        <f>""</f>
        <v/>
      </c>
      <c r="CG898" t="str">
        <f>""</f>
        <v/>
      </c>
      <c r="CH898" t="str">
        <f>""</f>
        <v/>
      </c>
    </row>
    <row r="899" spans="1:86" x14ac:dyDescent="0.25">
      <c r="A899" t="s">
        <v>4376</v>
      </c>
      <c r="B899" t="s">
        <v>4377</v>
      </c>
      <c r="C899" t="s">
        <v>1992</v>
      </c>
      <c r="D899" t="s">
        <v>2010</v>
      </c>
      <c r="E899" t="s">
        <v>4378</v>
      </c>
      <c r="F899" t="s">
        <v>4379</v>
      </c>
      <c r="H899" t="s">
        <v>4380</v>
      </c>
      <c r="I899" t="s">
        <v>2061</v>
      </c>
      <c r="J899" t="str">
        <f>"92395-3219"</f>
        <v>92395-3219</v>
      </c>
      <c r="K899" t="s">
        <v>1998</v>
      </c>
      <c r="L899" t="s">
        <v>2045</v>
      </c>
      <c r="M899" t="s">
        <v>2000</v>
      </c>
      <c r="N899" t="s">
        <v>1992</v>
      </c>
      <c r="O899" t="s">
        <v>1992</v>
      </c>
      <c r="P899" t="s">
        <v>1992</v>
      </c>
      <c r="Q899" t="s">
        <v>1992</v>
      </c>
      <c r="R899" t="s">
        <v>1992</v>
      </c>
      <c r="S899" t="s">
        <v>1992</v>
      </c>
      <c r="T899" t="s">
        <v>1992</v>
      </c>
      <c r="U899" t="s">
        <v>1992</v>
      </c>
      <c r="V899" t="s">
        <v>1991</v>
      </c>
      <c r="Y899" t="s">
        <v>1991</v>
      </c>
      <c r="AA899" t="s">
        <v>1991</v>
      </c>
      <c r="AB899" t="s">
        <v>4381</v>
      </c>
      <c r="AE899" t="s">
        <v>3631</v>
      </c>
      <c r="AF899" t="s">
        <v>2064</v>
      </c>
      <c r="AG899" t="s">
        <v>1991</v>
      </c>
      <c r="AH899">
        <v>15</v>
      </c>
      <c r="AI899">
        <v>15</v>
      </c>
      <c r="AJ899" t="s">
        <v>4382</v>
      </c>
      <c r="AK899">
        <v>2723</v>
      </c>
      <c r="AL899">
        <v>25000</v>
      </c>
      <c r="AM899" t="s">
        <v>4383</v>
      </c>
      <c r="BF899" t="s">
        <v>1053</v>
      </c>
      <c r="BG899" t="s">
        <v>507</v>
      </c>
      <c r="BH899" t="s">
        <v>610</v>
      </c>
      <c r="BI899" t="s">
        <v>1053</v>
      </c>
      <c r="BO899" t="s">
        <v>1053</v>
      </c>
      <c r="BP899" t="s">
        <v>310</v>
      </c>
      <c r="BQ899" t="s">
        <v>2303</v>
      </c>
      <c r="BR899" t="s">
        <v>1053</v>
      </c>
      <c r="BX899" t="str">
        <f>"-MTWTFS 1000-1415 1700-1800"</f>
        <v>-MTWTFS 1000-1415 1700-1800</v>
      </c>
      <c r="BY899" t="str">
        <f>""</f>
        <v/>
      </c>
      <c r="BZ899" t="str">
        <f>""</f>
        <v/>
      </c>
      <c r="CA899" t="str">
        <f>""</f>
        <v/>
      </c>
      <c r="CB899" t="str">
        <f>""</f>
        <v/>
      </c>
      <c r="CC899" t="str">
        <f>""</f>
        <v/>
      </c>
      <c r="CD899" t="str">
        <f>""</f>
        <v/>
      </c>
      <c r="CE899" t="str">
        <f>""</f>
        <v/>
      </c>
      <c r="CF899" t="str">
        <f>""</f>
        <v/>
      </c>
      <c r="CG899" t="str">
        <f>""</f>
        <v/>
      </c>
      <c r="CH899" t="str">
        <f>""</f>
        <v/>
      </c>
    </row>
    <row r="900" spans="1:86" x14ac:dyDescent="0.25">
      <c r="A900" t="s">
        <v>4384</v>
      </c>
      <c r="B900" t="s">
        <v>4385</v>
      </c>
      <c r="C900" t="s">
        <v>1992</v>
      </c>
      <c r="D900" t="s">
        <v>2028</v>
      </c>
      <c r="E900" t="s">
        <v>4386</v>
      </c>
      <c r="H900" t="s">
        <v>4380</v>
      </c>
      <c r="I900" t="s">
        <v>2061</v>
      </c>
      <c r="J900" t="str">
        <f>"92395"</f>
        <v>92395</v>
      </c>
      <c r="K900" t="s">
        <v>1998</v>
      </c>
      <c r="L900" t="s">
        <v>2045</v>
      </c>
      <c r="M900" t="s">
        <v>2000</v>
      </c>
      <c r="N900" t="s">
        <v>1992</v>
      </c>
      <c r="O900" t="s">
        <v>1992</v>
      </c>
      <c r="P900" t="s">
        <v>1992</v>
      </c>
      <c r="Q900" t="s">
        <v>1992</v>
      </c>
      <c r="R900" t="s">
        <v>1992</v>
      </c>
      <c r="S900" t="s">
        <v>1992</v>
      </c>
      <c r="T900" t="s">
        <v>1992</v>
      </c>
      <c r="U900" t="s">
        <v>1992</v>
      </c>
      <c r="V900" t="s">
        <v>1991</v>
      </c>
      <c r="W900" t="s">
        <v>1991</v>
      </c>
      <c r="X900" t="s">
        <v>1992</v>
      </c>
      <c r="Y900" t="s">
        <v>1992</v>
      </c>
      <c r="Z900" t="s">
        <v>1992</v>
      </c>
      <c r="AA900" t="s">
        <v>1992</v>
      </c>
      <c r="AB900" t="s">
        <v>4381</v>
      </c>
      <c r="AF900" t="s">
        <v>2064</v>
      </c>
      <c r="AG900" t="s">
        <v>1991</v>
      </c>
      <c r="AH900">
        <v>30</v>
      </c>
      <c r="AI900">
        <v>30</v>
      </c>
      <c r="AJ900" t="s">
        <v>4387</v>
      </c>
      <c r="AK900">
        <v>2725</v>
      </c>
      <c r="AL900">
        <v>25000</v>
      </c>
      <c r="AM900" t="s">
        <v>4388</v>
      </c>
      <c r="BF900" t="s">
        <v>1053</v>
      </c>
      <c r="BG900" t="s">
        <v>2019</v>
      </c>
      <c r="BH900" t="s">
        <v>2043</v>
      </c>
      <c r="BI900" t="s">
        <v>1053</v>
      </c>
      <c r="BK900" t="s">
        <v>1053</v>
      </c>
      <c r="BO900" t="s">
        <v>1053</v>
      </c>
      <c r="BP900" t="s">
        <v>2054</v>
      </c>
      <c r="BQ900" t="s">
        <v>2055</v>
      </c>
      <c r="BR900" t="s">
        <v>1053</v>
      </c>
      <c r="BT900" t="s">
        <v>1053</v>
      </c>
      <c r="BU900" t="s">
        <v>1053</v>
      </c>
      <c r="BV900" t="s">
        <v>2056</v>
      </c>
      <c r="BX900" t="str">
        <f>"SMTWTFS 0001-2359"</f>
        <v>SMTWTFS 0001-2359</v>
      </c>
      <c r="BY900" t="str">
        <f>""</f>
        <v/>
      </c>
      <c r="BZ900" t="str">
        <f>""</f>
        <v/>
      </c>
      <c r="CA900" t="str">
        <f>""</f>
        <v/>
      </c>
      <c r="CB900" t="str">
        <f>""</f>
        <v/>
      </c>
      <c r="CC900" t="str">
        <f>""</f>
        <v/>
      </c>
      <c r="CD900" t="str">
        <f>""</f>
        <v/>
      </c>
      <c r="CE900" t="str">
        <f>""</f>
        <v/>
      </c>
      <c r="CF900" t="str">
        <f>""</f>
        <v/>
      </c>
      <c r="CG900" t="str">
        <f>""</f>
        <v/>
      </c>
      <c r="CH900" t="str">
        <f>""</f>
        <v/>
      </c>
    </row>
    <row r="901" spans="1:86" x14ac:dyDescent="0.25">
      <c r="A901" t="s">
        <v>4389</v>
      </c>
      <c r="B901" t="s">
        <v>4390</v>
      </c>
      <c r="C901" t="s">
        <v>1992</v>
      </c>
      <c r="D901" t="s">
        <v>2028</v>
      </c>
      <c r="E901" t="s">
        <v>4391</v>
      </c>
      <c r="H901" t="s">
        <v>4392</v>
      </c>
      <c r="I901" t="s">
        <v>680</v>
      </c>
      <c r="J901" t="str">
        <f>"05676"</f>
        <v>05676</v>
      </c>
      <c r="K901" t="s">
        <v>1998</v>
      </c>
      <c r="L901" t="s">
        <v>2033</v>
      </c>
      <c r="M901" t="s">
        <v>4393</v>
      </c>
      <c r="N901" t="s">
        <v>1992</v>
      </c>
      <c r="O901" t="s">
        <v>1992</v>
      </c>
      <c r="P901" t="s">
        <v>1992</v>
      </c>
      <c r="Q901" t="s">
        <v>1992</v>
      </c>
      <c r="R901" t="s">
        <v>1992</v>
      </c>
      <c r="S901" t="s">
        <v>1992</v>
      </c>
      <c r="T901" t="s">
        <v>1992</v>
      </c>
      <c r="U901" t="s">
        <v>1992</v>
      </c>
      <c r="V901" t="s">
        <v>1991</v>
      </c>
      <c r="W901" t="s">
        <v>1991</v>
      </c>
      <c r="X901" t="s">
        <v>1992</v>
      </c>
      <c r="Y901" t="s">
        <v>1992</v>
      </c>
      <c r="Z901" t="s">
        <v>1992</v>
      </c>
      <c r="AA901" t="s">
        <v>1992</v>
      </c>
      <c r="AF901" t="s">
        <v>2016</v>
      </c>
      <c r="AG901" t="s">
        <v>1991</v>
      </c>
      <c r="AH901">
        <v>30</v>
      </c>
      <c r="AI901">
        <v>30</v>
      </c>
      <c r="AJ901" t="s">
        <v>4394</v>
      </c>
      <c r="AK901">
        <v>421</v>
      </c>
      <c r="AL901">
        <v>1689</v>
      </c>
      <c r="AN901" t="s">
        <v>2066</v>
      </c>
      <c r="AO901" t="s">
        <v>2063</v>
      </c>
      <c r="AU901" t="s">
        <v>1053</v>
      </c>
      <c r="BF901" t="s">
        <v>1053</v>
      </c>
      <c r="BG901" t="s">
        <v>4395</v>
      </c>
      <c r="BH901" t="s">
        <v>5549</v>
      </c>
      <c r="BI901" t="s">
        <v>1053</v>
      </c>
      <c r="BJ901" t="s">
        <v>1053</v>
      </c>
      <c r="BK901" t="s">
        <v>1053</v>
      </c>
      <c r="BL901" t="s">
        <v>1053</v>
      </c>
      <c r="BM901" t="s">
        <v>251</v>
      </c>
      <c r="BN901" t="s">
        <v>252</v>
      </c>
      <c r="BO901" t="s">
        <v>1053</v>
      </c>
      <c r="BP901" t="s">
        <v>253</v>
      </c>
      <c r="BQ901" t="s">
        <v>254</v>
      </c>
      <c r="BR901" t="s">
        <v>1053</v>
      </c>
      <c r="BS901" t="s">
        <v>1053</v>
      </c>
      <c r="BT901" t="s">
        <v>1053</v>
      </c>
      <c r="BU901" t="s">
        <v>1053</v>
      </c>
      <c r="BV901" t="s">
        <v>255</v>
      </c>
      <c r="BW901" t="s">
        <v>256</v>
      </c>
      <c r="BX901" t="str">
        <f>"SMTWTFS 0830-1030 1915-2115"</f>
        <v>SMTWTFS 0830-1030 1915-2115</v>
      </c>
      <c r="BY901" t="str">
        <f>""</f>
        <v/>
      </c>
      <c r="BZ901" t="str">
        <f>""</f>
        <v/>
      </c>
      <c r="CA901" t="str">
        <f>""</f>
        <v/>
      </c>
      <c r="CB901" t="str">
        <f>""</f>
        <v/>
      </c>
      <c r="CC901" t="str">
        <f>""</f>
        <v/>
      </c>
      <c r="CD901" t="str">
        <f>""</f>
        <v/>
      </c>
      <c r="CE901" t="str">
        <f>""</f>
        <v/>
      </c>
      <c r="CF901" t="str">
        <f>""</f>
        <v/>
      </c>
      <c r="CG901" t="str">
        <f>""</f>
        <v/>
      </c>
      <c r="CH901" t="str">
        <f>""</f>
        <v/>
      </c>
    </row>
    <row r="902" spans="1:86" x14ac:dyDescent="0.25">
      <c r="A902" t="s">
        <v>4396</v>
      </c>
      <c r="B902" t="s">
        <v>4397</v>
      </c>
      <c r="C902" t="s">
        <v>1992</v>
      </c>
      <c r="D902" t="s">
        <v>2028</v>
      </c>
      <c r="E902" t="s">
        <v>4398</v>
      </c>
      <c r="H902" t="s">
        <v>4399</v>
      </c>
      <c r="I902" t="s">
        <v>2061</v>
      </c>
      <c r="J902" t="str">
        <f>"93280-2026"</f>
        <v>93280-2026</v>
      </c>
      <c r="K902" t="s">
        <v>1998</v>
      </c>
      <c r="L902" t="s">
        <v>2062</v>
      </c>
      <c r="M902" t="s">
        <v>2063</v>
      </c>
      <c r="N902" t="s">
        <v>1992</v>
      </c>
      <c r="O902" t="s">
        <v>1991</v>
      </c>
      <c r="P902" t="s">
        <v>1992</v>
      </c>
      <c r="Q902" t="s">
        <v>1992</v>
      </c>
      <c r="R902" t="s">
        <v>1992</v>
      </c>
      <c r="S902" t="s">
        <v>1992</v>
      </c>
      <c r="T902" t="s">
        <v>1992</v>
      </c>
      <c r="U902" t="s">
        <v>1992</v>
      </c>
      <c r="V902" t="s">
        <v>1991</v>
      </c>
      <c r="W902" t="s">
        <v>1991</v>
      </c>
      <c r="X902" t="s">
        <v>1992</v>
      </c>
      <c r="Y902" t="s">
        <v>1992</v>
      </c>
      <c r="Z902" t="s">
        <v>1992</v>
      </c>
      <c r="AA902" t="s">
        <v>1991</v>
      </c>
      <c r="AF902" t="s">
        <v>2064</v>
      </c>
      <c r="AG902" t="s">
        <v>1991</v>
      </c>
      <c r="AH902">
        <v>30</v>
      </c>
      <c r="AI902">
        <v>30</v>
      </c>
      <c r="AJ902" t="s">
        <v>4400</v>
      </c>
      <c r="AK902">
        <v>337</v>
      </c>
      <c r="AL902">
        <v>24279</v>
      </c>
      <c r="AN902" t="s">
        <v>2066</v>
      </c>
      <c r="AO902" t="s">
        <v>2063</v>
      </c>
      <c r="BF902" t="s">
        <v>1053</v>
      </c>
      <c r="BG902" t="s">
        <v>2067</v>
      </c>
      <c r="BH902" t="s">
        <v>2068</v>
      </c>
      <c r="BI902" t="s">
        <v>1053</v>
      </c>
      <c r="BJ902" t="s">
        <v>2069</v>
      </c>
      <c r="BK902" t="s">
        <v>1053</v>
      </c>
      <c r="BL902" t="s">
        <v>2069</v>
      </c>
      <c r="BM902" t="s">
        <v>2070</v>
      </c>
      <c r="BN902" t="s">
        <v>2071</v>
      </c>
      <c r="BO902" t="s">
        <v>1053</v>
      </c>
      <c r="BP902" t="s">
        <v>614</v>
      </c>
      <c r="BQ902" t="s">
        <v>2073</v>
      </c>
      <c r="BR902" t="s">
        <v>1053</v>
      </c>
      <c r="BS902" t="s">
        <v>1053</v>
      </c>
      <c r="BT902" t="s">
        <v>1053</v>
      </c>
      <c r="BU902" t="s">
        <v>1053</v>
      </c>
      <c r="BV902" t="s">
        <v>2074</v>
      </c>
      <c r="BX902" t="str">
        <f>""</f>
        <v/>
      </c>
      <c r="BY902" t="str">
        <f>""</f>
        <v/>
      </c>
      <c r="BZ902" t="str">
        <f>""</f>
        <v/>
      </c>
      <c r="CA902" t="str">
        <f>""</f>
        <v/>
      </c>
      <c r="CB902" t="str">
        <f>""</f>
        <v/>
      </c>
      <c r="CC902" t="str">
        <f>"SMTWTFS 0000-2359"</f>
        <v>SMTWTFS 0000-2359</v>
      </c>
      <c r="CD902" t="str">
        <f>""</f>
        <v/>
      </c>
      <c r="CE902" t="str">
        <f>""</f>
        <v/>
      </c>
      <c r="CF902" t="str">
        <f>""</f>
        <v/>
      </c>
      <c r="CG902" t="str">
        <f>""</f>
        <v/>
      </c>
      <c r="CH902" t="str">
        <f>""</f>
        <v/>
      </c>
    </row>
    <row r="903" spans="1:86" x14ac:dyDescent="0.25">
      <c r="A903" t="s">
        <v>4401</v>
      </c>
      <c r="B903" t="s">
        <v>4402</v>
      </c>
      <c r="C903" t="s">
        <v>1992</v>
      </c>
      <c r="D903" t="s">
        <v>2010</v>
      </c>
      <c r="E903" t="s">
        <v>4403</v>
      </c>
      <c r="H903" t="s">
        <v>460</v>
      </c>
      <c r="I903" t="s">
        <v>5524</v>
      </c>
      <c r="J903" t="str">
        <f>"63090-2118"</f>
        <v>63090-2118</v>
      </c>
      <c r="K903" t="s">
        <v>1998</v>
      </c>
      <c r="L903" t="s">
        <v>1999</v>
      </c>
      <c r="M903" t="s">
        <v>2063</v>
      </c>
      <c r="N903" t="s">
        <v>1992</v>
      </c>
      <c r="O903" t="s">
        <v>1992</v>
      </c>
      <c r="P903" t="s">
        <v>1992</v>
      </c>
      <c r="Q903" t="s">
        <v>1992</v>
      </c>
      <c r="R903" t="s">
        <v>1992</v>
      </c>
      <c r="S903" t="s">
        <v>1992</v>
      </c>
      <c r="T903" t="s">
        <v>1992</v>
      </c>
      <c r="U903" t="s">
        <v>1992</v>
      </c>
      <c r="V903" t="s">
        <v>1991</v>
      </c>
      <c r="W903" t="s">
        <v>1991</v>
      </c>
      <c r="X903" t="s">
        <v>1992</v>
      </c>
      <c r="Y903" t="s">
        <v>1992</v>
      </c>
      <c r="Z903" t="s">
        <v>1992</v>
      </c>
      <c r="AF903" t="s">
        <v>2001</v>
      </c>
      <c r="AG903" t="s">
        <v>1991</v>
      </c>
      <c r="AH903">
        <v>30</v>
      </c>
      <c r="AI903">
        <v>30</v>
      </c>
      <c r="AJ903" t="s">
        <v>4404</v>
      </c>
      <c r="AK903">
        <v>495</v>
      </c>
      <c r="AL903">
        <v>13000</v>
      </c>
      <c r="AM903" t="s">
        <v>4405</v>
      </c>
      <c r="AN903" t="s">
        <v>2066</v>
      </c>
      <c r="AO903" t="s">
        <v>2063</v>
      </c>
      <c r="BF903" t="s">
        <v>1053</v>
      </c>
      <c r="BG903" t="s">
        <v>2371</v>
      </c>
      <c r="BH903" t="s">
        <v>176</v>
      </c>
      <c r="BI903" t="s">
        <v>1053</v>
      </c>
      <c r="BJ903" t="s">
        <v>1053</v>
      </c>
      <c r="BK903" t="s">
        <v>1053</v>
      </c>
      <c r="BL903" t="s">
        <v>1053</v>
      </c>
      <c r="BM903" t="s">
        <v>2373</v>
      </c>
      <c r="BN903" t="s">
        <v>2374</v>
      </c>
      <c r="BO903" t="s">
        <v>1053</v>
      </c>
      <c r="BP903" t="s">
        <v>340</v>
      </c>
      <c r="BQ903" t="s">
        <v>2376</v>
      </c>
      <c r="BR903" t="s">
        <v>1053</v>
      </c>
      <c r="BX903" t="str">
        <f>"SMTWTFS 0736-2000"</f>
        <v>SMTWTFS 0736-2000</v>
      </c>
      <c r="BY903" t="str">
        <f>""</f>
        <v/>
      </c>
      <c r="BZ903" t="str">
        <f>""</f>
        <v/>
      </c>
      <c r="CA903" t="str">
        <f>""</f>
        <v/>
      </c>
      <c r="CB903" t="str">
        <f>""</f>
        <v/>
      </c>
      <c r="CC903" t="str">
        <f>""</f>
        <v/>
      </c>
      <c r="CD903" t="str">
        <f>""</f>
        <v/>
      </c>
      <c r="CE903" t="str">
        <f>""</f>
        <v/>
      </c>
      <c r="CF903" t="str">
        <f>""</f>
        <v/>
      </c>
      <c r="CG903" t="str">
        <f>""</f>
        <v/>
      </c>
      <c r="CH903" t="str">
        <f>""</f>
        <v/>
      </c>
    </row>
    <row r="904" spans="1:86" x14ac:dyDescent="0.25">
      <c r="A904" t="s">
        <v>4406</v>
      </c>
      <c r="B904" t="s">
        <v>4407</v>
      </c>
      <c r="C904" t="s">
        <v>1992</v>
      </c>
      <c r="D904" t="s">
        <v>2010</v>
      </c>
      <c r="E904" t="s">
        <v>4408</v>
      </c>
      <c r="H904" t="s">
        <v>4409</v>
      </c>
      <c r="I904" t="s">
        <v>5524</v>
      </c>
      <c r="J904" t="str">
        <f>"64093-2331"</f>
        <v>64093-2331</v>
      </c>
      <c r="K904" t="s">
        <v>1998</v>
      </c>
      <c r="L904" t="s">
        <v>1999</v>
      </c>
      <c r="M904" t="s">
        <v>2063</v>
      </c>
      <c r="N904" t="s">
        <v>1992</v>
      </c>
      <c r="O904" t="s">
        <v>1992</v>
      </c>
      <c r="P904" t="s">
        <v>1992</v>
      </c>
      <c r="Q904" t="s">
        <v>1992</v>
      </c>
      <c r="R904" t="s">
        <v>1992</v>
      </c>
      <c r="S904" t="s">
        <v>1992</v>
      </c>
      <c r="T904" t="s">
        <v>1992</v>
      </c>
      <c r="U904" t="s">
        <v>1992</v>
      </c>
      <c r="V904" t="s">
        <v>1991</v>
      </c>
      <c r="W904" t="s">
        <v>1991</v>
      </c>
      <c r="X904" t="s">
        <v>1992</v>
      </c>
      <c r="Y904" t="s">
        <v>1992</v>
      </c>
      <c r="Z904" t="s">
        <v>1992</v>
      </c>
      <c r="AF904" t="s">
        <v>2001</v>
      </c>
      <c r="AG904" t="s">
        <v>1991</v>
      </c>
      <c r="AH904">
        <v>30</v>
      </c>
      <c r="AI904">
        <v>30</v>
      </c>
      <c r="AJ904" t="s">
        <v>4410</v>
      </c>
      <c r="AK904">
        <v>832</v>
      </c>
      <c r="AL904">
        <v>13807</v>
      </c>
      <c r="AN904" t="s">
        <v>2066</v>
      </c>
      <c r="AO904" t="s">
        <v>2063</v>
      </c>
      <c r="BF904" t="s">
        <v>1053</v>
      </c>
      <c r="BG904" t="s">
        <v>2371</v>
      </c>
      <c r="BH904" t="s">
        <v>2830</v>
      </c>
      <c r="BI904" t="s">
        <v>1053</v>
      </c>
      <c r="BJ904" t="s">
        <v>1053</v>
      </c>
      <c r="BK904" t="s">
        <v>1053</v>
      </c>
      <c r="BL904" t="s">
        <v>1053</v>
      </c>
      <c r="BM904" t="s">
        <v>2373</v>
      </c>
      <c r="BN904" t="s">
        <v>2374</v>
      </c>
      <c r="BO904" t="s">
        <v>1053</v>
      </c>
      <c r="BP904" t="s">
        <v>2023</v>
      </c>
      <c r="BQ904" t="s">
        <v>2679</v>
      </c>
      <c r="BR904" t="s">
        <v>1053</v>
      </c>
      <c r="BS904" t="s">
        <v>2069</v>
      </c>
      <c r="BU904" t="s">
        <v>2069</v>
      </c>
      <c r="BX904" t="str">
        <f>"S-----S 0700-2100; -MTWTF- 0730-2100"</f>
        <v>S-----S 0700-2100; -MTWTF- 0730-2100</v>
      </c>
      <c r="BY904" t="str">
        <f>""</f>
        <v/>
      </c>
      <c r="BZ904" t="str">
        <f>""</f>
        <v/>
      </c>
      <c r="CA904" t="str">
        <f>""</f>
        <v/>
      </c>
      <c r="CB904" t="str">
        <f>""</f>
        <v/>
      </c>
      <c r="CC904" t="str">
        <f>""</f>
        <v/>
      </c>
      <c r="CD904" t="str">
        <f>""</f>
        <v/>
      </c>
      <c r="CE904" t="str">
        <f>""</f>
        <v/>
      </c>
      <c r="CF904" t="str">
        <f>""</f>
        <v/>
      </c>
      <c r="CG904" t="str">
        <f>""</f>
        <v/>
      </c>
      <c r="CH904" t="str">
        <f>""</f>
        <v/>
      </c>
    </row>
    <row r="905" spans="1:86" x14ac:dyDescent="0.25">
      <c r="A905" t="s">
        <v>461</v>
      </c>
      <c r="B905" t="s">
        <v>4411</v>
      </c>
      <c r="C905" t="s">
        <v>1991</v>
      </c>
      <c r="D905" t="s">
        <v>2010</v>
      </c>
      <c r="E905" t="s">
        <v>4412</v>
      </c>
      <c r="F905" t="s">
        <v>1095</v>
      </c>
      <c r="H905" t="s">
        <v>460</v>
      </c>
      <c r="I905" t="s">
        <v>4413</v>
      </c>
      <c r="J905" t="str">
        <f>"20002-4214"</f>
        <v>20002-4214</v>
      </c>
      <c r="K905" t="s">
        <v>1998</v>
      </c>
      <c r="L905" t="s">
        <v>2015</v>
      </c>
      <c r="M905" t="s">
        <v>4414</v>
      </c>
      <c r="N905" t="s">
        <v>1991</v>
      </c>
      <c r="O905" t="s">
        <v>1991</v>
      </c>
      <c r="P905" t="s">
        <v>1992</v>
      </c>
      <c r="Q905" t="s">
        <v>1991</v>
      </c>
      <c r="R905" t="s">
        <v>1991</v>
      </c>
      <c r="S905" t="s">
        <v>1992</v>
      </c>
      <c r="T905" t="s">
        <v>1991</v>
      </c>
      <c r="U905" t="s">
        <v>1991</v>
      </c>
      <c r="V905" t="s">
        <v>1991</v>
      </c>
      <c r="W905" t="s">
        <v>1991</v>
      </c>
      <c r="X905" t="s">
        <v>1991</v>
      </c>
      <c r="Y905" t="s">
        <v>1992</v>
      </c>
      <c r="Z905" t="s">
        <v>1991</v>
      </c>
      <c r="AA905" t="s">
        <v>1992</v>
      </c>
      <c r="AE905" t="s">
        <v>4415</v>
      </c>
      <c r="AF905" t="s">
        <v>2016</v>
      </c>
      <c r="AG905" t="s">
        <v>1991</v>
      </c>
      <c r="AH905">
        <v>60</v>
      </c>
      <c r="AI905">
        <v>30</v>
      </c>
      <c r="AJ905" t="s">
        <v>4416</v>
      </c>
      <c r="AK905">
        <v>56</v>
      </c>
      <c r="AL905">
        <v>650000</v>
      </c>
      <c r="AM905" t="s">
        <v>4417</v>
      </c>
      <c r="AN905" t="s">
        <v>1053</v>
      </c>
      <c r="AO905" t="s">
        <v>1053</v>
      </c>
      <c r="AP905" t="s">
        <v>1053</v>
      </c>
      <c r="AQ905" t="s">
        <v>1053</v>
      </c>
      <c r="AR905" t="s">
        <v>1053</v>
      </c>
      <c r="AS905" t="s">
        <v>461</v>
      </c>
      <c r="AT905" t="s">
        <v>225</v>
      </c>
      <c r="AU905" t="s">
        <v>1053</v>
      </c>
      <c r="AV905" t="s">
        <v>1053</v>
      </c>
      <c r="AW905" t="s">
        <v>1053</v>
      </c>
      <c r="AX905" t="s">
        <v>1053</v>
      </c>
      <c r="AY905" t="s">
        <v>1053</v>
      </c>
      <c r="AZ905" t="s">
        <v>461</v>
      </c>
      <c r="BA905" t="s">
        <v>4418</v>
      </c>
      <c r="BB905" t="s">
        <v>1053</v>
      </c>
      <c r="BC905" t="s">
        <v>1053</v>
      </c>
      <c r="BD905" t="s">
        <v>1053</v>
      </c>
      <c r="BE905" t="s">
        <v>1053</v>
      </c>
      <c r="BF905" t="s">
        <v>1053</v>
      </c>
      <c r="BG905" t="s">
        <v>4419</v>
      </c>
      <c r="BH905" t="s">
        <v>4420</v>
      </c>
      <c r="BI905" t="s">
        <v>1053</v>
      </c>
      <c r="BJ905" t="s">
        <v>1053</v>
      </c>
      <c r="BK905" t="s">
        <v>1053</v>
      </c>
      <c r="BL905" t="s">
        <v>1053</v>
      </c>
      <c r="BM905" t="s">
        <v>2347</v>
      </c>
      <c r="BN905" t="s">
        <v>226</v>
      </c>
      <c r="BO905" t="s">
        <v>1053</v>
      </c>
      <c r="BP905" t="s">
        <v>4421</v>
      </c>
      <c r="BQ905" t="s">
        <v>4422</v>
      </c>
      <c r="BR905" t="s">
        <v>1053</v>
      </c>
      <c r="BS905" t="s">
        <v>1053</v>
      </c>
      <c r="BT905" t="s">
        <v>1053</v>
      </c>
      <c r="BU905" t="s">
        <v>1053</v>
      </c>
      <c r="BV905" t="s">
        <v>2347</v>
      </c>
      <c r="BW905" t="s">
        <v>226</v>
      </c>
      <c r="BX905" t="str">
        <f>"SMTWTFS 0000-2359"</f>
        <v>SMTWTFS 0000-2359</v>
      </c>
      <c r="BY905" t="str">
        <f>"SMTWTFS 0530-2200"</f>
        <v>SMTWTFS 0530-2200</v>
      </c>
      <c r="BZ905" t="str">
        <f>"SMTWTFS 0000-2359"</f>
        <v>SMTWTFS 0000-2359</v>
      </c>
      <c r="CA905" t="str">
        <f>"S-----S 0500-2200; -MTWTF- 0430-2200"</f>
        <v>S-----S 0500-2200; -MTWTF- 0430-2200</v>
      </c>
      <c r="CB905" t="str">
        <f>""</f>
        <v/>
      </c>
      <c r="CC905" t="str">
        <f>"SMTWTFS 0000-2359"</f>
        <v>SMTWTFS 0000-2359</v>
      </c>
      <c r="CD905" t="str">
        <f>""</f>
        <v/>
      </c>
      <c r="CE905" t="str">
        <f>"S-----S 0500-2130; -MTWTF- 0445-2130"</f>
        <v>S-----S 0500-2130; -MTWTF- 0445-2130</v>
      </c>
      <c r="CF905" t="str">
        <f>"SMTWTFS 1100-1900"</f>
        <v>SMTWTFS 1100-1900</v>
      </c>
      <c r="CG905" t="str">
        <f>""</f>
        <v/>
      </c>
      <c r="CH905" t="str">
        <f>""</f>
        <v/>
      </c>
    </row>
    <row r="906" spans="1:86" x14ac:dyDescent="0.25">
      <c r="A906" t="s">
        <v>4423</v>
      </c>
      <c r="B906" t="s">
        <v>4424</v>
      </c>
      <c r="C906" t="s">
        <v>1992</v>
      </c>
      <c r="D906" t="s">
        <v>1993</v>
      </c>
      <c r="E906" t="s">
        <v>4425</v>
      </c>
      <c r="F906" t="s">
        <v>4426</v>
      </c>
      <c r="H906" t="s">
        <v>4427</v>
      </c>
      <c r="I906" t="s">
        <v>1997</v>
      </c>
      <c r="J906" t="str">
        <f>"54981-8236"</f>
        <v>54981-8236</v>
      </c>
      <c r="K906" t="s">
        <v>1998</v>
      </c>
      <c r="L906" t="s">
        <v>1999</v>
      </c>
      <c r="M906" t="s">
        <v>2063</v>
      </c>
      <c r="N906" t="s">
        <v>1992</v>
      </c>
      <c r="O906" t="s">
        <v>1992</v>
      </c>
      <c r="P906" t="s">
        <v>1992</v>
      </c>
      <c r="Q906" t="s">
        <v>1992</v>
      </c>
      <c r="R906" t="s">
        <v>1992</v>
      </c>
      <c r="S906" t="s">
        <v>1992</v>
      </c>
      <c r="T906" t="s">
        <v>1992</v>
      </c>
      <c r="U906" t="s">
        <v>1992</v>
      </c>
      <c r="V906" t="s">
        <v>1991</v>
      </c>
      <c r="Z906" t="s">
        <v>1991</v>
      </c>
      <c r="AF906" t="s">
        <v>2001</v>
      </c>
      <c r="AG906" t="s">
        <v>1991</v>
      </c>
      <c r="AH906">
        <v>15</v>
      </c>
      <c r="AI906">
        <v>15</v>
      </c>
      <c r="AJ906" t="s">
        <v>4428</v>
      </c>
      <c r="AK906">
        <v>906</v>
      </c>
      <c r="BF906" t="s">
        <v>1053</v>
      </c>
      <c r="BG906" t="s">
        <v>2097</v>
      </c>
      <c r="BH906" t="s">
        <v>286</v>
      </c>
      <c r="BI906" t="s">
        <v>1053</v>
      </c>
      <c r="BJ906" t="s">
        <v>2069</v>
      </c>
      <c r="BK906" t="s">
        <v>1053</v>
      </c>
      <c r="BL906" t="s">
        <v>2069</v>
      </c>
      <c r="BM906" t="s">
        <v>287</v>
      </c>
      <c r="BN906" t="s">
        <v>288</v>
      </c>
      <c r="BO906" t="s">
        <v>1053</v>
      </c>
      <c r="BP906" t="s">
        <v>289</v>
      </c>
      <c r="BQ906" t="s">
        <v>290</v>
      </c>
      <c r="BR906" t="s">
        <v>1053</v>
      </c>
      <c r="BS906" t="s">
        <v>1053</v>
      </c>
      <c r="BT906" t="s">
        <v>1053</v>
      </c>
      <c r="BU906" t="s">
        <v>1053</v>
      </c>
      <c r="BX906" t="str">
        <f>""</f>
        <v/>
      </c>
      <c r="BY906" t="str">
        <f>""</f>
        <v/>
      </c>
      <c r="BZ906" t="str">
        <f>""</f>
        <v/>
      </c>
      <c r="CA906" t="str">
        <f>""</f>
        <v/>
      </c>
      <c r="CB906" t="str">
        <f>""</f>
        <v/>
      </c>
      <c r="CC906" t="str">
        <f>""</f>
        <v/>
      </c>
      <c r="CD906" t="str">
        <f>""</f>
        <v/>
      </c>
      <c r="CE906" t="str">
        <f>""</f>
        <v/>
      </c>
      <c r="CF906" t="str">
        <f>""</f>
        <v/>
      </c>
      <c r="CG906" t="str">
        <f>""</f>
        <v/>
      </c>
      <c r="CH906" t="str">
        <f>""</f>
        <v/>
      </c>
    </row>
    <row r="907" spans="1:86" x14ac:dyDescent="0.25">
      <c r="A907" t="s">
        <v>4429</v>
      </c>
      <c r="B907" t="s">
        <v>4430</v>
      </c>
      <c r="C907" t="s">
        <v>1991</v>
      </c>
      <c r="D907" t="s">
        <v>2010</v>
      </c>
      <c r="E907" t="s">
        <v>4431</v>
      </c>
      <c r="H907" t="s">
        <v>4432</v>
      </c>
      <c r="I907" t="s">
        <v>2405</v>
      </c>
      <c r="J907" t="str">
        <f>"23185-3650"</f>
        <v>23185-3650</v>
      </c>
      <c r="K907" t="s">
        <v>1998</v>
      </c>
      <c r="L907" t="s">
        <v>2015</v>
      </c>
      <c r="M907" t="s">
        <v>4433</v>
      </c>
      <c r="N907" t="s">
        <v>1991</v>
      </c>
      <c r="O907" t="s">
        <v>1991</v>
      </c>
      <c r="P907" t="s">
        <v>1992</v>
      </c>
      <c r="Q907" t="s">
        <v>1992</v>
      </c>
      <c r="R907" t="s">
        <v>1992</v>
      </c>
      <c r="S907" t="s">
        <v>1992</v>
      </c>
      <c r="T907" t="s">
        <v>1992</v>
      </c>
      <c r="U907" t="s">
        <v>1991</v>
      </c>
      <c r="V907" t="s">
        <v>1991</v>
      </c>
      <c r="W907" t="s">
        <v>1991</v>
      </c>
      <c r="X907" t="s">
        <v>1992</v>
      </c>
      <c r="Y907" t="s">
        <v>1992</v>
      </c>
      <c r="Z907" t="s">
        <v>1992</v>
      </c>
      <c r="AE907" t="s">
        <v>2047</v>
      </c>
      <c r="AF907" t="s">
        <v>2016</v>
      </c>
      <c r="AG907" t="s">
        <v>1991</v>
      </c>
      <c r="AH907">
        <v>60</v>
      </c>
      <c r="AI907">
        <v>30</v>
      </c>
      <c r="AJ907" t="s">
        <v>4434</v>
      </c>
      <c r="AK907">
        <v>77</v>
      </c>
      <c r="AL907">
        <v>10000</v>
      </c>
      <c r="AN907" t="s">
        <v>1053</v>
      </c>
      <c r="AO907" t="s">
        <v>1053</v>
      </c>
      <c r="AP907" t="s">
        <v>2069</v>
      </c>
      <c r="AQ907" t="s">
        <v>1053</v>
      </c>
      <c r="AR907" t="s">
        <v>2069</v>
      </c>
      <c r="AS907" t="s">
        <v>4429</v>
      </c>
      <c r="AT907" t="s">
        <v>4435</v>
      </c>
      <c r="AU907" t="s">
        <v>1053</v>
      </c>
      <c r="AV907" t="s">
        <v>1053</v>
      </c>
      <c r="AW907" t="s">
        <v>2069</v>
      </c>
      <c r="AX907" t="s">
        <v>1053</v>
      </c>
      <c r="AY907" t="s">
        <v>2069</v>
      </c>
      <c r="AZ907" t="s">
        <v>4429</v>
      </c>
      <c r="BA907" t="s">
        <v>4435</v>
      </c>
      <c r="BB907" t="s">
        <v>1053</v>
      </c>
      <c r="BC907" t="s">
        <v>2069</v>
      </c>
      <c r="BD907" t="s">
        <v>1053</v>
      </c>
      <c r="BE907" t="s">
        <v>2069</v>
      </c>
      <c r="BF907" t="s">
        <v>1053</v>
      </c>
      <c r="BG907" t="s">
        <v>2097</v>
      </c>
      <c r="BH907" t="s">
        <v>365</v>
      </c>
      <c r="BI907" t="s">
        <v>1053</v>
      </c>
      <c r="BJ907" t="s">
        <v>1053</v>
      </c>
      <c r="BK907" t="s">
        <v>1053</v>
      </c>
      <c r="BL907" t="s">
        <v>1053</v>
      </c>
      <c r="BM907" t="s">
        <v>2343</v>
      </c>
      <c r="BN907" t="s">
        <v>2344</v>
      </c>
      <c r="BO907" t="s">
        <v>1053</v>
      </c>
      <c r="BP907" t="s">
        <v>366</v>
      </c>
      <c r="BQ907" t="s">
        <v>367</v>
      </c>
      <c r="BR907" t="s">
        <v>1053</v>
      </c>
      <c r="BS907" t="s">
        <v>1053</v>
      </c>
      <c r="BT907" t="s">
        <v>1053</v>
      </c>
      <c r="BU907" t="s">
        <v>1053</v>
      </c>
      <c r="BV907" t="s">
        <v>2347</v>
      </c>
      <c r="BW907" t="s">
        <v>226</v>
      </c>
      <c r="BX907" t="str">
        <f>"S----FS 0730-2200; -MTWT-- 0730-2030"</f>
        <v>S----FS 0730-2200; -MTWT-- 0730-2030</v>
      </c>
      <c r="BY907" t="str">
        <f>""</f>
        <v/>
      </c>
      <c r="BZ907" t="str">
        <f>"S----FS 0730-2200; -MTWT-- 0730-2030"</f>
        <v>S----FS 0730-2200; -MTWT-- 0730-2030</v>
      </c>
      <c r="CA907" t="str">
        <f>"S----FS 0730-2200; -MTWT-- 0730-2030"</f>
        <v>S----FS 0730-2200; -MTWT-- 0730-2030</v>
      </c>
      <c r="CB907" t="str">
        <f>""</f>
        <v/>
      </c>
      <c r="CC907" t="str">
        <f>"S----FS 0730-2200; -MTWT-- 0730-2030"</f>
        <v>S----FS 0730-2200; -MTWT-- 0730-2030</v>
      </c>
      <c r="CD907" t="str">
        <f>""</f>
        <v/>
      </c>
      <c r="CE907" t="str">
        <f>""</f>
        <v/>
      </c>
      <c r="CF907" t="str">
        <f>""</f>
        <v/>
      </c>
      <c r="CG907" t="str">
        <f>""</f>
        <v/>
      </c>
      <c r="CH907" t="str">
        <f>""</f>
        <v/>
      </c>
    </row>
    <row r="908" spans="1:86" x14ac:dyDescent="0.25">
      <c r="A908" t="s">
        <v>4436</v>
      </c>
      <c r="B908" t="s">
        <v>4437</v>
      </c>
      <c r="D908" t="s">
        <v>2089</v>
      </c>
      <c r="E908" t="s">
        <v>4438</v>
      </c>
      <c r="F908" t="s">
        <v>497</v>
      </c>
      <c r="H908" t="s">
        <v>454</v>
      </c>
      <c r="I908" t="s">
        <v>2014</v>
      </c>
      <c r="J908" t="str">
        <f>"21202"</f>
        <v>21202</v>
      </c>
      <c r="K908" t="s">
        <v>1998</v>
      </c>
      <c r="L908" t="s">
        <v>499</v>
      </c>
      <c r="M908" t="s">
        <v>500</v>
      </c>
      <c r="O908" t="s">
        <v>1992</v>
      </c>
      <c r="AF908" t="s">
        <v>2016</v>
      </c>
      <c r="AG908" t="s">
        <v>1991</v>
      </c>
      <c r="AJ908" t="s">
        <v>2090</v>
      </c>
      <c r="AM908" t="s">
        <v>501</v>
      </c>
      <c r="BX908" t="str">
        <f>""</f>
        <v/>
      </c>
      <c r="BY908" t="str">
        <f>""</f>
        <v/>
      </c>
      <c r="BZ908" t="str">
        <f>""</f>
        <v/>
      </c>
      <c r="CA908" t="str">
        <f>""</f>
        <v/>
      </c>
      <c r="CB908" t="str">
        <f>""</f>
        <v/>
      </c>
      <c r="CC908" t="str">
        <f>""</f>
        <v/>
      </c>
      <c r="CD908" t="str">
        <f>""</f>
        <v/>
      </c>
      <c r="CE908" t="str">
        <f>""</f>
        <v/>
      </c>
      <c r="CF908" t="str">
        <f>""</f>
        <v/>
      </c>
      <c r="CG908" t="str">
        <f>""</f>
        <v/>
      </c>
      <c r="CH908" t="str">
        <f>""</f>
        <v/>
      </c>
    </row>
    <row r="909" spans="1:86" x14ac:dyDescent="0.25">
      <c r="A909" t="s">
        <v>4439</v>
      </c>
      <c r="B909" t="s">
        <v>4440</v>
      </c>
      <c r="C909" t="s">
        <v>1992</v>
      </c>
      <c r="D909" t="s">
        <v>1993</v>
      </c>
      <c r="E909" t="s">
        <v>4441</v>
      </c>
      <c r="F909" t="s">
        <v>4442</v>
      </c>
      <c r="H909" t="s">
        <v>4443</v>
      </c>
      <c r="I909" t="s">
        <v>2061</v>
      </c>
      <c r="J909" t="str">
        <f>"90045"</f>
        <v>90045</v>
      </c>
      <c r="K909" t="s">
        <v>1998</v>
      </c>
      <c r="L909" t="s">
        <v>2045</v>
      </c>
      <c r="M909" t="s">
        <v>2000</v>
      </c>
      <c r="N909" t="s">
        <v>1992</v>
      </c>
      <c r="O909" t="s">
        <v>1992</v>
      </c>
      <c r="P909" t="s">
        <v>1992</v>
      </c>
      <c r="Q909" t="s">
        <v>1992</v>
      </c>
      <c r="R909" t="s">
        <v>1992</v>
      </c>
      <c r="S909" t="s">
        <v>1992</v>
      </c>
      <c r="T909" t="s">
        <v>1992</v>
      </c>
      <c r="U909" t="s">
        <v>1992</v>
      </c>
      <c r="V909" t="s">
        <v>1991</v>
      </c>
      <c r="Y909" t="s">
        <v>1991</v>
      </c>
      <c r="AF909" t="s">
        <v>2064</v>
      </c>
      <c r="AG909" t="s">
        <v>1991</v>
      </c>
      <c r="AH909">
        <v>15</v>
      </c>
      <c r="AI909">
        <v>15</v>
      </c>
      <c r="AJ909" t="s">
        <v>4444</v>
      </c>
      <c r="AK909">
        <v>69</v>
      </c>
      <c r="AM909" t="s">
        <v>2298</v>
      </c>
      <c r="AN909" t="s">
        <v>308</v>
      </c>
      <c r="AO909" t="s">
        <v>2063</v>
      </c>
      <c r="BF909" t="s">
        <v>1053</v>
      </c>
      <c r="BG909" t="s">
        <v>507</v>
      </c>
      <c r="BH909" t="s">
        <v>2301</v>
      </c>
      <c r="BI909" t="s">
        <v>1053</v>
      </c>
      <c r="BK909" t="s">
        <v>1053</v>
      </c>
      <c r="BO909" t="s">
        <v>1053</v>
      </c>
      <c r="BP909" t="s">
        <v>310</v>
      </c>
      <c r="BQ909" t="s">
        <v>311</v>
      </c>
      <c r="BR909" t="s">
        <v>1053</v>
      </c>
      <c r="BT909" t="s">
        <v>1053</v>
      </c>
      <c r="BX909" t="str">
        <f>""</f>
        <v/>
      </c>
      <c r="BY909" t="str">
        <f>""</f>
        <v/>
      </c>
      <c r="BZ909" t="str">
        <f>""</f>
        <v/>
      </c>
      <c r="CA909" t="str">
        <f>""</f>
        <v/>
      </c>
      <c r="CB909" t="str">
        <f>""</f>
        <v/>
      </c>
      <c r="CC909" t="str">
        <f>""</f>
        <v/>
      </c>
      <c r="CD909" t="str">
        <f>""</f>
        <v/>
      </c>
      <c r="CE909" t="str">
        <f>""</f>
        <v/>
      </c>
      <c r="CF909" t="str">
        <f>""</f>
        <v/>
      </c>
      <c r="CG909" t="str">
        <f>""</f>
        <v/>
      </c>
      <c r="CH909" t="str">
        <f>""</f>
        <v/>
      </c>
    </row>
    <row r="910" spans="1:86" x14ac:dyDescent="0.25">
      <c r="A910" t="s">
        <v>4445</v>
      </c>
      <c r="B910" t="s">
        <v>4446</v>
      </c>
      <c r="C910" t="s">
        <v>1992</v>
      </c>
      <c r="D910" t="s">
        <v>1993</v>
      </c>
      <c r="E910" t="s">
        <v>4447</v>
      </c>
      <c r="F910" t="s">
        <v>4448</v>
      </c>
      <c r="G910" t="s">
        <v>4449</v>
      </c>
      <c r="H910" t="s">
        <v>4450</v>
      </c>
      <c r="I910" t="s">
        <v>2295</v>
      </c>
      <c r="J910" t="str">
        <f>"97503"</f>
        <v>97503</v>
      </c>
      <c r="K910" t="s">
        <v>1998</v>
      </c>
      <c r="L910" t="s">
        <v>2062</v>
      </c>
      <c r="M910" t="s">
        <v>2000</v>
      </c>
      <c r="N910" t="s">
        <v>1992</v>
      </c>
      <c r="O910" t="s">
        <v>1992</v>
      </c>
      <c r="P910" t="s">
        <v>1992</v>
      </c>
      <c r="Q910" t="s">
        <v>1992</v>
      </c>
      <c r="R910" t="s">
        <v>1992</v>
      </c>
      <c r="S910" t="s">
        <v>1992</v>
      </c>
      <c r="T910" t="s">
        <v>1992</v>
      </c>
      <c r="U910" t="s">
        <v>1992</v>
      </c>
      <c r="V910" t="s">
        <v>1991</v>
      </c>
      <c r="W910" t="s">
        <v>1992</v>
      </c>
      <c r="X910" t="s">
        <v>1992</v>
      </c>
      <c r="Y910" t="s">
        <v>1992</v>
      </c>
      <c r="Z910" t="s">
        <v>1991</v>
      </c>
      <c r="AF910" t="s">
        <v>2064</v>
      </c>
      <c r="AG910" t="s">
        <v>1991</v>
      </c>
      <c r="AH910">
        <v>30</v>
      </c>
      <c r="AI910">
        <v>30</v>
      </c>
      <c r="AJ910" t="s">
        <v>4451</v>
      </c>
      <c r="AK910">
        <v>1315</v>
      </c>
      <c r="BX910" t="str">
        <f>""</f>
        <v/>
      </c>
      <c r="BY910" t="str">
        <f>""</f>
        <v/>
      </c>
      <c r="BZ910" t="str">
        <f>""</f>
        <v/>
      </c>
      <c r="CA910" t="str">
        <f>""</f>
        <v/>
      </c>
      <c r="CB910" t="str">
        <f>""</f>
        <v/>
      </c>
      <c r="CC910" t="str">
        <f>""</f>
        <v/>
      </c>
      <c r="CD910" t="str">
        <f>""</f>
        <v/>
      </c>
      <c r="CE910" t="str">
        <f>""</f>
        <v/>
      </c>
      <c r="CF910" t="str">
        <f>""</f>
        <v/>
      </c>
      <c r="CG910" t="str">
        <f>""</f>
        <v/>
      </c>
      <c r="CH910" t="str">
        <f>""</f>
        <v/>
      </c>
    </row>
    <row r="911" spans="1:86" x14ac:dyDescent="0.25">
      <c r="A911" t="s">
        <v>4452</v>
      </c>
      <c r="B911" t="s">
        <v>4453</v>
      </c>
      <c r="C911" t="s">
        <v>1992</v>
      </c>
      <c r="D911" t="s">
        <v>2028</v>
      </c>
      <c r="E911" t="s">
        <v>4454</v>
      </c>
      <c r="H911" t="s">
        <v>4455</v>
      </c>
      <c r="I911" t="s">
        <v>2405</v>
      </c>
      <c r="J911" t="str">
        <f>"22194"</f>
        <v>22194</v>
      </c>
      <c r="K911" t="s">
        <v>1998</v>
      </c>
      <c r="L911" t="s">
        <v>2015</v>
      </c>
      <c r="M911" t="s">
        <v>2063</v>
      </c>
      <c r="N911" t="s">
        <v>1992</v>
      </c>
      <c r="O911" t="s">
        <v>1992</v>
      </c>
      <c r="P911" t="s">
        <v>1992</v>
      </c>
      <c r="Q911" t="s">
        <v>1992</v>
      </c>
      <c r="R911" t="s">
        <v>1992</v>
      </c>
      <c r="S911" t="s">
        <v>1992</v>
      </c>
      <c r="T911" t="s">
        <v>1992</v>
      </c>
      <c r="U911" t="s">
        <v>1992</v>
      </c>
      <c r="V911" t="s">
        <v>1991</v>
      </c>
      <c r="W911" t="s">
        <v>1991</v>
      </c>
      <c r="X911" t="s">
        <v>1991</v>
      </c>
      <c r="Y911" t="s">
        <v>1992</v>
      </c>
      <c r="Z911" t="s">
        <v>1992</v>
      </c>
      <c r="AF911" t="s">
        <v>2016</v>
      </c>
      <c r="AG911" t="s">
        <v>1991</v>
      </c>
      <c r="AH911">
        <v>30</v>
      </c>
      <c r="AI911">
        <v>30</v>
      </c>
      <c r="AJ911" t="s">
        <v>4456</v>
      </c>
      <c r="AK911">
        <v>49</v>
      </c>
      <c r="AN911" t="s">
        <v>2066</v>
      </c>
      <c r="AO911" t="s">
        <v>2063</v>
      </c>
      <c r="BF911" t="s">
        <v>1053</v>
      </c>
      <c r="BG911" t="s">
        <v>1054</v>
      </c>
      <c r="BH911" t="s">
        <v>4457</v>
      </c>
      <c r="BI911" t="s">
        <v>1053</v>
      </c>
      <c r="BJ911" t="s">
        <v>1053</v>
      </c>
      <c r="BK911" t="s">
        <v>1053</v>
      </c>
      <c r="BL911" t="s">
        <v>1053</v>
      </c>
      <c r="BM911" t="s">
        <v>2343</v>
      </c>
      <c r="BN911" t="s">
        <v>2344</v>
      </c>
      <c r="BO911" t="s">
        <v>1053</v>
      </c>
      <c r="BP911" t="s">
        <v>986</v>
      </c>
      <c r="BQ911" t="s">
        <v>367</v>
      </c>
      <c r="BR911" t="s">
        <v>1053</v>
      </c>
      <c r="BS911" t="s">
        <v>1053</v>
      </c>
      <c r="BT911" t="s">
        <v>1053</v>
      </c>
      <c r="BU911" t="s">
        <v>1053</v>
      </c>
      <c r="BV911" t="s">
        <v>2347</v>
      </c>
      <c r="BW911" t="s">
        <v>226</v>
      </c>
      <c r="BX911" t="str">
        <f>""</f>
        <v/>
      </c>
      <c r="BY911" t="str">
        <f>""</f>
        <v/>
      </c>
      <c r="BZ911" t="str">
        <f>""</f>
        <v/>
      </c>
      <c r="CA911" t="str">
        <f>""</f>
        <v/>
      </c>
      <c r="CB911" t="str">
        <f>""</f>
        <v/>
      </c>
      <c r="CC911" t="str">
        <f>""</f>
        <v/>
      </c>
      <c r="CD911" t="str">
        <f>""</f>
        <v/>
      </c>
      <c r="CE911" t="str">
        <f>""</f>
        <v/>
      </c>
      <c r="CF911" t="str">
        <f>""</f>
        <v/>
      </c>
      <c r="CG911" t="str">
        <f>""</f>
        <v/>
      </c>
      <c r="CH911" t="str">
        <f>""</f>
        <v/>
      </c>
    </row>
    <row r="912" spans="1:86" x14ac:dyDescent="0.25">
      <c r="A912" t="s">
        <v>4458</v>
      </c>
      <c r="B912" t="s">
        <v>4459</v>
      </c>
      <c r="C912" t="s">
        <v>1992</v>
      </c>
      <c r="D912" t="s">
        <v>2010</v>
      </c>
      <c r="E912" t="s">
        <v>4460</v>
      </c>
      <c r="F912" t="s">
        <v>4461</v>
      </c>
      <c r="H912" t="s">
        <v>4462</v>
      </c>
      <c r="I912" t="s">
        <v>1997</v>
      </c>
      <c r="J912" t="str">
        <f>"53965"</f>
        <v>53965</v>
      </c>
      <c r="K912" t="s">
        <v>1998</v>
      </c>
      <c r="L912" t="s">
        <v>1999</v>
      </c>
      <c r="M912" t="s">
        <v>2063</v>
      </c>
      <c r="N912" t="s">
        <v>1992</v>
      </c>
      <c r="O912" t="s">
        <v>1992</v>
      </c>
      <c r="P912" t="s">
        <v>1992</v>
      </c>
      <c r="Q912" t="s">
        <v>1992</v>
      </c>
      <c r="R912" t="s">
        <v>1992</v>
      </c>
      <c r="S912" t="s">
        <v>1992</v>
      </c>
      <c r="T912" t="s">
        <v>1992</v>
      </c>
      <c r="U912" t="s">
        <v>1992</v>
      </c>
      <c r="V912" t="s">
        <v>1991</v>
      </c>
      <c r="W912" t="s">
        <v>1991</v>
      </c>
      <c r="X912" t="s">
        <v>1992</v>
      </c>
      <c r="Y912" t="s">
        <v>1992</v>
      </c>
      <c r="Z912" t="s">
        <v>1992</v>
      </c>
      <c r="AF912" t="s">
        <v>2001</v>
      </c>
      <c r="AG912" t="s">
        <v>1991</v>
      </c>
      <c r="AH912">
        <v>30</v>
      </c>
      <c r="AI912">
        <v>30</v>
      </c>
      <c r="AJ912" t="s">
        <v>4463</v>
      </c>
      <c r="AK912">
        <v>891</v>
      </c>
      <c r="AL912">
        <v>2476</v>
      </c>
      <c r="AM912" t="s">
        <v>4464</v>
      </c>
      <c r="AN912" t="s">
        <v>4465</v>
      </c>
      <c r="AO912" t="s">
        <v>1053</v>
      </c>
      <c r="AP912" t="s">
        <v>2069</v>
      </c>
      <c r="AQ912" t="s">
        <v>1053</v>
      </c>
      <c r="AR912" t="s">
        <v>2069</v>
      </c>
      <c r="AS912" t="s">
        <v>287</v>
      </c>
      <c r="AT912" t="s">
        <v>357</v>
      </c>
      <c r="AU912" t="s">
        <v>1053</v>
      </c>
      <c r="AV912" t="s">
        <v>1053</v>
      </c>
      <c r="AW912" t="s">
        <v>2069</v>
      </c>
      <c r="AX912" t="s">
        <v>1053</v>
      </c>
      <c r="AY912" t="s">
        <v>2069</v>
      </c>
      <c r="AZ912" t="s">
        <v>287</v>
      </c>
      <c r="BA912" t="s">
        <v>357</v>
      </c>
      <c r="BB912" t="s">
        <v>1053</v>
      </c>
      <c r="BC912" t="s">
        <v>2069</v>
      </c>
      <c r="BD912" t="s">
        <v>1053</v>
      </c>
      <c r="BE912" t="s">
        <v>2069</v>
      </c>
      <c r="BF912" t="s">
        <v>1053</v>
      </c>
      <c r="BG912" t="s">
        <v>703</v>
      </c>
      <c r="BH912" t="s">
        <v>2173</v>
      </c>
      <c r="BI912" t="s">
        <v>1053</v>
      </c>
      <c r="BJ912" t="s">
        <v>2069</v>
      </c>
      <c r="BK912" t="s">
        <v>1053</v>
      </c>
      <c r="BL912" t="s">
        <v>2069</v>
      </c>
      <c r="BM912" t="s">
        <v>287</v>
      </c>
      <c r="BN912" t="s">
        <v>288</v>
      </c>
      <c r="BO912" t="s">
        <v>1053</v>
      </c>
      <c r="BP912" t="s">
        <v>950</v>
      </c>
      <c r="BQ912" t="s">
        <v>2006</v>
      </c>
      <c r="BR912" t="s">
        <v>1053</v>
      </c>
      <c r="BS912" t="s">
        <v>1053</v>
      </c>
      <c r="BT912" t="s">
        <v>1053</v>
      </c>
      <c r="BU912" t="s">
        <v>1053</v>
      </c>
      <c r="BV912" t="s">
        <v>951</v>
      </c>
      <c r="BW912" t="s">
        <v>952</v>
      </c>
      <c r="BX912" t="str">
        <f>"S---TFS 1100-1800; -MTW--- 1100-1300 1645-1845"</f>
        <v>S---TFS 1100-1800; -MTW--- 1100-1300 1645-1845</v>
      </c>
      <c r="BY912" t="str">
        <f>""</f>
        <v/>
      </c>
      <c r="BZ912" t="str">
        <f>""</f>
        <v/>
      </c>
      <c r="CA912" t="str">
        <f>""</f>
        <v/>
      </c>
      <c r="CB912" t="str">
        <f>""</f>
        <v/>
      </c>
      <c r="CC912" t="str">
        <f>""</f>
        <v/>
      </c>
      <c r="CD912" t="str">
        <f>""</f>
        <v/>
      </c>
      <c r="CE912" t="str">
        <f>""</f>
        <v/>
      </c>
      <c r="CF912" t="str">
        <f>""</f>
        <v/>
      </c>
      <c r="CG912" t="str">
        <f>""</f>
        <v/>
      </c>
      <c r="CH912" t="str">
        <f>""</f>
        <v/>
      </c>
    </row>
    <row r="913" spans="1:86" x14ac:dyDescent="0.25">
      <c r="A913" t="s">
        <v>4466</v>
      </c>
      <c r="B913" t="s">
        <v>4467</v>
      </c>
      <c r="C913" t="s">
        <v>1992</v>
      </c>
      <c r="D913" t="s">
        <v>2010</v>
      </c>
      <c r="E913" t="s">
        <v>4468</v>
      </c>
      <c r="F913" t="s">
        <v>4469</v>
      </c>
      <c r="H913" t="s">
        <v>4470</v>
      </c>
      <c r="I913" t="s">
        <v>558</v>
      </c>
      <c r="J913" t="str">
        <f>"32694-0802"</f>
        <v>32694-0802</v>
      </c>
      <c r="K913" t="s">
        <v>1998</v>
      </c>
      <c r="L913" t="s">
        <v>408</v>
      </c>
      <c r="M913" t="s">
        <v>4471</v>
      </c>
      <c r="N913" t="s">
        <v>1992</v>
      </c>
      <c r="O913" t="s">
        <v>1992</v>
      </c>
      <c r="P913" t="s">
        <v>1992</v>
      </c>
      <c r="Q913" t="s">
        <v>1992</v>
      </c>
      <c r="R913" t="s">
        <v>1992</v>
      </c>
      <c r="S913" t="s">
        <v>1992</v>
      </c>
      <c r="T913" t="s">
        <v>1992</v>
      </c>
      <c r="U913" t="s">
        <v>1992</v>
      </c>
      <c r="V913" t="s">
        <v>1991</v>
      </c>
      <c r="W913" t="s">
        <v>1992</v>
      </c>
      <c r="X913" t="s">
        <v>1992</v>
      </c>
      <c r="Y913" t="s">
        <v>1991</v>
      </c>
      <c r="Z913" t="s">
        <v>1992</v>
      </c>
      <c r="AA913" t="s">
        <v>1992</v>
      </c>
      <c r="AF913" t="s">
        <v>2016</v>
      </c>
      <c r="AG913" t="s">
        <v>1991</v>
      </c>
      <c r="AH913">
        <v>30</v>
      </c>
      <c r="AI913">
        <v>30</v>
      </c>
      <c r="AJ913" t="s">
        <v>4472</v>
      </c>
      <c r="AK913">
        <v>153</v>
      </c>
      <c r="BF913" t="s">
        <v>1053</v>
      </c>
      <c r="BG913" t="s">
        <v>2019</v>
      </c>
      <c r="BH913" t="s">
        <v>2164</v>
      </c>
      <c r="BI913" t="s">
        <v>1053</v>
      </c>
      <c r="BJ913" t="s">
        <v>1053</v>
      </c>
      <c r="BK913" t="s">
        <v>1053</v>
      </c>
      <c r="BL913" t="s">
        <v>1053</v>
      </c>
      <c r="BM913" t="s">
        <v>1049</v>
      </c>
      <c r="BN913" t="s">
        <v>1050</v>
      </c>
      <c r="BO913" t="s">
        <v>1053</v>
      </c>
      <c r="BP913" t="s">
        <v>4473</v>
      </c>
      <c r="BQ913" t="s">
        <v>564</v>
      </c>
      <c r="BR913" t="s">
        <v>1053</v>
      </c>
      <c r="BS913" t="s">
        <v>1053</v>
      </c>
      <c r="BT913" t="s">
        <v>1053</v>
      </c>
      <c r="BU913" t="s">
        <v>1053</v>
      </c>
      <c r="BV913" t="s">
        <v>1052</v>
      </c>
      <c r="BW913" t="s">
        <v>170</v>
      </c>
      <c r="BX913" t="str">
        <f>""</f>
        <v/>
      </c>
      <c r="BY913" t="str">
        <f>""</f>
        <v/>
      </c>
      <c r="BZ913" t="str">
        <f>""</f>
        <v/>
      </c>
      <c r="CA913" t="str">
        <f>""</f>
        <v/>
      </c>
      <c r="CB913" t="str">
        <f>""</f>
        <v/>
      </c>
      <c r="CC913" t="str">
        <f>""</f>
        <v/>
      </c>
      <c r="CD913" t="str">
        <f>""</f>
        <v/>
      </c>
      <c r="CE913" t="str">
        <f>""</f>
        <v/>
      </c>
      <c r="CF913" t="str">
        <f>""</f>
        <v/>
      </c>
      <c r="CG913" t="str">
        <f>""</f>
        <v/>
      </c>
      <c r="CH913" t="str">
        <f>""</f>
        <v/>
      </c>
    </row>
    <row r="914" spans="1:86" x14ac:dyDescent="0.25">
      <c r="A914" t="s">
        <v>4474</v>
      </c>
      <c r="B914" t="s">
        <v>4475</v>
      </c>
      <c r="C914" t="s">
        <v>1992</v>
      </c>
      <c r="D914" t="s">
        <v>1993</v>
      </c>
      <c r="E914" t="s">
        <v>4476</v>
      </c>
      <c r="F914" t="s">
        <v>4477</v>
      </c>
      <c r="H914" t="s">
        <v>4478</v>
      </c>
      <c r="I914" t="s">
        <v>2287</v>
      </c>
      <c r="J914" t="str">
        <f>"04572"</f>
        <v>04572</v>
      </c>
      <c r="K914" t="s">
        <v>1998</v>
      </c>
      <c r="L914" t="s">
        <v>2033</v>
      </c>
      <c r="M914" t="s">
        <v>4479</v>
      </c>
      <c r="N914" t="s">
        <v>1992</v>
      </c>
      <c r="O914" t="s">
        <v>1992</v>
      </c>
      <c r="P914" t="s">
        <v>1992</v>
      </c>
      <c r="Q914" t="s">
        <v>1992</v>
      </c>
      <c r="R914" t="s">
        <v>1992</v>
      </c>
      <c r="S914" t="s">
        <v>1992</v>
      </c>
      <c r="T914" t="s">
        <v>1992</v>
      </c>
      <c r="U914" t="s">
        <v>1992</v>
      </c>
      <c r="V914" t="s">
        <v>1991</v>
      </c>
      <c r="W914" t="s">
        <v>1992</v>
      </c>
      <c r="X914" t="s">
        <v>1992</v>
      </c>
      <c r="Y914" t="s">
        <v>1992</v>
      </c>
      <c r="Z914" t="s">
        <v>1991</v>
      </c>
      <c r="AE914" t="s">
        <v>473</v>
      </c>
      <c r="AF914" t="s">
        <v>2016</v>
      </c>
      <c r="AG914" t="s">
        <v>1991</v>
      </c>
      <c r="AH914">
        <v>30</v>
      </c>
      <c r="AI914">
        <v>30</v>
      </c>
      <c r="AJ914" t="s">
        <v>4480</v>
      </c>
      <c r="AK914">
        <v>51</v>
      </c>
      <c r="AM914" t="s">
        <v>2298</v>
      </c>
      <c r="AN914" t="s">
        <v>5349</v>
      </c>
      <c r="AO914" t="s">
        <v>1053</v>
      </c>
      <c r="BF914" t="s">
        <v>1053</v>
      </c>
      <c r="BG914" t="s">
        <v>476</v>
      </c>
      <c r="BH914" t="s">
        <v>477</v>
      </c>
      <c r="BI914" t="s">
        <v>1053</v>
      </c>
      <c r="BK914" t="s">
        <v>1053</v>
      </c>
      <c r="BX914" t="str">
        <f>"S------ 0600-2100; -MTWTFS 0500-2200"</f>
        <v>S------ 0600-2100; -MTWTFS 0500-2200</v>
      </c>
      <c r="BY914" t="str">
        <f>""</f>
        <v/>
      </c>
      <c r="BZ914" t="str">
        <f>""</f>
        <v/>
      </c>
      <c r="CA914" t="str">
        <f>""</f>
        <v/>
      </c>
      <c r="CB914" t="str">
        <f>""</f>
        <v/>
      </c>
      <c r="CC914" t="str">
        <f>""</f>
        <v/>
      </c>
      <c r="CD914" t="str">
        <f>""</f>
        <v/>
      </c>
      <c r="CE914" t="str">
        <f>""</f>
        <v/>
      </c>
      <c r="CF914" t="str">
        <f>""</f>
        <v/>
      </c>
      <c r="CG914" t="str">
        <f>""</f>
        <v/>
      </c>
      <c r="CH914" t="str">
        <f>""</f>
        <v/>
      </c>
    </row>
    <row r="915" spans="1:86" x14ac:dyDescent="0.25">
      <c r="A915" t="s">
        <v>4481</v>
      </c>
      <c r="B915" t="s">
        <v>4482</v>
      </c>
      <c r="C915" t="s">
        <v>1992</v>
      </c>
      <c r="D915" t="s">
        <v>2010</v>
      </c>
      <c r="E915" t="s">
        <v>4483</v>
      </c>
      <c r="H915" t="s">
        <v>4484</v>
      </c>
      <c r="I915" t="s">
        <v>2287</v>
      </c>
      <c r="J915" t="str">
        <f>"04090"</f>
        <v>04090</v>
      </c>
      <c r="K915" t="s">
        <v>1998</v>
      </c>
      <c r="L915" t="s">
        <v>2033</v>
      </c>
      <c r="M915" t="s">
        <v>2000</v>
      </c>
      <c r="N915" t="s">
        <v>1992</v>
      </c>
      <c r="O915" t="s">
        <v>1991</v>
      </c>
      <c r="P915" t="s">
        <v>1992</v>
      </c>
      <c r="Q915" t="s">
        <v>1992</v>
      </c>
      <c r="R915" t="s">
        <v>1992</v>
      </c>
      <c r="S915" t="s">
        <v>1992</v>
      </c>
      <c r="T915" t="s">
        <v>1992</v>
      </c>
      <c r="U915" t="s">
        <v>1992</v>
      </c>
      <c r="V915" t="s">
        <v>1991</v>
      </c>
      <c r="W915" t="s">
        <v>1991</v>
      </c>
      <c r="X915" t="s">
        <v>1992</v>
      </c>
      <c r="Y915" t="s">
        <v>1992</v>
      </c>
      <c r="Z915" t="s">
        <v>1992</v>
      </c>
      <c r="AF915" t="s">
        <v>2016</v>
      </c>
      <c r="AG915" t="s">
        <v>1991</v>
      </c>
      <c r="AH915">
        <v>30</v>
      </c>
      <c r="AI915">
        <v>30</v>
      </c>
      <c r="AJ915" t="s">
        <v>4485</v>
      </c>
      <c r="AK915">
        <v>133</v>
      </c>
      <c r="AL915">
        <v>10038</v>
      </c>
      <c r="AM915" t="s">
        <v>4486</v>
      </c>
      <c r="BF915" t="s">
        <v>1053</v>
      </c>
      <c r="BG915" t="s">
        <v>2345</v>
      </c>
      <c r="BH915" t="s">
        <v>2201</v>
      </c>
      <c r="BI915" t="s">
        <v>1053</v>
      </c>
      <c r="BJ915" t="s">
        <v>2069</v>
      </c>
      <c r="BK915" t="s">
        <v>1053</v>
      </c>
      <c r="BL915" t="s">
        <v>2069</v>
      </c>
      <c r="BM915" t="s">
        <v>2202</v>
      </c>
      <c r="BN915" t="s">
        <v>2139</v>
      </c>
      <c r="BO915" t="s">
        <v>1053</v>
      </c>
      <c r="BP915" t="s">
        <v>986</v>
      </c>
      <c r="BQ915" t="s">
        <v>2140</v>
      </c>
      <c r="BR915" t="s">
        <v>1053</v>
      </c>
      <c r="BS915" t="s">
        <v>1053</v>
      </c>
      <c r="BT915" t="s">
        <v>1053</v>
      </c>
      <c r="BU915" t="s">
        <v>1053</v>
      </c>
      <c r="BV915" t="s">
        <v>520</v>
      </c>
      <c r="BW915" t="s">
        <v>523</v>
      </c>
      <c r="BX915" t="str">
        <f>"SMTWTFS 0600-2100"</f>
        <v>SMTWTFS 0600-2100</v>
      </c>
      <c r="BY915" t="str">
        <f>""</f>
        <v/>
      </c>
      <c r="BZ915" t="str">
        <f>""</f>
        <v/>
      </c>
      <c r="CA915" t="str">
        <f>""</f>
        <v/>
      </c>
      <c r="CB915" t="str">
        <f>""</f>
        <v/>
      </c>
      <c r="CC915" t="str">
        <f>"SMTWTFS 0600-2100"</f>
        <v>SMTWTFS 0600-2100</v>
      </c>
      <c r="CD915" t="str">
        <f>""</f>
        <v/>
      </c>
      <c r="CE915" t="str">
        <f>""</f>
        <v/>
      </c>
      <c r="CF915" t="str">
        <f>""</f>
        <v/>
      </c>
      <c r="CG915" t="str">
        <f>""</f>
        <v/>
      </c>
      <c r="CH915" t="str">
        <f>""</f>
        <v/>
      </c>
    </row>
    <row r="916" spans="1:86" x14ac:dyDescent="0.25">
      <c r="A916" t="s">
        <v>4487</v>
      </c>
      <c r="B916" t="s">
        <v>4488</v>
      </c>
      <c r="C916" t="s">
        <v>1992</v>
      </c>
      <c r="D916" t="s">
        <v>2028</v>
      </c>
      <c r="E916" t="s">
        <v>4489</v>
      </c>
      <c r="F916" t="s">
        <v>4490</v>
      </c>
      <c r="H916" t="s">
        <v>4491</v>
      </c>
      <c r="I916" t="s">
        <v>576</v>
      </c>
      <c r="J916" t="str">
        <f>"98801-6008"</f>
        <v>98801-6008</v>
      </c>
      <c r="K916" t="s">
        <v>1998</v>
      </c>
      <c r="L916" t="s">
        <v>231</v>
      </c>
      <c r="M916" t="s">
        <v>2063</v>
      </c>
      <c r="N916" t="s">
        <v>1992</v>
      </c>
      <c r="O916" t="s">
        <v>1992</v>
      </c>
      <c r="P916" t="s">
        <v>1992</v>
      </c>
      <c r="Q916" t="s">
        <v>1992</v>
      </c>
      <c r="R916" t="s">
        <v>1992</v>
      </c>
      <c r="S916" t="s">
        <v>1992</v>
      </c>
      <c r="T916" t="s">
        <v>1992</v>
      </c>
      <c r="U916" t="s">
        <v>1992</v>
      </c>
      <c r="V916" t="s">
        <v>1991</v>
      </c>
      <c r="W916" t="s">
        <v>1991</v>
      </c>
      <c r="X916" t="s">
        <v>1992</v>
      </c>
      <c r="Y916" t="s">
        <v>1992</v>
      </c>
      <c r="Z916" t="s">
        <v>1991</v>
      </c>
      <c r="AA916" t="s">
        <v>1991</v>
      </c>
      <c r="AF916" t="s">
        <v>2064</v>
      </c>
      <c r="AG916" t="s">
        <v>1991</v>
      </c>
      <c r="AH916">
        <v>30</v>
      </c>
      <c r="AI916">
        <v>30</v>
      </c>
      <c r="AJ916" t="s">
        <v>4492</v>
      </c>
      <c r="AK916">
        <v>650</v>
      </c>
      <c r="AL916">
        <v>17000</v>
      </c>
      <c r="AM916" t="s">
        <v>2298</v>
      </c>
      <c r="AN916" t="s">
        <v>2066</v>
      </c>
      <c r="AO916" t="s">
        <v>2063</v>
      </c>
      <c r="BF916" t="s">
        <v>1053</v>
      </c>
      <c r="BG916" t="s">
        <v>2019</v>
      </c>
      <c r="BH916" t="s">
        <v>240</v>
      </c>
      <c r="BI916" t="s">
        <v>1053</v>
      </c>
      <c r="BJ916" t="s">
        <v>1053</v>
      </c>
      <c r="BK916" t="s">
        <v>1053</v>
      </c>
      <c r="BM916" t="s">
        <v>241</v>
      </c>
      <c r="BN916" t="s">
        <v>242</v>
      </c>
      <c r="BO916" t="s">
        <v>1053</v>
      </c>
      <c r="BP916" t="s">
        <v>239</v>
      </c>
      <c r="BQ916" t="s">
        <v>240</v>
      </c>
      <c r="BR916" t="s">
        <v>1053</v>
      </c>
      <c r="BS916" t="s">
        <v>1053</v>
      </c>
      <c r="BT916" t="s">
        <v>1053</v>
      </c>
      <c r="BU916" t="s">
        <v>1053</v>
      </c>
      <c r="BV916" t="s">
        <v>241</v>
      </c>
      <c r="BW916" t="s">
        <v>242</v>
      </c>
      <c r="BX916" t="str">
        <f>""</f>
        <v/>
      </c>
      <c r="BY916" t="str">
        <f>""</f>
        <v/>
      </c>
      <c r="BZ916" t="str">
        <f>""</f>
        <v/>
      </c>
      <c r="CA916" t="str">
        <f>""</f>
        <v/>
      </c>
      <c r="CB916" t="str">
        <f>""</f>
        <v/>
      </c>
      <c r="CC916" t="str">
        <f>""</f>
        <v/>
      </c>
      <c r="CD916" t="str">
        <f>""</f>
        <v/>
      </c>
      <c r="CE916" t="str">
        <f>""</f>
        <v/>
      </c>
      <c r="CF916" t="str">
        <f>""</f>
        <v/>
      </c>
      <c r="CG916" t="str">
        <f>""</f>
        <v/>
      </c>
      <c r="CH916" t="str">
        <f>""</f>
        <v/>
      </c>
    </row>
    <row r="917" spans="1:86" x14ac:dyDescent="0.25">
      <c r="A917" t="s">
        <v>4493</v>
      </c>
      <c r="B917" t="s">
        <v>4494</v>
      </c>
      <c r="C917" t="s">
        <v>1992</v>
      </c>
      <c r="D917" t="s">
        <v>1993</v>
      </c>
      <c r="E917" t="s">
        <v>4495</v>
      </c>
      <c r="F917" t="s">
        <v>4496</v>
      </c>
      <c r="H917" t="s">
        <v>2303</v>
      </c>
      <c r="I917" t="s">
        <v>2061</v>
      </c>
      <c r="J917" t="str">
        <f>"90024"</f>
        <v>90024</v>
      </c>
      <c r="K917" t="s">
        <v>1998</v>
      </c>
      <c r="L917" t="s">
        <v>2045</v>
      </c>
      <c r="M917" t="s">
        <v>2311</v>
      </c>
      <c r="N917" t="s">
        <v>1992</v>
      </c>
      <c r="O917" t="s">
        <v>1992</v>
      </c>
      <c r="P917" t="s">
        <v>1992</v>
      </c>
      <c r="Q917" t="s">
        <v>1992</v>
      </c>
      <c r="R917" t="s">
        <v>1992</v>
      </c>
      <c r="S917" t="s">
        <v>1992</v>
      </c>
      <c r="T917" t="s">
        <v>1992</v>
      </c>
      <c r="U917" t="s">
        <v>1992</v>
      </c>
      <c r="V917" t="s">
        <v>1991</v>
      </c>
      <c r="Y917" t="s">
        <v>1991</v>
      </c>
      <c r="AF917" t="s">
        <v>2064</v>
      </c>
      <c r="AG917" t="s">
        <v>1991</v>
      </c>
      <c r="AH917">
        <v>15</v>
      </c>
      <c r="AI917">
        <v>15</v>
      </c>
      <c r="AJ917" t="s">
        <v>4497</v>
      </c>
      <c r="AK917">
        <v>373</v>
      </c>
      <c r="AN917" t="s">
        <v>5149</v>
      </c>
      <c r="AO917" t="s">
        <v>2063</v>
      </c>
      <c r="BF917" t="s">
        <v>1053</v>
      </c>
      <c r="BG917" t="s">
        <v>507</v>
      </c>
      <c r="BH917" t="s">
        <v>2301</v>
      </c>
      <c r="BI917" t="s">
        <v>1053</v>
      </c>
      <c r="BK917" t="s">
        <v>1053</v>
      </c>
      <c r="BO917" t="s">
        <v>1053</v>
      </c>
      <c r="BP917" t="s">
        <v>310</v>
      </c>
      <c r="BQ917" t="s">
        <v>311</v>
      </c>
      <c r="BR917" t="s">
        <v>1053</v>
      </c>
      <c r="BT917" t="s">
        <v>1053</v>
      </c>
      <c r="BX917" t="str">
        <f>""</f>
        <v/>
      </c>
      <c r="BY917" t="str">
        <f>""</f>
        <v/>
      </c>
      <c r="BZ917" t="str">
        <f>""</f>
        <v/>
      </c>
      <c r="CA917" t="str">
        <f>""</f>
        <v/>
      </c>
      <c r="CB917" t="str">
        <f>""</f>
        <v/>
      </c>
      <c r="CC917" t="str">
        <f>""</f>
        <v/>
      </c>
      <c r="CD917" t="str">
        <f>""</f>
        <v/>
      </c>
      <c r="CE917" t="str">
        <f>""</f>
        <v/>
      </c>
      <c r="CF917" t="str">
        <f>""</f>
        <v/>
      </c>
      <c r="CG917" t="str">
        <f>""</f>
        <v/>
      </c>
      <c r="CH917" t="str">
        <f>""</f>
        <v/>
      </c>
    </row>
    <row r="918" spans="1:86" x14ac:dyDescent="0.25">
      <c r="A918" t="s">
        <v>4498</v>
      </c>
      <c r="B918" t="s">
        <v>4499</v>
      </c>
      <c r="C918" t="s">
        <v>1992</v>
      </c>
      <c r="D918" t="s">
        <v>2028</v>
      </c>
      <c r="E918" t="s">
        <v>4500</v>
      </c>
      <c r="H918" t="s">
        <v>4501</v>
      </c>
      <c r="I918" t="s">
        <v>592</v>
      </c>
      <c r="J918" t="str">
        <f>"06492"</f>
        <v>06492</v>
      </c>
      <c r="K918" t="s">
        <v>1998</v>
      </c>
      <c r="L918" t="s">
        <v>2033</v>
      </c>
      <c r="M918" t="s">
        <v>2063</v>
      </c>
      <c r="N918" t="s">
        <v>1992</v>
      </c>
      <c r="O918" t="s">
        <v>1992</v>
      </c>
      <c r="P918" t="s">
        <v>1992</v>
      </c>
      <c r="Q918" t="s">
        <v>1992</v>
      </c>
      <c r="R918" t="s">
        <v>1992</v>
      </c>
      <c r="S918" t="s">
        <v>1992</v>
      </c>
      <c r="T918" t="s">
        <v>1992</v>
      </c>
      <c r="U918" t="s">
        <v>1992</v>
      </c>
      <c r="V918" t="s">
        <v>1991</v>
      </c>
      <c r="W918" t="s">
        <v>1991</v>
      </c>
      <c r="X918" t="s">
        <v>1992</v>
      </c>
      <c r="Y918" t="s">
        <v>1992</v>
      </c>
      <c r="Z918" t="s">
        <v>1992</v>
      </c>
      <c r="AF918" t="s">
        <v>2016</v>
      </c>
      <c r="AG918" t="s">
        <v>1991</v>
      </c>
      <c r="AH918">
        <v>30</v>
      </c>
      <c r="AI918">
        <v>30</v>
      </c>
      <c r="AJ918" t="s">
        <v>4502</v>
      </c>
      <c r="AK918">
        <v>78</v>
      </c>
      <c r="AL918">
        <v>38000</v>
      </c>
      <c r="AN918" t="s">
        <v>2066</v>
      </c>
      <c r="AO918" t="s">
        <v>2063</v>
      </c>
      <c r="BF918" t="s">
        <v>1053</v>
      </c>
      <c r="BG918" t="s">
        <v>347</v>
      </c>
      <c r="BH918" t="s">
        <v>254</v>
      </c>
      <c r="BI918" t="s">
        <v>1053</v>
      </c>
      <c r="BJ918" t="s">
        <v>1053</v>
      </c>
      <c r="BK918" t="s">
        <v>1053</v>
      </c>
      <c r="BL918" t="s">
        <v>1053</v>
      </c>
      <c r="BM918" t="s">
        <v>255</v>
      </c>
      <c r="BN918" t="s">
        <v>256</v>
      </c>
      <c r="BO918" t="s">
        <v>1053</v>
      </c>
      <c r="BP918" t="s">
        <v>6346</v>
      </c>
      <c r="BQ918" t="s">
        <v>254</v>
      </c>
      <c r="BR918" t="s">
        <v>1053</v>
      </c>
      <c r="BS918" t="s">
        <v>1053</v>
      </c>
      <c r="BT918" t="s">
        <v>1053</v>
      </c>
      <c r="BU918" t="s">
        <v>1053</v>
      </c>
      <c r="BV918" t="s">
        <v>255</v>
      </c>
      <c r="BW918" t="s">
        <v>256</v>
      </c>
      <c r="BX918" t="str">
        <f>""</f>
        <v/>
      </c>
      <c r="BY918" t="str">
        <f>""</f>
        <v/>
      </c>
      <c r="BZ918" t="str">
        <f>""</f>
        <v/>
      </c>
      <c r="CA918" t="str">
        <f>""</f>
        <v/>
      </c>
      <c r="CB918" t="str">
        <f>""</f>
        <v/>
      </c>
      <c r="CC918" t="str">
        <f>""</f>
        <v/>
      </c>
      <c r="CD918" t="str">
        <f>""</f>
        <v/>
      </c>
      <c r="CE918" t="str">
        <f>""</f>
        <v/>
      </c>
      <c r="CF918" t="str">
        <f>""</f>
        <v/>
      </c>
      <c r="CG918" t="str">
        <f>""</f>
        <v/>
      </c>
      <c r="CH918" t="str">
        <f>""</f>
        <v/>
      </c>
    </row>
    <row r="919" spans="1:86" x14ac:dyDescent="0.25">
      <c r="A919" t="s">
        <v>5579</v>
      </c>
      <c r="B919" t="s">
        <v>5580</v>
      </c>
      <c r="C919" t="s">
        <v>1991</v>
      </c>
      <c r="D919" t="s">
        <v>2010</v>
      </c>
      <c r="E919" t="s">
        <v>5581</v>
      </c>
      <c r="H919" t="s">
        <v>5582</v>
      </c>
      <c r="I919" t="s">
        <v>803</v>
      </c>
      <c r="J919" t="str">
        <f>"59937-2567"</f>
        <v>59937-2567</v>
      </c>
      <c r="K919" t="s">
        <v>1998</v>
      </c>
      <c r="L919" t="s">
        <v>231</v>
      </c>
      <c r="M919" t="s">
        <v>5583</v>
      </c>
      <c r="N919" t="s">
        <v>1991</v>
      </c>
      <c r="O919" t="s">
        <v>1992</v>
      </c>
      <c r="P919" t="s">
        <v>1992</v>
      </c>
      <c r="Q919" t="s">
        <v>1991</v>
      </c>
      <c r="R919" t="s">
        <v>1991</v>
      </c>
      <c r="S919" t="s">
        <v>1992</v>
      </c>
      <c r="T919" t="s">
        <v>1992</v>
      </c>
      <c r="U919" t="s">
        <v>1991</v>
      </c>
      <c r="V919" t="s">
        <v>1991</v>
      </c>
      <c r="W919" t="s">
        <v>1991</v>
      </c>
      <c r="X919" t="s">
        <v>1992</v>
      </c>
      <c r="Y919" t="s">
        <v>1992</v>
      </c>
      <c r="Z919" t="s">
        <v>1992</v>
      </c>
      <c r="AA919" t="s">
        <v>1992</v>
      </c>
      <c r="AE919" t="s">
        <v>2047</v>
      </c>
      <c r="AF919" t="s">
        <v>2048</v>
      </c>
      <c r="AG919" t="s">
        <v>1991</v>
      </c>
      <c r="AH919">
        <v>60</v>
      </c>
      <c r="AI919">
        <v>30</v>
      </c>
      <c r="AJ919" t="s">
        <v>5584</v>
      </c>
      <c r="AK919">
        <v>3033</v>
      </c>
      <c r="AL919">
        <v>5032</v>
      </c>
      <c r="AM919" t="s">
        <v>5585</v>
      </c>
      <c r="AN919" t="s">
        <v>1053</v>
      </c>
      <c r="AO919" t="s">
        <v>1053</v>
      </c>
      <c r="AP919" t="s">
        <v>2069</v>
      </c>
      <c r="AQ919" t="s">
        <v>1053</v>
      </c>
      <c r="AR919" t="s">
        <v>2069</v>
      </c>
      <c r="AS919" t="s">
        <v>5579</v>
      </c>
      <c r="AT919" t="s">
        <v>5586</v>
      </c>
      <c r="AU919" t="s">
        <v>1053</v>
      </c>
      <c r="AV919" t="s">
        <v>1053</v>
      </c>
      <c r="AW919" t="s">
        <v>2069</v>
      </c>
      <c r="AX919" t="s">
        <v>1053</v>
      </c>
      <c r="AY919" t="s">
        <v>2069</v>
      </c>
      <c r="AZ919" t="s">
        <v>5579</v>
      </c>
      <c r="BA919" t="s">
        <v>5586</v>
      </c>
      <c r="BB919" t="s">
        <v>1053</v>
      </c>
      <c r="BC919" t="s">
        <v>2069</v>
      </c>
      <c r="BD919" t="s">
        <v>1053</v>
      </c>
      <c r="BE919" t="s">
        <v>2069</v>
      </c>
      <c r="BF919" t="s">
        <v>1053</v>
      </c>
      <c r="BG919" t="s">
        <v>2019</v>
      </c>
      <c r="BH919" t="s">
        <v>240</v>
      </c>
      <c r="BI919" t="s">
        <v>1053</v>
      </c>
      <c r="BJ919" t="s">
        <v>1053</v>
      </c>
      <c r="BK919" t="s">
        <v>1053</v>
      </c>
      <c r="BM919" t="s">
        <v>241</v>
      </c>
      <c r="BN919" t="s">
        <v>242</v>
      </c>
      <c r="BO919" t="s">
        <v>1053</v>
      </c>
      <c r="BP919" t="s">
        <v>239</v>
      </c>
      <c r="BQ919" t="s">
        <v>240</v>
      </c>
      <c r="BR919" t="s">
        <v>1053</v>
      </c>
      <c r="BS919" t="s">
        <v>1053</v>
      </c>
      <c r="BT919" t="s">
        <v>1053</v>
      </c>
      <c r="BU919" t="s">
        <v>1053</v>
      </c>
      <c r="BV919" t="s">
        <v>241</v>
      </c>
      <c r="BW919" t="s">
        <v>242</v>
      </c>
      <c r="BX919" t="str">
        <f>"SMTWTFS 0600-1400 1500-2230"</f>
        <v>SMTWTFS 0600-1400 1500-2230</v>
      </c>
      <c r="BY919" t="str">
        <f>"SMTWTFS 0600-1400 1500-2230"</f>
        <v>SMTWTFS 0600-1400 1500-2230</v>
      </c>
      <c r="BZ919" t="str">
        <f>"SMTWTFS 0600-1400 1500-2230"</f>
        <v>SMTWTFS 0600-1400 1500-2230</v>
      </c>
      <c r="CA919" t="str">
        <f>"SMTWTFS 0600-1400 1500-2230"</f>
        <v>SMTWTFS 0600-1400 1500-2230</v>
      </c>
      <c r="CB919" t="str">
        <f>""</f>
        <v/>
      </c>
      <c r="CC919" t="str">
        <f>""</f>
        <v/>
      </c>
      <c r="CD919" t="str">
        <f>""</f>
        <v/>
      </c>
      <c r="CE919" t="str">
        <f>""</f>
        <v/>
      </c>
      <c r="CF919" t="str">
        <f>"SMTWTFS 0600-1400 1500-2230"</f>
        <v>SMTWTFS 0600-1400 1500-2230</v>
      </c>
      <c r="CG919" t="str">
        <f>""</f>
        <v/>
      </c>
      <c r="CH919" t="str">
        <f>""</f>
        <v/>
      </c>
    </row>
    <row r="920" spans="1:86" x14ac:dyDescent="0.25">
      <c r="A920" t="s">
        <v>5587</v>
      </c>
      <c r="B920" t="s">
        <v>5588</v>
      </c>
      <c r="C920" t="s">
        <v>1992</v>
      </c>
      <c r="D920" t="s">
        <v>2010</v>
      </c>
      <c r="E920" t="s">
        <v>5589</v>
      </c>
      <c r="H920" t="s">
        <v>5590</v>
      </c>
      <c r="I920" t="s">
        <v>803</v>
      </c>
      <c r="J920" t="str">
        <f>"59936"</f>
        <v>59936</v>
      </c>
      <c r="K920" t="s">
        <v>1998</v>
      </c>
      <c r="L920" t="s">
        <v>231</v>
      </c>
      <c r="M920" t="s">
        <v>2063</v>
      </c>
      <c r="N920" t="s">
        <v>1992</v>
      </c>
      <c r="O920" t="s">
        <v>1992</v>
      </c>
      <c r="P920" t="s">
        <v>1992</v>
      </c>
      <c r="Q920" t="s">
        <v>1992</v>
      </c>
      <c r="R920" t="s">
        <v>1992</v>
      </c>
      <c r="S920" t="s">
        <v>1992</v>
      </c>
      <c r="T920" t="s">
        <v>1992</v>
      </c>
      <c r="U920" t="s">
        <v>1992</v>
      </c>
      <c r="V920" t="s">
        <v>1991</v>
      </c>
      <c r="W920" t="s">
        <v>1991</v>
      </c>
      <c r="X920" t="s">
        <v>1992</v>
      </c>
      <c r="Y920" t="s">
        <v>1992</v>
      </c>
      <c r="Z920" t="s">
        <v>1992</v>
      </c>
      <c r="AA920" t="s">
        <v>1992</v>
      </c>
      <c r="AF920" t="s">
        <v>2048</v>
      </c>
      <c r="AG920" t="s">
        <v>1991</v>
      </c>
      <c r="AH920">
        <v>30</v>
      </c>
      <c r="AI920">
        <v>30</v>
      </c>
      <c r="AJ920" t="s">
        <v>5591</v>
      </c>
      <c r="AK920">
        <v>3230</v>
      </c>
      <c r="AL920">
        <v>200</v>
      </c>
      <c r="AN920" t="s">
        <v>2066</v>
      </c>
      <c r="AO920" t="s">
        <v>2063</v>
      </c>
      <c r="AU920" t="s">
        <v>1053</v>
      </c>
      <c r="AV920" t="s">
        <v>2063</v>
      </c>
      <c r="BF920" t="s">
        <v>1053</v>
      </c>
      <c r="BG920" t="s">
        <v>2019</v>
      </c>
      <c r="BH920" t="s">
        <v>240</v>
      </c>
      <c r="BI920" t="s">
        <v>1053</v>
      </c>
      <c r="BJ920" t="s">
        <v>1053</v>
      </c>
      <c r="BK920" t="s">
        <v>1053</v>
      </c>
      <c r="BM920" t="s">
        <v>241</v>
      </c>
      <c r="BN920" t="s">
        <v>242</v>
      </c>
      <c r="BO920" t="s">
        <v>1053</v>
      </c>
      <c r="BP920" t="s">
        <v>239</v>
      </c>
      <c r="BQ920" t="s">
        <v>240</v>
      </c>
      <c r="BR920" t="s">
        <v>1053</v>
      </c>
      <c r="BS920" t="s">
        <v>1053</v>
      </c>
      <c r="BT920" t="s">
        <v>1053</v>
      </c>
      <c r="BU920" t="s">
        <v>1053</v>
      </c>
      <c r="BV920" t="s">
        <v>241</v>
      </c>
      <c r="BW920" t="s">
        <v>242</v>
      </c>
      <c r="BX920" t="str">
        <f>"-MTWTF- 0800-1630"</f>
        <v>-MTWTF- 0800-1630</v>
      </c>
      <c r="BY920" t="str">
        <f>""</f>
        <v/>
      </c>
      <c r="BZ920" t="str">
        <f>""</f>
        <v/>
      </c>
      <c r="CA920" t="str">
        <f>""</f>
        <v/>
      </c>
      <c r="CB920" t="str">
        <f>""</f>
        <v/>
      </c>
      <c r="CC920" t="str">
        <f>""</f>
        <v/>
      </c>
      <c r="CD920" t="str">
        <f>""</f>
        <v/>
      </c>
      <c r="CE920" t="str">
        <f>""</f>
        <v/>
      </c>
      <c r="CF920" t="str">
        <f>""</f>
        <v/>
      </c>
      <c r="CG920" t="str">
        <f>""</f>
        <v/>
      </c>
      <c r="CH920" t="str">
        <f>""</f>
        <v/>
      </c>
    </row>
    <row r="921" spans="1:86" x14ac:dyDescent="0.25">
      <c r="A921" t="s">
        <v>5592</v>
      </c>
      <c r="B921" t="s">
        <v>5593</v>
      </c>
      <c r="D921" t="s">
        <v>2089</v>
      </c>
      <c r="E921" t="s">
        <v>5594</v>
      </c>
      <c r="F921" t="s">
        <v>497</v>
      </c>
      <c r="H921" t="s">
        <v>1777</v>
      </c>
      <c r="I921" t="s">
        <v>2014</v>
      </c>
      <c r="J921" t="str">
        <f>"20877"</f>
        <v>20877</v>
      </c>
      <c r="L921" t="s">
        <v>499</v>
      </c>
      <c r="M921" t="s">
        <v>500</v>
      </c>
      <c r="O921" t="s">
        <v>1992</v>
      </c>
      <c r="AF921" t="s">
        <v>2016</v>
      </c>
      <c r="AG921" t="s">
        <v>1991</v>
      </c>
      <c r="AJ921" t="s">
        <v>2090</v>
      </c>
      <c r="AM921" t="s">
        <v>501</v>
      </c>
      <c r="BX921" t="str">
        <f>""</f>
        <v/>
      </c>
      <c r="BY921" t="str">
        <f>""</f>
        <v/>
      </c>
      <c r="BZ921" t="str">
        <f>""</f>
        <v/>
      </c>
      <c r="CA921" t="str">
        <f>""</f>
        <v/>
      </c>
      <c r="CB921" t="str">
        <f>""</f>
        <v/>
      </c>
      <c r="CC921" t="str">
        <f>""</f>
        <v/>
      </c>
      <c r="CD921" t="str">
        <f>""</f>
        <v/>
      </c>
      <c r="CE921" t="str">
        <f>""</f>
        <v/>
      </c>
      <c r="CF921" t="str">
        <f>""</f>
        <v/>
      </c>
      <c r="CG921" t="str">
        <f>""</f>
        <v/>
      </c>
      <c r="CH921" t="str">
        <f>""</f>
        <v/>
      </c>
    </row>
    <row r="922" spans="1:86" x14ac:dyDescent="0.25">
      <c r="A922" t="s">
        <v>5595</v>
      </c>
      <c r="B922" t="s">
        <v>5596</v>
      </c>
      <c r="C922" t="s">
        <v>1992</v>
      </c>
      <c r="D922" t="s">
        <v>2028</v>
      </c>
      <c r="E922" t="s">
        <v>5597</v>
      </c>
      <c r="H922" t="s">
        <v>5598</v>
      </c>
      <c r="I922" t="s">
        <v>2321</v>
      </c>
      <c r="J922" t="str">
        <f>"12887"</f>
        <v>12887</v>
      </c>
      <c r="K922" t="s">
        <v>1998</v>
      </c>
      <c r="L922" t="s">
        <v>2033</v>
      </c>
      <c r="M922" t="s">
        <v>2063</v>
      </c>
      <c r="N922" t="s">
        <v>1992</v>
      </c>
      <c r="O922" t="s">
        <v>1992</v>
      </c>
      <c r="P922" t="s">
        <v>1992</v>
      </c>
      <c r="Q922" t="s">
        <v>1992</v>
      </c>
      <c r="R922" t="s">
        <v>1992</v>
      </c>
      <c r="S922" t="s">
        <v>1992</v>
      </c>
      <c r="T922" t="s">
        <v>1992</v>
      </c>
      <c r="U922" t="s">
        <v>1992</v>
      </c>
      <c r="V922" t="s">
        <v>1991</v>
      </c>
      <c r="W922" t="s">
        <v>1991</v>
      </c>
      <c r="X922" t="s">
        <v>1992</v>
      </c>
      <c r="Y922" t="s">
        <v>1992</v>
      </c>
      <c r="Z922" t="s">
        <v>1992</v>
      </c>
      <c r="AF922" t="s">
        <v>2016</v>
      </c>
      <c r="AG922" t="s">
        <v>1991</v>
      </c>
      <c r="AH922">
        <v>30</v>
      </c>
      <c r="AI922">
        <v>30</v>
      </c>
      <c r="AJ922" t="s">
        <v>5599</v>
      </c>
      <c r="AK922">
        <v>130</v>
      </c>
      <c r="AL922">
        <v>3000</v>
      </c>
      <c r="AN922" t="s">
        <v>1730</v>
      </c>
      <c r="AO922" t="s">
        <v>2063</v>
      </c>
      <c r="AU922" t="s">
        <v>1053</v>
      </c>
      <c r="AV922" t="s">
        <v>1053</v>
      </c>
      <c r="AW922" t="s">
        <v>1053</v>
      </c>
      <c r="AX922" t="s">
        <v>1053</v>
      </c>
      <c r="BF922" t="s">
        <v>1053</v>
      </c>
      <c r="BG922" t="s">
        <v>2019</v>
      </c>
      <c r="BH922" t="s">
        <v>1581</v>
      </c>
      <c r="BI922" t="s">
        <v>1053</v>
      </c>
      <c r="BJ922" t="s">
        <v>1053</v>
      </c>
      <c r="BK922" t="s">
        <v>1053</v>
      </c>
      <c r="BL922" t="s">
        <v>1053</v>
      </c>
      <c r="BM922" t="s">
        <v>2324</v>
      </c>
      <c r="BN922" t="s">
        <v>2325</v>
      </c>
      <c r="BO922" t="s">
        <v>1053</v>
      </c>
      <c r="BP922" t="s">
        <v>2327</v>
      </c>
      <c r="BQ922" t="s">
        <v>1582</v>
      </c>
      <c r="BR922" t="s">
        <v>1053</v>
      </c>
      <c r="BS922" t="s">
        <v>1053</v>
      </c>
      <c r="BV922" t="s">
        <v>1444</v>
      </c>
      <c r="BX922" t="str">
        <f>""</f>
        <v/>
      </c>
      <c r="BY922" t="str">
        <f>""</f>
        <v/>
      </c>
      <c r="BZ922" t="str">
        <f>""</f>
        <v/>
      </c>
      <c r="CA922" t="str">
        <f>""</f>
        <v/>
      </c>
      <c r="CB922" t="str">
        <f>""</f>
        <v/>
      </c>
      <c r="CC922" t="str">
        <f>""</f>
        <v/>
      </c>
      <c r="CD922" t="str">
        <f>""</f>
        <v/>
      </c>
      <c r="CE922" t="str">
        <f>""</f>
        <v/>
      </c>
      <c r="CF922" t="str">
        <f>""</f>
        <v/>
      </c>
      <c r="CG922" t="str">
        <f>""</f>
        <v/>
      </c>
      <c r="CH922" t="str">
        <f>""</f>
        <v/>
      </c>
    </row>
    <row r="923" spans="1:86" x14ac:dyDescent="0.25">
      <c r="A923" t="s">
        <v>5600</v>
      </c>
      <c r="B923" t="s">
        <v>5601</v>
      </c>
      <c r="C923" t="s">
        <v>1992</v>
      </c>
      <c r="D923" t="s">
        <v>2028</v>
      </c>
      <c r="E923" t="s">
        <v>152</v>
      </c>
      <c r="H923" t="s">
        <v>5602</v>
      </c>
      <c r="I923" t="s">
        <v>576</v>
      </c>
      <c r="J923" t="str">
        <f>"98673"</f>
        <v>98673</v>
      </c>
      <c r="K923" t="s">
        <v>1998</v>
      </c>
      <c r="L923" t="s">
        <v>231</v>
      </c>
      <c r="M923" t="s">
        <v>2000</v>
      </c>
      <c r="N923" t="s">
        <v>1992</v>
      </c>
      <c r="O923" t="s">
        <v>1992</v>
      </c>
      <c r="P923" t="s">
        <v>1992</v>
      </c>
      <c r="Q923" t="s">
        <v>1992</v>
      </c>
      <c r="R923" t="s">
        <v>1992</v>
      </c>
      <c r="S923" t="s">
        <v>1992</v>
      </c>
      <c r="T923" t="s">
        <v>1992</v>
      </c>
      <c r="U923" t="s">
        <v>1992</v>
      </c>
      <c r="V923" t="s">
        <v>1991</v>
      </c>
      <c r="W923" t="s">
        <v>1991</v>
      </c>
      <c r="X923" t="s">
        <v>1992</v>
      </c>
      <c r="Y923" t="s">
        <v>1992</v>
      </c>
      <c r="Z923" t="s">
        <v>1992</v>
      </c>
      <c r="AA923" t="s">
        <v>1992</v>
      </c>
      <c r="AF923" t="s">
        <v>2064</v>
      </c>
      <c r="AG923" t="s">
        <v>1991</v>
      </c>
      <c r="AH923">
        <v>30</v>
      </c>
      <c r="AI923">
        <v>30</v>
      </c>
      <c r="AJ923" t="s">
        <v>5603</v>
      </c>
      <c r="AK923">
        <v>179</v>
      </c>
      <c r="AL923">
        <v>500</v>
      </c>
      <c r="AN923" t="s">
        <v>2066</v>
      </c>
      <c r="AO923" t="s">
        <v>2063</v>
      </c>
      <c r="BF923" t="s">
        <v>1053</v>
      </c>
      <c r="BG923" t="s">
        <v>5604</v>
      </c>
      <c r="BH923" t="s">
        <v>236</v>
      </c>
      <c r="BI923" t="s">
        <v>1053</v>
      </c>
      <c r="BJ923" t="s">
        <v>1053</v>
      </c>
      <c r="BK923" t="s">
        <v>1053</v>
      </c>
      <c r="BL923" t="s">
        <v>1053</v>
      </c>
      <c r="BM923" t="s">
        <v>237</v>
      </c>
      <c r="BN923" t="s">
        <v>238</v>
      </c>
      <c r="BO923" t="s">
        <v>1053</v>
      </c>
      <c r="BP923" t="s">
        <v>5605</v>
      </c>
      <c r="BQ923" t="s">
        <v>240</v>
      </c>
      <c r="BR923" t="s">
        <v>1053</v>
      </c>
      <c r="BS923" t="s">
        <v>1053</v>
      </c>
      <c r="BT923" t="s">
        <v>1053</v>
      </c>
      <c r="BU923" t="s">
        <v>1053</v>
      </c>
      <c r="BV923" t="s">
        <v>241</v>
      </c>
      <c r="BW923" t="s">
        <v>242</v>
      </c>
      <c r="BX923" t="str">
        <f>"SMTWTFS 0000-2359"</f>
        <v>SMTWTFS 0000-2359</v>
      </c>
      <c r="BY923" t="str">
        <f>""</f>
        <v/>
      </c>
      <c r="BZ923" t="str">
        <f>""</f>
        <v/>
      </c>
      <c r="CA923" t="str">
        <f>""</f>
        <v/>
      </c>
      <c r="CB923" t="str">
        <f>""</f>
        <v/>
      </c>
      <c r="CC923" t="str">
        <f>""</f>
        <v/>
      </c>
      <c r="CD923" t="str">
        <f>""</f>
        <v/>
      </c>
      <c r="CE923" t="str">
        <f>""</f>
        <v/>
      </c>
      <c r="CF923" t="str">
        <f>""</f>
        <v/>
      </c>
      <c r="CG923" t="str">
        <f>""</f>
        <v/>
      </c>
      <c r="CH923" t="str">
        <f>""</f>
        <v/>
      </c>
    </row>
    <row r="924" spans="1:86" x14ac:dyDescent="0.25">
      <c r="A924" t="s">
        <v>5606</v>
      </c>
      <c r="B924" t="s">
        <v>5607</v>
      </c>
      <c r="C924" t="s">
        <v>1991</v>
      </c>
      <c r="D924" t="s">
        <v>2010</v>
      </c>
      <c r="E924" t="s">
        <v>5608</v>
      </c>
      <c r="H924" t="s">
        <v>5609</v>
      </c>
      <c r="I924" t="s">
        <v>2539</v>
      </c>
      <c r="J924" t="str">
        <f>"19801-5036"</f>
        <v>19801-5036</v>
      </c>
      <c r="K924" t="s">
        <v>1998</v>
      </c>
      <c r="L924" t="s">
        <v>2015</v>
      </c>
      <c r="M924" t="s">
        <v>5610</v>
      </c>
      <c r="N924" t="s">
        <v>1991</v>
      </c>
      <c r="O924" t="s">
        <v>1991</v>
      </c>
      <c r="P924" t="s">
        <v>1992</v>
      </c>
      <c r="Q924" t="s">
        <v>1991</v>
      </c>
      <c r="R924" t="s">
        <v>1991</v>
      </c>
      <c r="S924" t="s">
        <v>1992</v>
      </c>
      <c r="T924" t="s">
        <v>1992</v>
      </c>
      <c r="U924" t="s">
        <v>1991</v>
      </c>
      <c r="V924" t="s">
        <v>1991</v>
      </c>
      <c r="W924" t="s">
        <v>1991</v>
      </c>
      <c r="X924" t="s">
        <v>1991</v>
      </c>
      <c r="Y924" t="s">
        <v>1992</v>
      </c>
      <c r="Z924" t="s">
        <v>1992</v>
      </c>
      <c r="AA924" t="s">
        <v>1991</v>
      </c>
      <c r="AE924" t="s">
        <v>5611</v>
      </c>
      <c r="AF924" t="s">
        <v>2016</v>
      </c>
      <c r="AG924" t="s">
        <v>1991</v>
      </c>
      <c r="AH924">
        <v>60</v>
      </c>
      <c r="AI924">
        <v>30</v>
      </c>
      <c r="AJ924" t="s">
        <v>5612</v>
      </c>
      <c r="AK924">
        <v>9</v>
      </c>
      <c r="AL924">
        <v>75000</v>
      </c>
      <c r="AM924" t="s">
        <v>5613</v>
      </c>
      <c r="AN924" t="s">
        <v>1053</v>
      </c>
      <c r="AO924" t="s">
        <v>1053</v>
      </c>
      <c r="AP924" t="s">
        <v>1053</v>
      </c>
      <c r="AQ924" t="s">
        <v>1053</v>
      </c>
      <c r="AR924" t="s">
        <v>1053</v>
      </c>
      <c r="AS924" t="s">
        <v>5606</v>
      </c>
      <c r="AT924" t="s">
        <v>5614</v>
      </c>
      <c r="AU924" t="s">
        <v>1053</v>
      </c>
      <c r="AV924" t="s">
        <v>1053</v>
      </c>
      <c r="AW924" t="s">
        <v>1053</v>
      </c>
      <c r="AX924" t="s">
        <v>1053</v>
      </c>
      <c r="AY924" t="s">
        <v>1053</v>
      </c>
      <c r="AZ924" t="s">
        <v>5606</v>
      </c>
      <c r="BA924" t="s">
        <v>5614</v>
      </c>
      <c r="BB924" t="s">
        <v>1053</v>
      </c>
      <c r="BC924" t="s">
        <v>1053</v>
      </c>
      <c r="BD924" t="s">
        <v>1053</v>
      </c>
      <c r="BE924" t="s">
        <v>1053</v>
      </c>
      <c r="BF924" t="s">
        <v>1053</v>
      </c>
      <c r="BG924" t="s">
        <v>5615</v>
      </c>
      <c r="BH924" t="s">
        <v>5616</v>
      </c>
      <c r="BI924" t="s">
        <v>1053</v>
      </c>
      <c r="BJ924" t="s">
        <v>1053</v>
      </c>
      <c r="BK924" t="s">
        <v>1053</v>
      </c>
      <c r="BL924" t="s">
        <v>1053</v>
      </c>
      <c r="BM924" t="s">
        <v>5606</v>
      </c>
      <c r="BN924" t="s">
        <v>5614</v>
      </c>
      <c r="BO924" t="s">
        <v>1053</v>
      </c>
      <c r="BP924" t="s">
        <v>6818</v>
      </c>
      <c r="BQ924" t="s">
        <v>5617</v>
      </c>
      <c r="BR924" t="s">
        <v>1053</v>
      </c>
      <c r="BS924" t="s">
        <v>1053</v>
      </c>
      <c r="BT924" t="s">
        <v>1053</v>
      </c>
      <c r="BU924" t="s">
        <v>1053</v>
      </c>
      <c r="BV924" t="s">
        <v>319</v>
      </c>
      <c r="BX924" t="str">
        <f>"SMTWTFS 0400-2359"</f>
        <v>SMTWTFS 0400-2359</v>
      </c>
      <c r="BY924" t="str">
        <f>"SMTWTFS 0730-2200"</f>
        <v>SMTWTFS 0730-2200</v>
      </c>
      <c r="BZ924" t="str">
        <f>"SMTWTFS 0730-2200"</f>
        <v>SMTWTFS 0730-2200</v>
      </c>
      <c r="CA924" t="str">
        <f>"S------ 0600-2130; -MTWTF- 0545-2130; ------S 0600-2045"</f>
        <v>S------ 0600-2130; -MTWTF- 0545-2130; ------S 0600-2045</v>
      </c>
      <c r="CB924" t="str">
        <f>"-MTWTF- 0600-1800; ------S 0800-1230"</f>
        <v>-MTWTF- 0600-1800; ------S 0800-1230</v>
      </c>
      <c r="CC924" t="str">
        <f>"SMTWTFS 0400-2359"</f>
        <v>SMTWTFS 0400-2359</v>
      </c>
      <c r="CD924" t="str">
        <f>""</f>
        <v/>
      </c>
      <c r="CE924" t="str">
        <f>""</f>
        <v/>
      </c>
      <c r="CF924" t="str">
        <f>"SMTWTFS 0730-2200"</f>
        <v>SMTWTFS 0730-2200</v>
      </c>
      <c r="CG924" t="str">
        <f>"SMTWTFS 0730-2200"</f>
        <v>SMTWTFS 0730-2200</v>
      </c>
      <c r="CH924" t="str">
        <f>"SMTWTFS 0001-2359"</f>
        <v>SMTWTFS 0001-2359</v>
      </c>
    </row>
    <row r="925" spans="1:86" x14ac:dyDescent="0.25">
      <c r="A925" t="s">
        <v>5618</v>
      </c>
      <c r="B925" t="s">
        <v>5619</v>
      </c>
      <c r="C925" t="s">
        <v>1991</v>
      </c>
      <c r="D925" t="s">
        <v>2010</v>
      </c>
      <c r="E925" t="s">
        <v>5620</v>
      </c>
      <c r="H925" t="s">
        <v>5621</v>
      </c>
      <c r="I925" t="s">
        <v>2170</v>
      </c>
      <c r="J925" t="str">
        <f>"55987"</f>
        <v>55987</v>
      </c>
      <c r="K925" t="s">
        <v>1998</v>
      </c>
      <c r="L925" t="s">
        <v>1999</v>
      </c>
      <c r="M925" t="s">
        <v>5622</v>
      </c>
      <c r="N925" t="s">
        <v>1991</v>
      </c>
      <c r="O925" t="s">
        <v>1992</v>
      </c>
      <c r="P925" t="s">
        <v>1992</v>
      </c>
      <c r="Q925" t="s">
        <v>1991</v>
      </c>
      <c r="R925" t="s">
        <v>1991</v>
      </c>
      <c r="S925" t="s">
        <v>1992</v>
      </c>
      <c r="T925" t="s">
        <v>1992</v>
      </c>
      <c r="U925" t="s">
        <v>1991</v>
      </c>
      <c r="V925" t="s">
        <v>1991</v>
      </c>
      <c r="W925" t="s">
        <v>1991</v>
      </c>
      <c r="X925" t="s">
        <v>1992</v>
      </c>
      <c r="Y925" t="s">
        <v>1992</v>
      </c>
      <c r="Z925" t="s">
        <v>1992</v>
      </c>
      <c r="AE925" t="s">
        <v>2047</v>
      </c>
      <c r="AF925" t="s">
        <v>2001</v>
      </c>
      <c r="AG925" t="s">
        <v>1991</v>
      </c>
      <c r="AH925">
        <v>60</v>
      </c>
      <c r="AI925">
        <v>30</v>
      </c>
      <c r="AJ925" t="s">
        <v>5623</v>
      </c>
      <c r="AK925">
        <v>656</v>
      </c>
      <c r="AL925">
        <v>26785</v>
      </c>
      <c r="AM925" t="s">
        <v>5624</v>
      </c>
      <c r="AN925" t="s">
        <v>1053</v>
      </c>
      <c r="AO925" t="s">
        <v>1053</v>
      </c>
      <c r="AP925" t="s">
        <v>2069</v>
      </c>
      <c r="AQ925" t="s">
        <v>1053</v>
      </c>
      <c r="AR925" t="s">
        <v>2069</v>
      </c>
      <c r="AS925" t="s">
        <v>5618</v>
      </c>
      <c r="AT925" t="s">
        <v>5625</v>
      </c>
      <c r="AU925" t="s">
        <v>1053</v>
      </c>
      <c r="AV925" t="s">
        <v>1053</v>
      </c>
      <c r="AW925" t="s">
        <v>2069</v>
      </c>
      <c r="AX925" t="s">
        <v>1053</v>
      </c>
      <c r="AY925" t="s">
        <v>2069</v>
      </c>
      <c r="AZ925" t="s">
        <v>5618</v>
      </c>
      <c r="BA925" t="s">
        <v>5625</v>
      </c>
      <c r="BB925" t="s">
        <v>1053</v>
      </c>
      <c r="BC925" t="s">
        <v>2069</v>
      </c>
      <c r="BD925" t="s">
        <v>1053</v>
      </c>
      <c r="BE925" t="s">
        <v>2069</v>
      </c>
      <c r="BF925" t="s">
        <v>1053</v>
      </c>
      <c r="BG925" t="s">
        <v>703</v>
      </c>
      <c r="BH925" t="s">
        <v>2173</v>
      </c>
      <c r="BI925" t="s">
        <v>1053</v>
      </c>
      <c r="BJ925" t="s">
        <v>2069</v>
      </c>
      <c r="BK925" t="s">
        <v>1053</v>
      </c>
      <c r="BL925" t="s">
        <v>2069</v>
      </c>
      <c r="BM925" t="s">
        <v>287</v>
      </c>
      <c r="BN925" t="s">
        <v>288</v>
      </c>
      <c r="BO925" t="s">
        <v>1053</v>
      </c>
      <c r="BP925" t="s">
        <v>950</v>
      </c>
      <c r="BQ925" t="s">
        <v>2006</v>
      </c>
      <c r="BR925" t="s">
        <v>1053</v>
      </c>
      <c r="BS925" t="s">
        <v>1053</v>
      </c>
      <c r="BT925" t="s">
        <v>1053</v>
      </c>
      <c r="BU925" t="s">
        <v>1053</v>
      </c>
      <c r="BV925" t="s">
        <v>951</v>
      </c>
      <c r="BW925" t="s">
        <v>952</v>
      </c>
      <c r="BX925" t="str">
        <f>"SMTWTFS 0845-1145 1745-2045"</f>
        <v>SMTWTFS 0845-1145 1745-2045</v>
      </c>
      <c r="BY925" t="str">
        <f>"SMTWTFS 0845-1145 1745-2045"</f>
        <v>SMTWTFS 0845-1145 1745-2045</v>
      </c>
      <c r="BZ925" t="str">
        <f>""</f>
        <v/>
      </c>
      <c r="CA925" t="str">
        <f>"SMTWTFS 0845-1145 1745-2045"</f>
        <v>SMTWTFS 0845-1145 1745-2045</v>
      </c>
      <c r="CB925" t="str">
        <f>""</f>
        <v/>
      </c>
      <c r="CC925" t="str">
        <f>""</f>
        <v/>
      </c>
      <c r="CD925" t="str">
        <f>""</f>
        <v/>
      </c>
      <c r="CE925" t="str">
        <f>""</f>
        <v/>
      </c>
      <c r="CF925" t="str">
        <f>"SMTWTFS 0845-1145 1745-2045"</f>
        <v>SMTWTFS 0845-1145 1745-2045</v>
      </c>
      <c r="CG925" t="str">
        <f>""</f>
        <v/>
      </c>
      <c r="CH925" t="str">
        <f>""</f>
        <v/>
      </c>
    </row>
    <row r="926" spans="1:86" x14ac:dyDescent="0.25">
      <c r="A926" t="s">
        <v>5626</v>
      </c>
      <c r="B926" t="s">
        <v>5627</v>
      </c>
      <c r="C926" t="s">
        <v>1992</v>
      </c>
      <c r="D926" t="s">
        <v>2028</v>
      </c>
      <c r="E926" t="s">
        <v>5628</v>
      </c>
      <c r="H926" t="s">
        <v>5629</v>
      </c>
      <c r="I926" t="s">
        <v>3629</v>
      </c>
      <c r="J926" t="str">
        <f>"80442"</f>
        <v>80442</v>
      </c>
      <c r="K926" t="s">
        <v>1998</v>
      </c>
      <c r="L926" t="s">
        <v>1999</v>
      </c>
      <c r="M926" t="s">
        <v>2063</v>
      </c>
      <c r="N926" t="s">
        <v>1992</v>
      </c>
      <c r="O926" t="s">
        <v>1992</v>
      </c>
      <c r="P926" t="s">
        <v>1992</v>
      </c>
      <c r="Q926" t="s">
        <v>1992</v>
      </c>
      <c r="R926" t="s">
        <v>1992</v>
      </c>
      <c r="S926" t="s">
        <v>1992</v>
      </c>
      <c r="T926" t="s">
        <v>1992</v>
      </c>
      <c r="U926" t="s">
        <v>1992</v>
      </c>
      <c r="V926" t="s">
        <v>1991</v>
      </c>
      <c r="W926" t="s">
        <v>1991</v>
      </c>
      <c r="X926" t="s">
        <v>1992</v>
      </c>
      <c r="Y926" t="s">
        <v>1992</v>
      </c>
      <c r="Z926" t="s">
        <v>1992</v>
      </c>
      <c r="AF926" t="s">
        <v>2048</v>
      </c>
      <c r="AG926" t="s">
        <v>1991</v>
      </c>
      <c r="AH926">
        <v>30</v>
      </c>
      <c r="AI926">
        <v>30</v>
      </c>
      <c r="AJ926" t="s">
        <v>5630</v>
      </c>
      <c r="AK926">
        <v>8567</v>
      </c>
      <c r="AL926">
        <v>500</v>
      </c>
      <c r="BF926" t="s">
        <v>1053</v>
      </c>
      <c r="BG926" t="s">
        <v>2097</v>
      </c>
      <c r="BH926" t="s">
        <v>798</v>
      </c>
      <c r="BI926" t="s">
        <v>1053</v>
      </c>
      <c r="BK926" t="s">
        <v>1053</v>
      </c>
      <c r="BL926" t="s">
        <v>1053</v>
      </c>
      <c r="BO926" t="s">
        <v>1053</v>
      </c>
      <c r="BP926" t="s">
        <v>653</v>
      </c>
      <c r="BQ926" t="s">
        <v>2376</v>
      </c>
      <c r="BR926" t="s">
        <v>1053</v>
      </c>
      <c r="BX926" t="str">
        <f>""</f>
        <v/>
      </c>
      <c r="BY926" t="str">
        <f>""</f>
        <v/>
      </c>
      <c r="BZ926" t="str">
        <f>""</f>
        <v/>
      </c>
      <c r="CA926" t="str">
        <f>""</f>
        <v/>
      </c>
      <c r="CB926" t="str">
        <f>""</f>
        <v/>
      </c>
      <c r="CC926" t="str">
        <f>""</f>
        <v/>
      </c>
      <c r="CD926" t="str">
        <f>""</f>
        <v/>
      </c>
      <c r="CE926" t="str">
        <f>""</f>
        <v/>
      </c>
      <c r="CF926" t="str">
        <f>""</f>
        <v/>
      </c>
      <c r="CG926" t="str">
        <f>""</f>
        <v/>
      </c>
      <c r="CH926" t="str">
        <f>""</f>
        <v/>
      </c>
    </row>
    <row r="927" spans="1:86" x14ac:dyDescent="0.25">
      <c r="A927" t="s">
        <v>5631</v>
      </c>
      <c r="B927" t="s">
        <v>5632</v>
      </c>
      <c r="C927" t="s">
        <v>1992</v>
      </c>
      <c r="D927" t="s">
        <v>1993</v>
      </c>
      <c r="E927" t="s">
        <v>5633</v>
      </c>
      <c r="F927" t="s">
        <v>5634</v>
      </c>
      <c r="H927" t="s">
        <v>5635</v>
      </c>
      <c r="I927" t="s">
        <v>1997</v>
      </c>
      <c r="J927" t="str">
        <f>"54499"</f>
        <v>54499</v>
      </c>
      <c r="K927" t="s">
        <v>1998</v>
      </c>
      <c r="L927" t="s">
        <v>1999</v>
      </c>
      <c r="M927" t="s">
        <v>2000</v>
      </c>
      <c r="N927" t="s">
        <v>1992</v>
      </c>
      <c r="O927" t="s">
        <v>1992</v>
      </c>
      <c r="P927" t="s">
        <v>1992</v>
      </c>
      <c r="Q927" t="s">
        <v>1992</v>
      </c>
      <c r="R927" t="s">
        <v>1992</v>
      </c>
      <c r="S927" t="s">
        <v>1992</v>
      </c>
      <c r="T927" t="s">
        <v>1992</v>
      </c>
      <c r="U927" t="s">
        <v>1992</v>
      </c>
      <c r="V927" t="s">
        <v>1991</v>
      </c>
      <c r="W927" t="s">
        <v>1992</v>
      </c>
      <c r="X927" t="s">
        <v>1992</v>
      </c>
      <c r="Y927" t="s">
        <v>1992</v>
      </c>
      <c r="Z927" t="s">
        <v>1991</v>
      </c>
      <c r="AF927" t="s">
        <v>2001</v>
      </c>
      <c r="AG927" t="s">
        <v>1991</v>
      </c>
      <c r="AH927">
        <v>15</v>
      </c>
      <c r="AI927">
        <v>15</v>
      </c>
      <c r="AJ927" t="s">
        <v>5636</v>
      </c>
      <c r="AK927">
        <v>1172</v>
      </c>
      <c r="BF927" t="s">
        <v>1053</v>
      </c>
      <c r="BG927" t="s">
        <v>2067</v>
      </c>
      <c r="BH927" t="s">
        <v>2004</v>
      </c>
      <c r="BI927" t="s">
        <v>1053</v>
      </c>
      <c r="BK927" t="s">
        <v>1053</v>
      </c>
      <c r="BM927" t="s">
        <v>287</v>
      </c>
      <c r="BO927" t="s">
        <v>1053</v>
      </c>
      <c r="BP927" t="s">
        <v>2005</v>
      </c>
      <c r="BQ927" t="s">
        <v>290</v>
      </c>
      <c r="BR927" t="s">
        <v>1053</v>
      </c>
      <c r="BS927" t="s">
        <v>1053</v>
      </c>
      <c r="BT927" t="s">
        <v>1053</v>
      </c>
      <c r="BU927" t="s">
        <v>1053</v>
      </c>
      <c r="BX927" t="str">
        <f>""</f>
        <v/>
      </c>
      <c r="BY927" t="str">
        <f>""</f>
        <v/>
      </c>
      <c r="BZ927" t="str">
        <f>""</f>
        <v/>
      </c>
      <c r="CA927" t="str">
        <f>""</f>
        <v/>
      </c>
      <c r="CB927" t="str">
        <f>""</f>
        <v/>
      </c>
      <c r="CC927" t="str">
        <f>""</f>
        <v/>
      </c>
      <c r="CD927" t="str">
        <f>""</f>
        <v/>
      </c>
      <c r="CE927" t="str">
        <f>""</f>
        <v/>
      </c>
      <c r="CF927" t="str">
        <f>""</f>
        <v/>
      </c>
      <c r="CG927" t="str">
        <f>""</f>
        <v/>
      </c>
      <c r="CH927" t="str">
        <f>""</f>
        <v/>
      </c>
    </row>
    <row r="928" spans="1:86" x14ac:dyDescent="0.25">
      <c r="A928" t="s">
        <v>5637</v>
      </c>
      <c r="B928" t="s">
        <v>5638</v>
      </c>
      <c r="C928" t="s">
        <v>1991</v>
      </c>
      <c r="D928" t="s">
        <v>2010</v>
      </c>
      <c r="E928" t="s">
        <v>5639</v>
      </c>
      <c r="H928" t="s">
        <v>5640</v>
      </c>
      <c r="I928" t="s">
        <v>700</v>
      </c>
      <c r="J928" t="str">
        <f>"27893"</f>
        <v>27893</v>
      </c>
      <c r="K928" t="s">
        <v>1998</v>
      </c>
      <c r="L928" t="s">
        <v>408</v>
      </c>
      <c r="M928" t="s">
        <v>5641</v>
      </c>
      <c r="N928" t="s">
        <v>1991</v>
      </c>
      <c r="O928" t="s">
        <v>1991</v>
      </c>
      <c r="P928" t="s">
        <v>1992</v>
      </c>
      <c r="Q928" t="s">
        <v>1991</v>
      </c>
      <c r="R928" t="s">
        <v>1991</v>
      </c>
      <c r="S928" t="s">
        <v>1992</v>
      </c>
      <c r="T928" t="s">
        <v>1992</v>
      </c>
      <c r="U928" t="s">
        <v>1991</v>
      </c>
      <c r="V928" t="s">
        <v>1991</v>
      </c>
      <c r="W928" t="s">
        <v>1991</v>
      </c>
      <c r="X928" t="s">
        <v>1992</v>
      </c>
      <c r="Y928" t="s">
        <v>1992</v>
      </c>
      <c r="Z928" t="s">
        <v>1992</v>
      </c>
      <c r="AE928" t="s">
        <v>2047</v>
      </c>
      <c r="AF928" t="s">
        <v>2016</v>
      </c>
      <c r="AG928" t="s">
        <v>1991</v>
      </c>
      <c r="AH928">
        <v>60</v>
      </c>
      <c r="AI928">
        <v>60</v>
      </c>
      <c r="AJ928" t="s">
        <v>5642</v>
      </c>
      <c r="AK928">
        <v>141</v>
      </c>
      <c r="AL928">
        <v>37000</v>
      </c>
      <c r="AM928" t="s">
        <v>3567</v>
      </c>
      <c r="AN928" t="s">
        <v>1053</v>
      </c>
      <c r="AO928" t="s">
        <v>1053</v>
      </c>
      <c r="AP928" t="s">
        <v>2069</v>
      </c>
      <c r="AQ928" t="s">
        <v>1053</v>
      </c>
      <c r="AR928" t="s">
        <v>2069</v>
      </c>
      <c r="AS928" t="s">
        <v>5637</v>
      </c>
      <c r="AT928" t="s">
        <v>5643</v>
      </c>
      <c r="AU928" t="s">
        <v>1053</v>
      </c>
      <c r="AV928" t="s">
        <v>1053</v>
      </c>
      <c r="AW928" t="s">
        <v>2069</v>
      </c>
      <c r="AX928" t="s">
        <v>1053</v>
      </c>
      <c r="AY928" t="s">
        <v>2069</v>
      </c>
      <c r="AZ928" t="s">
        <v>5637</v>
      </c>
      <c r="BA928" t="s">
        <v>5643</v>
      </c>
      <c r="BB928" t="s">
        <v>1053</v>
      </c>
      <c r="BC928" t="s">
        <v>2069</v>
      </c>
      <c r="BD928" t="s">
        <v>1053</v>
      </c>
      <c r="BE928" t="s">
        <v>2069</v>
      </c>
      <c r="BF928" t="s">
        <v>1053</v>
      </c>
      <c r="BG928" t="s">
        <v>703</v>
      </c>
      <c r="BH928" t="s">
        <v>704</v>
      </c>
      <c r="BI928" t="s">
        <v>1053</v>
      </c>
      <c r="BJ928" t="s">
        <v>1053</v>
      </c>
      <c r="BK928" t="s">
        <v>1053</v>
      </c>
      <c r="BL928" t="s">
        <v>1053</v>
      </c>
      <c r="BM928" t="s">
        <v>705</v>
      </c>
      <c r="BO928" t="s">
        <v>1053</v>
      </c>
      <c r="BP928" t="s">
        <v>5644</v>
      </c>
      <c r="BQ928" t="s">
        <v>427</v>
      </c>
      <c r="BR928" t="s">
        <v>1053</v>
      </c>
      <c r="BS928" t="s">
        <v>1053</v>
      </c>
      <c r="BT928" t="s">
        <v>1053</v>
      </c>
      <c r="BU928" t="s">
        <v>1053</v>
      </c>
      <c r="BV928" t="s">
        <v>416</v>
      </c>
      <c r="BW928" t="s">
        <v>417</v>
      </c>
      <c r="BX928" t="str">
        <f>"SMTWTFS 0900-1700"</f>
        <v>SMTWTFS 0900-1700</v>
      </c>
      <c r="BY928" t="str">
        <f>"SMTWTFS 0900-1630"</f>
        <v>SMTWTFS 0900-1630</v>
      </c>
      <c r="BZ928" t="str">
        <f>"SMTWTFS 0900-1630"</f>
        <v>SMTWTFS 0900-1630</v>
      </c>
      <c r="CA928" t="str">
        <f>"SMTWTFS 0900-1630"</f>
        <v>SMTWTFS 0900-1630</v>
      </c>
      <c r="CB928" t="str">
        <f>"SMTWTFS 0900-1700"</f>
        <v>SMTWTFS 0900-1700</v>
      </c>
      <c r="CC928" t="str">
        <f>"SMTWTFS 0900-1700"</f>
        <v>SMTWTFS 0900-1700</v>
      </c>
      <c r="CD928" t="str">
        <f>""</f>
        <v/>
      </c>
      <c r="CE928" t="str">
        <f>""</f>
        <v/>
      </c>
      <c r="CF928" t="str">
        <f>"SMTWTFS 0900-1630"</f>
        <v>SMTWTFS 0900-1630</v>
      </c>
      <c r="CG928" t="str">
        <f>""</f>
        <v/>
      </c>
      <c r="CH928" t="str">
        <f>"SMTWTFS 0000-2359"</f>
        <v>SMTWTFS 0000-2359</v>
      </c>
    </row>
    <row r="929" spans="1:86" x14ac:dyDescent="0.25">
      <c r="A929" t="s">
        <v>5645</v>
      </c>
      <c r="B929" t="s">
        <v>5646</v>
      </c>
      <c r="C929" t="s">
        <v>1992</v>
      </c>
      <c r="D929" t="s">
        <v>2028</v>
      </c>
      <c r="E929" t="s">
        <v>5647</v>
      </c>
      <c r="F929" t="s">
        <v>5648</v>
      </c>
      <c r="H929" t="s">
        <v>5649</v>
      </c>
      <c r="I929" t="s">
        <v>586</v>
      </c>
      <c r="J929" t="str">
        <f>"86047"</f>
        <v>86047</v>
      </c>
      <c r="K929" t="s">
        <v>1998</v>
      </c>
      <c r="L929" t="s">
        <v>2045</v>
      </c>
      <c r="M929" t="s">
        <v>2063</v>
      </c>
      <c r="N929" t="s">
        <v>1992</v>
      </c>
      <c r="O929" t="s">
        <v>1992</v>
      </c>
      <c r="P929" t="s">
        <v>1992</v>
      </c>
      <c r="Q929" t="s">
        <v>1992</v>
      </c>
      <c r="R929" t="s">
        <v>1992</v>
      </c>
      <c r="S929" t="s">
        <v>1992</v>
      </c>
      <c r="T929" t="s">
        <v>1992</v>
      </c>
      <c r="U929" t="s">
        <v>1992</v>
      </c>
      <c r="V929" t="s">
        <v>1991</v>
      </c>
      <c r="W929" t="s">
        <v>1991</v>
      </c>
      <c r="X929" t="s">
        <v>1992</v>
      </c>
      <c r="Y929" t="s">
        <v>1992</v>
      </c>
      <c r="Z929" t="s">
        <v>1992</v>
      </c>
      <c r="AF929" t="s">
        <v>2048</v>
      </c>
      <c r="AG929" t="s">
        <v>1992</v>
      </c>
      <c r="AH929">
        <v>30</v>
      </c>
      <c r="AI929">
        <v>30</v>
      </c>
      <c r="AJ929" t="s">
        <v>5650</v>
      </c>
      <c r="AK929">
        <v>4853</v>
      </c>
      <c r="AL929">
        <v>9000</v>
      </c>
      <c r="AN929" t="s">
        <v>2066</v>
      </c>
      <c r="BF929" t="s">
        <v>1053</v>
      </c>
      <c r="BG929" t="s">
        <v>2019</v>
      </c>
      <c r="BH929" t="s">
        <v>2053</v>
      </c>
      <c r="BI929" t="s">
        <v>1053</v>
      </c>
      <c r="BO929" t="s">
        <v>1053</v>
      </c>
      <c r="BP929" t="s">
        <v>2054</v>
      </c>
      <c r="BQ929" t="s">
        <v>2055</v>
      </c>
      <c r="BR929" t="s">
        <v>1053</v>
      </c>
      <c r="BS929" t="s">
        <v>1053</v>
      </c>
      <c r="BV929" t="s">
        <v>2056</v>
      </c>
      <c r="BX929" t="str">
        <f>""</f>
        <v/>
      </c>
      <c r="BY929" t="str">
        <f>""</f>
        <v/>
      </c>
      <c r="BZ929" t="str">
        <f>""</f>
        <v/>
      </c>
      <c r="CA929" t="str">
        <f>""</f>
        <v/>
      </c>
      <c r="CB929" t="str">
        <f>""</f>
        <v/>
      </c>
      <c r="CC929" t="str">
        <f>""</f>
        <v/>
      </c>
      <c r="CD929" t="str">
        <f>""</f>
        <v/>
      </c>
      <c r="CE929" t="str">
        <f>""</f>
        <v/>
      </c>
      <c r="CF929" t="str">
        <f>""</f>
        <v/>
      </c>
      <c r="CG929" t="str">
        <f>""</f>
        <v/>
      </c>
      <c r="CH929" t="str">
        <f>""</f>
        <v/>
      </c>
    </row>
    <row r="930" spans="1:86" x14ac:dyDescent="0.25">
      <c r="A930" t="s">
        <v>5651</v>
      </c>
      <c r="B930" t="s">
        <v>5652</v>
      </c>
      <c r="C930" t="s">
        <v>1991</v>
      </c>
      <c r="D930" t="s">
        <v>2010</v>
      </c>
      <c r="E930" t="s">
        <v>5653</v>
      </c>
      <c r="H930" t="s">
        <v>5654</v>
      </c>
      <c r="I930" t="s">
        <v>154</v>
      </c>
      <c r="J930" t="str">
        <f>"02891"</f>
        <v>02891</v>
      </c>
      <c r="K930" t="s">
        <v>1998</v>
      </c>
      <c r="L930" t="s">
        <v>2033</v>
      </c>
      <c r="M930" t="s">
        <v>5655</v>
      </c>
      <c r="N930" t="s">
        <v>1991</v>
      </c>
      <c r="O930" t="s">
        <v>1991</v>
      </c>
      <c r="P930" t="s">
        <v>1992</v>
      </c>
      <c r="Q930" t="s">
        <v>1992</v>
      </c>
      <c r="R930" t="s">
        <v>1992</v>
      </c>
      <c r="S930" t="s">
        <v>1992</v>
      </c>
      <c r="T930" t="s">
        <v>1992</v>
      </c>
      <c r="U930" t="s">
        <v>1991</v>
      </c>
      <c r="V930" t="s">
        <v>1991</v>
      </c>
      <c r="W930" t="s">
        <v>1991</v>
      </c>
      <c r="X930" t="s">
        <v>1992</v>
      </c>
      <c r="Y930" t="s">
        <v>1992</v>
      </c>
      <c r="Z930" t="s">
        <v>1992</v>
      </c>
      <c r="AA930" t="s">
        <v>1992</v>
      </c>
      <c r="AE930" t="s">
        <v>2047</v>
      </c>
      <c r="AF930" t="s">
        <v>2016</v>
      </c>
      <c r="AG930" t="s">
        <v>1991</v>
      </c>
      <c r="AH930">
        <v>60</v>
      </c>
      <c r="AI930">
        <v>45</v>
      </c>
      <c r="AJ930" t="s">
        <v>5656</v>
      </c>
      <c r="AK930">
        <v>34</v>
      </c>
      <c r="AL930">
        <v>30000</v>
      </c>
      <c r="AM930" t="s">
        <v>5657</v>
      </c>
      <c r="AN930" t="s">
        <v>1053</v>
      </c>
      <c r="AO930" t="s">
        <v>1053</v>
      </c>
      <c r="AP930" t="s">
        <v>1053</v>
      </c>
      <c r="AQ930" t="s">
        <v>1053</v>
      </c>
      <c r="AR930" t="s">
        <v>1053</v>
      </c>
      <c r="AS930" t="s">
        <v>5651</v>
      </c>
      <c r="AT930" t="s">
        <v>5658</v>
      </c>
      <c r="AU930" t="s">
        <v>1053</v>
      </c>
      <c r="AV930" t="s">
        <v>1053</v>
      </c>
      <c r="AW930" t="s">
        <v>1053</v>
      </c>
      <c r="AX930" t="s">
        <v>1053</v>
      </c>
      <c r="AY930" t="s">
        <v>1053</v>
      </c>
      <c r="AZ930" t="s">
        <v>159</v>
      </c>
      <c r="BA930" t="s">
        <v>160</v>
      </c>
      <c r="BB930" t="s">
        <v>1053</v>
      </c>
      <c r="BC930" t="s">
        <v>1053</v>
      </c>
      <c r="BD930" t="s">
        <v>1053</v>
      </c>
      <c r="BE930" t="s">
        <v>1053</v>
      </c>
      <c r="BF930" t="s">
        <v>1053</v>
      </c>
      <c r="BG930" t="s">
        <v>703</v>
      </c>
      <c r="BH930" t="s">
        <v>2140</v>
      </c>
      <c r="BI930" t="s">
        <v>1053</v>
      </c>
      <c r="BJ930" t="s">
        <v>1053</v>
      </c>
      <c r="BK930" t="s">
        <v>1053</v>
      </c>
      <c r="BL930" t="s">
        <v>1053</v>
      </c>
      <c r="BM930" t="s">
        <v>520</v>
      </c>
      <c r="BN930" t="s">
        <v>517</v>
      </c>
      <c r="BO930" t="s">
        <v>1053</v>
      </c>
      <c r="BP930" t="s">
        <v>986</v>
      </c>
      <c r="BQ930" t="s">
        <v>2140</v>
      </c>
      <c r="BR930" t="s">
        <v>1053</v>
      </c>
      <c r="BS930" t="s">
        <v>1053</v>
      </c>
      <c r="BT930" t="s">
        <v>1053</v>
      </c>
      <c r="BU930" t="s">
        <v>1053</v>
      </c>
      <c r="BV930" t="s">
        <v>520</v>
      </c>
      <c r="BW930" t="s">
        <v>523</v>
      </c>
      <c r="BX930" t="str">
        <f>"-MTWTF- 0530-1315"</f>
        <v>-MTWTF- 0530-1315</v>
      </c>
      <c r="BY930" t="str">
        <f>""</f>
        <v/>
      </c>
      <c r="BZ930" t="str">
        <f>"-MTWTF- 0530-1315"</f>
        <v>-MTWTF- 0530-1315</v>
      </c>
      <c r="CA930" t="str">
        <f>"-MTWTF- 0530-1315"</f>
        <v>-MTWTF- 0530-1315</v>
      </c>
      <c r="CB930" t="str">
        <f>""</f>
        <v/>
      </c>
      <c r="CC930" t="str">
        <f>"-MTWTF- 0530-1315"</f>
        <v>-MTWTF- 0530-1315</v>
      </c>
      <c r="CD930" t="str">
        <f>""</f>
        <v/>
      </c>
      <c r="CE930" t="str">
        <f>""</f>
        <v/>
      </c>
      <c r="CF930" t="str">
        <f>""</f>
        <v/>
      </c>
      <c r="CG930" t="str">
        <f>""</f>
        <v/>
      </c>
      <c r="CH930" t="str">
        <f>""</f>
        <v/>
      </c>
    </row>
    <row r="931" spans="1:86" x14ac:dyDescent="0.25">
      <c r="A931" t="s">
        <v>5659</v>
      </c>
      <c r="B931" t="s">
        <v>5660</v>
      </c>
      <c r="C931" t="s">
        <v>1992</v>
      </c>
      <c r="D931" t="s">
        <v>2010</v>
      </c>
      <c r="E931" t="s">
        <v>5661</v>
      </c>
      <c r="F931" t="s">
        <v>5662</v>
      </c>
      <c r="H931" t="s">
        <v>5663</v>
      </c>
      <c r="I931" t="s">
        <v>586</v>
      </c>
      <c r="J931" t="str">
        <f>"86046-2563"</f>
        <v>86046-2563</v>
      </c>
      <c r="K931" t="s">
        <v>1998</v>
      </c>
      <c r="L931" t="s">
        <v>2045</v>
      </c>
      <c r="M931" t="s">
        <v>2000</v>
      </c>
      <c r="N931" t="s">
        <v>1992</v>
      </c>
      <c r="O931" t="s">
        <v>1992</v>
      </c>
      <c r="P931" t="s">
        <v>1992</v>
      </c>
      <c r="Q931" t="s">
        <v>1992</v>
      </c>
      <c r="R931" t="s">
        <v>1992</v>
      </c>
      <c r="S931" t="s">
        <v>1992</v>
      </c>
      <c r="T931" t="s">
        <v>1992</v>
      </c>
      <c r="U931" t="s">
        <v>1992</v>
      </c>
      <c r="V931" t="s">
        <v>1991</v>
      </c>
      <c r="W931" t="s">
        <v>1992</v>
      </c>
      <c r="X931" t="s">
        <v>1991</v>
      </c>
      <c r="Y931" t="s">
        <v>1991</v>
      </c>
      <c r="Z931" t="s">
        <v>1992</v>
      </c>
      <c r="AF931" t="s">
        <v>2048</v>
      </c>
      <c r="AG931" t="s">
        <v>1992</v>
      </c>
      <c r="AH931">
        <v>30</v>
      </c>
      <c r="AI931">
        <v>30</v>
      </c>
      <c r="AJ931" t="s">
        <v>5664</v>
      </c>
      <c r="AK931">
        <v>6762</v>
      </c>
      <c r="AL931">
        <v>3201</v>
      </c>
      <c r="AM931" t="s">
        <v>5665</v>
      </c>
      <c r="AN931" t="s">
        <v>2066</v>
      </c>
      <c r="BF931" t="s">
        <v>1053</v>
      </c>
      <c r="BG931" t="s">
        <v>2019</v>
      </c>
      <c r="BH931" t="s">
        <v>2053</v>
      </c>
      <c r="BI931" t="s">
        <v>1053</v>
      </c>
      <c r="BO931" t="s">
        <v>1053</v>
      </c>
      <c r="BP931" t="s">
        <v>2101</v>
      </c>
      <c r="BQ931" t="s">
        <v>2055</v>
      </c>
      <c r="BR931" t="s">
        <v>1053</v>
      </c>
      <c r="BS931" t="s">
        <v>1053</v>
      </c>
      <c r="BV931" t="s">
        <v>2056</v>
      </c>
      <c r="BX931" t="str">
        <f>""</f>
        <v/>
      </c>
      <c r="BY931" t="str">
        <f>""</f>
        <v/>
      </c>
      <c r="BZ931" t="str">
        <f>""</f>
        <v/>
      </c>
      <c r="CA931" t="str">
        <f>""</f>
        <v/>
      </c>
      <c r="CB931" t="str">
        <f>""</f>
        <v/>
      </c>
      <c r="CC931" t="str">
        <f>""</f>
        <v/>
      </c>
      <c r="CD931" t="str">
        <f>""</f>
        <v/>
      </c>
      <c r="CE931" t="str">
        <f>""</f>
        <v/>
      </c>
      <c r="CF931" t="str">
        <f>""</f>
        <v/>
      </c>
      <c r="CG931" t="str">
        <f>""</f>
        <v/>
      </c>
      <c r="CH931" t="str">
        <f>""</f>
        <v/>
      </c>
    </row>
    <row r="932" spans="1:86" x14ac:dyDescent="0.25">
      <c r="A932" t="s">
        <v>5666</v>
      </c>
      <c r="B932" t="s">
        <v>5667</v>
      </c>
      <c r="C932" t="s">
        <v>1992</v>
      </c>
      <c r="D932" t="s">
        <v>2331</v>
      </c>
      <c r="E932" t="s">
        <v>5668</v>
      </c>
      <c r="F932" t="s">
        <v>5669</v>
      </c>
      <c r="H932" t="s">
        <v>5670</v>
      </c>
      <c r="I932" t="s">
        <v>586</v>
      </c>
      <c r="J932" t="str">
        <f>"86046"</f>
        <v>86046</v>
      </c>
      <c r="K932" t="s">
        <v>1998</v>
      </c>
      <c r="L932" t="s">
        <v>2045</v>
      </c>
      <c r="M932" t="s">
        <v>2063</v>
      </c>
      <c r="N932" t="s">
        <v>1992</v>
      </c>
      <c r="O932" t="s">
        <v>1992</v>
      </c>
      <c r="P932" t="s">
        <v>1992</v>
      </c>
      <c r="Q932" t="s">
        <v>1992</v>
      </c>
      <c r="R932" t="s">
        <v>1992</v>
      </c>
      <c r="S932" t="s">
        <v>1992</v>
      </c>
      <c r="T932" t="s">
        <v>1992</v>
      </c>
      <c r="U932" t="s">
        <v>1992</v>
      </c>
      <c r="V932" t="s">
        <v>1991</v>
      </c>
      <c r="W932" t="s">
        <v>1991</v>
      </c>
      <c r="X932" t="s">
        <v>1991</v>
      </c>
      <c r="Y932" t="s">
        <v>1992</v>
      </c>
      <c r="Z932" t="s">
        <v>1991</v>
      </c>
      <c r="AF932" t="s">
        <v>2048</v>
      </c>
      <c r="AG932" t="s">
        <v>1992</v>
      </c>
      <c r="AH932">
        <v>30</v>
      </c>
      <c r="AI932">
        <v>30</v>
      </c>
      <c r="AJ932" t="s">
        <v>5664</v>
      </c>
      <c r="AK932">
        <v>6762</v>
      </c>
      <c r="AL932">
        <v>0</v>
      </c>
      <c r="AM932" t="s">
        <v>5671</v>
      </c>
      <c r="AN932" t="s">
        <v>2066</v>
      </c>
      <c r="BF932" t="s">
        <v>1053</v>
      </c>
      <c r="BG932" t="s">
        <v>2019</v>
      </c>
      <c r="BH932" t="s">
        <v>2053</v>
      </c>
      <c r="BI932" t="s">
        <v>1053</v>
      </c>
      <c r="BO932" t="s">
        <v>1053</v>
      </c>
      <c r="BP932" t="s">
        <v>2054</v>
      </c>
      <c r="BQ932" t="s">
        <v>2055</v>
      </c>
      <c r="BR932" t="s">
        <v>1053</v>
      </c>
      <c r="BS932" t="s">
        <v>1053</v>
      </c>
      <c r="BV932" t="s">
        <v>2056</v>
      </c>
      <c r="BX932" t="str">
        <f>""</f>
        <v/>
      </c>
      <c r="BY932" t="str">
        <f>""</f>
        <v/>
      </c>
      <c r="BZ932" t="str">
        <f>""</f>
        <v/>
      </c>
      <c r="CA932" t="str">
        <f>""</f>
        <v/>
      </c>
      <c r="CB932" t="str">
        <f>""</f>
        <v/>
      </c>
      <c r="CC932" t="str">
        <f>""</f>
        <v/>
      </c>
      <c r="CD932" t="str">
        <f>""</f>
        <v/>
      </c>
      <c r="CE932" t="str">
        <f>""</f>
        <v/>
      </c>
      <c r="CF932" t="str">
        <f>""</f>
        <v/>
      </c>
      <c r="CG932" t="str">
        <f>""</f>
        <v/>
      </c>
      <c r="CH932" t="str">
        <f>""</f>
        <v/>
      </c>
    </row>
    <row r="933" spans="1:86" x14ac:dyDescent="0.25">
      <c r="A933" t="s">
        <v>5672</v>
      </c>
      <c r="B933" t="s">
        <v>5673</v>
      </c>
      <c r="C933" t="s">
        <v>1992</v>
      </c>
      <c r="D933" t="s">
        <v>2028</v>
      </c>
      <c r="E933" t="s">
        <v>5674</v>
      </c>
      <c r="H933" t="s">
        <v>5675</v>
      </c>
      <c r="I933" t="s">
        <v>592</v>
      </c>
      <c r="J933" t="str">
        <f>"06095-2908"</f>
        <v>06095-2908</v>
      </c>
      <c r="K933" t="s">
        <v>1998</v>
      </c>
      <c r="L933" t="s">
        <v>2033</v>
      </c>
      <c r="M933" t="s">
        <v>2063</v>
      </c>
      <c r="N933" t="s">
        <v>1992</v>
      </c>
      <c r="O933" t="s">
        <v>1992</v>
      </c>
      <c r="P933" t="s">
        <v>1992</v>
      </c>
      <c r="Q933" t="s">
        <v>1992</v>
      </c>
      <c r="R933" t="s">
        <v>1992</v>
      </c>
      <c r="S933" t="s">
        <v>1992</v>
      </c>
      <c r="T933" t="s">
        <v>1992</v>
      </c>
      <c r="U933" t="s">
        <v>1992</v>
      </c>
      <c r="V933" t="s">
        <v>1991</v>
      </c>
      <c r="W933" t="s">
        <v>1991</v>
      </c>
      <c r="X933" t="s">
        <v>1992</v>
      </c>
      <c r="Y933" t="s">
        <v>1992</v>
      </c>
      <c r="Z933" t="s">
        <v>1992</v>
      </c>
      <c r="AF933" t="s">
        <v>2016</v>
      </c>
      <c r="AG933" t="s">
        <v>1991</v>
      </c>
      <c r="AH933">
        <v>30</v>
      </c>
      <c r="AI933">
        <v>30</v>
      </c>
      <c r="AJ933" t="s">
        <v>5676</v>
      </c>
      <c r="AK933">
        <v>54</v>
      </c>
      <c r="AL933">
        <v>25000</v>
      </c>
      <c r="AN933" t="s">
        <v>2066</v>
      </c>
      <c r="AO933" t="s">
        <v>2063</v>
      </c>
      <c r="BF933" t="s">
        <v>1053</v>
      </c>
      <c r="BG933" t="s">
        <v>1473</v>
      </c>
      <c r="BH933" t="s">
        <v>5677</v>
      </c>
      <c r="BI933" t="s">
        <v>1053</v>
      </c>
      <c r="BJ933" t="s">
        <v>1053</v>
      </c>
      <c r="BK933" t="s">
        <v>1053</v>
      </c>
      <c r="BL933" t="s">
        <v>1053</v>
      </c>
      <c r="BM933" t="s">
        <v>5678</v>
      </c>
      <c r="BN933" t="s">
        <v>5679</v>
      </c>
      <c r="BO933" t="s">
        <v>1053</v>
      </c>
      <c r="BP933" t="s">
        <v>467</v>
      </c>
      <c r="BQ933" t="s">
        <v>254</v>
      </c>
      <c r="BR933" t="s">
        <v>1053</v>
      </c>
      <c r="BS933" t="s">
        <v>1053</v>
      </c>
      <c r="BT933" t="s">
        <v>1053</v>
      </c>
      <c r="BU933" t="s">
        <v>1053</v>
      </c>
      <c r="BV933" t="s">
        <v>255</v>
      </c>
      <c r="BW933" t="s">
        <v>256</v>
      </c>
      <c r="BX933" t="str">
        <f>""</f>
        <v/>
      </c>
      <c r="BY933" t="str">
        <f>""</f>
        <v/>
      </c>
      <c r="BZ933" t="str">
        <f>""</f>
        <v/>
      </c>
      <c r="CA933" t="str">
        <f>""</f>
        <v/>
      </c>
      <c r="CB933" t="str">
        <f>""</f>
        <v/>
      </c>
      <c r="CC933" t="str">
        <f>""</f>
        <v/>
      </c>
      <c r="CD933" t="str">
        <f>""</f>
        <v/>
      </c>
      <c r="CE933" t="str">
        <f>""</f>
        <v/>
      </c>
      <c r="CF933" t="str">
        <f>""</f>
        <v/>
      </c>
      <c r="CG933" t="str">
        <f>""</f>
        <v/>
      </c>
      <c r="CH933" t="str">
        <f>""</f>
        <v/>
      </c>
    </row>
    <row r="934" spans="1:86" x14ac:dyDescent="0.25">
      <c r="A934" t="s">
        <v>5680</v>
      </c>
      <c r="B934" t="s">
        <v>5681</v>
      </c>
      <c r="C934" t="s">
        <v>1992</v>
      </c>
      <c r="D934" t="s">
        <v>1993</v>
      </c>
      <c r="E934" t="s">
        <v>5682</v>
      </c>
      <c r="H934" t="s">
        <v>5683</v>
      </c>
      <c r="I934" t="s">
        <v>2352</v>
      </c>
      <c r="J934" t="str">
        <f>"49796"</f>
        <v>49796</v>
      </c>
      <c r="K934" t="s">
        <v>1998</v>
      </c>
      <c r="L934" t="s">
        <v>1999</v>
      </c>
      <c r="M934" t="s">
        <v>3520</v>
      </c>
      <c r="N934" t="s">
        <v>1992</v>
      </c>
      <c r="O934" t="s">
        <v>1992</v>
      </c>
      <c r="P934" t="s">
        <v>1992</v>
      </c>
      <c r="Q934" t="s">
        <v>1992</v>
      </c>
      <c r="R934" t="s">
        <v>1992</v>
      </c>
      <c r="S934" t="s">
        <v>1992</v>
      </c>
      <c r="T934" t="s">
        <v>1992</v>
      </c>
      <c r="U934" t="s">
        <v>1992</v>
      </c>
      <c r="V934" t="s">
        <v>1991</v>
      </c>
      <c r="W934" t="s">
        <v>1992</v>
      </c>
      <c r="X934" t="s">
        <v>1992</v>
      </c>
      <c r="Y934" t="s">
        <v>1992</v>
      </c>
      <c r="Z934" t="s">
        <v>1991</v>
      </c>
      <c r="AF934" t="s">
        <v>2016</v>
      </c>
      <c r="AG934" t="s">
        <v>1991</v>
      </c>
      <c r="AH934">
        <v>30</v>
      </c>
      <c r="AI934">
        <v>30</v>
      </c>
      <c r="AJ934" t="s">
        <v>5684</v>
      </c>
      <c r="AK934">
        <v>716</v>
      </c>
      <c r="AN934" t="s">
        <v>445</v>
      </c>
      <c r="AO934" t="s">
        <v>2311</v>
      </c>
      <c r="BF934" t="s">
        <v>1053</v>
      </c>
      <c r="BG934" t="s">
        <v>643</v>
      </c>
      <c r="BH934" t="s">
        <v>644</v>
      </c>
      <c r="BI934" t="s">
        <v>1053</v>
      </c>
      <c r="BK934" t="s">
        <v>1053</v>
      </c>
      <c r="BM934" t="s">
        <v>2313</v>
      </c>
      <c r="BN934" t="s">
        <v>2314</v>
      </c>
      <c r="BO934" t="s">
        <v>1053</v>
      </c>
      <c r="BP934" t="s">
        <v>2356</v>
      </c>
      <c r="BQ934" t="s">
        <v>2316</v>
      </c>
      <c r="BR934" t="s">
        <v>1053</v>
      </c>
      <c r="BT934" t="s">
        <v>1053</v>
      </c>
      <c r="BX934" t="str">
        <f>""</f>
        <v/>
      </c>
      <c r="BY934" t="str">
        <f>""</f>
        <v/>
      </c>
      <c r="BZ934" t="str">
        <f>""</f>
        <v/>
      </c>
      <c r="CA934" t="str">
        <f>""</f>
        <v/>
      </c>
      <c r="CB934" t="str">
        <f>""</f>
        <v/>
      </c>
      <c r="CC934" t="str">
        <f>""</f>
        <v/>
      </c>
      <c r="CD934" t="str">
        <f>""</f>
        <v/>
      </c>
      <c r="CE934" t="str">
        <f>""</f>
        <v/>
      </c>
      <c r="CF934" t="str">
        <f>""</f>
        <v/>
      </c>
      <c r="CG934" t="str">
        <f>""</f>
        <v/>
      </c>
      <c r="CH934" t="str">
        <f>""</f>
        <v/>
      </c>
    </row>
    <row r="935" spans="1:86" x14ac:dyDescent="0.25">
      <c r="A935" t="s">
        <v>5685</v>
      </c>
      <c r="B935" t="s">
        <v>5686</v>
      </c>
      <c r="C935" t="s">
        <v>1992</v>
      </c>
      <c r="D935" t="s">
        <v>2028</v>
      </c>
      <c r="E935" t="s">
        <v>5687</v>
      </c>
      <c r="H935" t="s">
        <v>5688</v>
      </c>
      <c r="I935" t="s">
        <v>592</v>
      </c>
      <c r="J935" t="str">
        <f>"06096"</f>
        <v>06096</v>
      </c>
      <c r="K935" t="s">
        <v>1998</v>
      </c>
      <c r="L935" t="s">
        <v>2033</v>
      </c>
      <c r="M935" t="s">
        <v>2063</v>
      </c>
      <c r="N935" t="s">
        <v>1992</v>
      </c>
      <c r="O935" t="s">
        <v>1992</v>
      </c>
      <c r="P935" t="s">
        <v>1992</v>
      </c>
      <c r="Q935" t="s">
        <v>1992</v>
      </c>
      <c r="R935" t="s">
        <v>1992</v>
      </c>
      <c r="S935" t="s">
        <v>1992</v>
      </c>
      <c r="T935" t="s">
        <v>1992</v>
      </c>
      <c r="U935" t="s">
        <v>1992</v>
      </c>
      <c r="V935" t="s">
        <v>1991</v>
      </c>
      <c r="W935" t="s">
        <v>1991</v>
      </c>
      <c r="X935" t="s">
        <v>1992</v>
      </c>
      <c r="Y935" t="s">
        <v>1992</v>
      </c>
      <c r="Z935" t="s">
        <v>1992</v>
      </c>
      <c r="AF935" t="s">
        <v>2016</v>
      </c>
      <c r="AG935" t="s">
        <v>1991</v>
      </c>
      <c r="AH935">
        <v>30</v>
      </c>
      <c r="AI935">
        <v>30</v>
      </c>
      <c r="AJ935" t="s">
        <v>5689</v>
      </c>
      <c r="AK935">
        <v>30</v>
      </c>
      <c r="AL935">
        <v>13043</v>
      </c>
      <c r="AN935" t="s">
        <v>2066</v>
      </c>
      <c r="AO935" t="s">
        <v>2063</v>
      </c>
      <c r="BF935" t="s">
        <v>1053</v>
      </c>
      <c r="BG935" t="s">
        <v>1473</v>
      </c>
      <c r="BH935" t="s">
        <v>5549</v>
      </c>
      <c r="BI935" t="s">
        <v>1053</v>
      </c>
      <c r="BJ935" t="s">
        <v>1053</v>
      </c>
      <c r="BK935" t="s">
        <v>1053</v>
      </c>
      <c r="BL935" t="s">
        <v>1053</v>
      </c>
      <c r="BM935" t="s">
        <v>251</v>
      </c>
      <c r="BN935" t="s">
        <v>252</v>
      </c>
      <c r="BO935" t="s">
        <v>1053</v>
      </c>
      <c r="BP935" t="s">
        <v>6346</v>
      </c>
      <c r="BQ935" t="s">
        <v>254</v>
      </c>
      <c r="BR935" t="s">
        <v>1053</v>
      </c>
      <c r="BS935" t="s">
        <v>1053</v>
      </c>
      <c r="BT935" t="s">
        <v>1053</v>
      </c>
      <c r="BU935" t="s">
        <v>1053</v>
      </c>
      <c r="BV935" t="s">
        <v>255</v>
      </c>
      <c r="BW935" t="s">
        <v>256</v>
      </c>
      <c r="BX935" t="str">
        <f>""</f>
        <v/>
      </c>
      <c r="BY935" t="str">
        <f>""</f>
        <v/>
      </c>
      <c r="BZ935" t="str">
        <f>""</f>
        <v/>
      </c>
      <c r="CA935" t="str">
        <f>""</f>
        <v/>
      </c>
      <c r="CB935" t="str">
        <f>""</f>
        <v/>
      </c>
      <c r="CC935" t="str">
        <f>""</f>
        <v/>
      </c>
      <c r="CD935" t="str">
        <f>""</f>
        <v/>
      </c>
      <c r="CE935" t="str">
        <f>""</f>
        <v/>
      </c>
      <c r="CF935" t="str">
        <f>""</f>
        <v/>
      </c>
      <c r="CG935" t="str">
        <f>""</f>
        <v/>
      </c>
      <c r="CH935" t="str">
        <f>""</f>
        <v/>
      </c>
    </row>
    <row r="936" spans="1:86" x14ac:dyDescent="0.25">
      <c r="A936" t="s">
        <v>5690</v>
      </c>
      <c r="B936" t="s">
        <v>5691</v>
      </c>
      <c r="C936" t="s">
        <v>1992</v>
      </c>
      <c r="D936" t="s">
        <v>2331</v>
      </c>
      <c r="E936" t="s">
        <v>5692</v>
      </c>
      <c r="H936" t="s">
        <v>5675</v>
      </c>
      <c r="I936" t="s">
        <v>680</v>
      </c>
      <c r="J936" t="str">
        <f>"05089-1407"</f>
        <v>05089-1407</v>
      </c>
      <c r="K936" t="s">
        <v>1998</v>
      </c>
      <c r="L936" t="s">
        <v>2033</v>
      </c>
      <c r="M936" t="s">
        <v>2063</v>
      </c>
      <c r="N936" t="s">
        <v>1992</v>
      </c>
      <c r="O936" t="s">
        <v>1992</v>
      </c>
      <c r="P936" t="s">
        <v>1992</v>
      </c>
      <c r="Q936" t="s">
        <v>1992</v>
      </c>
      <c r="R936" t="s">
        <v>1992</v>
      </c>
      <c r="S936" t="s">
        <v>1992</v>
      </c>
      <c r="T936" t="s">
        <v>1992</v>
      </c>
      <c r="U936" t="s">
        <v>1992</v>
      </c>
      <c r="V936" t="s">
        <v>1991</v>
      </c>
      <c r="W936" t="s">
        <v>1991</v>
      </c>
      <c r="X936" t="s">
        <v>1992</v>
      </c>
      <c r="Y936" t="s">
        <v>1992</v>
      </c>
      <c r="Z936" t="s">
        <v>1992</v>
      </c>
      <c r="AF936" t="s">
        <v>2016</v>
      </c>
      <c r="AG936" t="s">
        <v>1991</v>
      </c>
      <c r="AH936">
        <v>30</v>
      </c>
      <c r="AI936">
        <v>30</v>
      </c>
      <c r="AJ936" t="s">
        <v>5693</v>
      </c>
      <c r="AK936">
        <v>333</v>
      </c>
      <c r="AL936">
        <v>3696</v>
      </c>
      <c r="AM936" t="s">
        <v>5694</v>
      </c>
      <c r="BF936" t="s">
        <v>1053</v>
      </c>
      <c r="BG936" t="s">
        <v>597</v>
      </c>
      <c r="BH936" t="s">
        <v>250</v>
      </c>
      <c r="BI936" t="s">
        <v>1053</v>
      </c>
      <c r="BJ936" t="s">
        <v>1053</v>
      </c>
      <c r="BK936" t="s">
        <v>1053</v>
      </c>
      <c r="BL936" t="s">
        <v>1053</v>
      </c>
      <c r="BM936" t="s">
        <v>251</v>
      </c>
      <c r="BN936" t="s">
        <v>252</v>
      </c>
      <c r="BO936" t="s">
        <v>1053</v>
      </c>
      <c r="BP936" t="s">
        <v>467</v>
      </c>
      <c r="BQ936" t="s">
        <v>254</v>
      </c>
      <c r="BR936" t="s">
        <v>1053</v>
      </c>
      <c r="BS936" t="s">
        <v>1053</v>
      </c>
      <c r="BT936" t="s">
        <v>1053</v>
      </c>
      <c r="BU936" t="s">
        <v>1053</v>
      </c>
      <c r="BV936" t="s">
        <v>255</v>
      </c>
      <c r="BW936" t="s">
        <v>256</v>
      </c>
      <c r="BX936" t="str">
        <f>""</f>
        <v/>
      </c>
      <c r="BY936" t="str">
        <f>""</f>
        <v/>
      </c>
      <c r="BZ936" t="str">
        <f>""</f>
        <v/>
      </c>
      <c r="CA936" t="str">
        <f>""</f>
        <v/>
      </c>
      <c r="CB936" t="str">
        <f>""</f>
        <v/>
      </c>
      <c r="CC936" t="str">
        <f>""</f>
        <v/>
      </c>
      <c r="CD936" t="str">
        <f>""</f>
        <v/>
      </c>
      <c r="CE936" t="str">
        <f>""</f>
        <v/>
      </c>
      <c r="CF936" t="str">
        <f>""</f>
        <v/>
      </c>
      <c r="CG936" t="str">
        <f>""</f>
        <v/>
      </c>
      <c r="CH936" t="str">
        <f>""</f>
        <v/>
      </c>
    </row>
    <row r="937" spans="1:86" x14ac:dyDescent="0.25">
      <c r="A937" t="s">
        <v>5695</v>
      </c>
      <c r="B937" t="s">
        <v>5696</v>
      </c>
      <c r="C937" t="s">
        <v>1992</v>
      </c>
      <c r="D937" t="s">
        <v>2028</v>
      </c>
      <c r="E937" t="s">
        <v>5697</v>
      </c>
      <c r="H937" t="s">
        <v>5698</v>
      </c>
      <c r="I937" t="s">
        <v>1371</v>
      </c>
      <c r="J937" t="str">
        <f>"89445"</f>
        <v>89445</v>
      </c>
      <c r="K937" t="s">
        <v>1998</v>
      </c>
      <c r="L937" t="s">
        <v>2062</v>
      </c>
      <c r="M937" t="s">
        <v>2063</v>
      </c>
      <c r="N937" t="s">
        <v>1992</v>
      </c>
      <c r="O937" t="s">
        <v>1992</v>
      </c>
      <c r="P937" t="s">
        <v>1992</v>
      </c>
      <c r="Q937" t="s">
        <v>1992</v>
      </c>
      <c r="R937" t="s">
        <v>1992</v>
      </c>
      <c r="S937" t="s">
        <v>1992</v>
      </c>
      <c r="T937" t="s">
        <v>1992</v>
      </c>
      <c r="U937" t="s">
        <v>1992</v>
      </c>
      <c r="V937" t="s">
        <v>1991</v>
      </c>
      <c r="W937" t="s">
        <v>1991</v>
      </c>
      <c r="X937" t="s">
        <v>1992</v>
      </c>
      <c r="Y937" t="s">
        <v>1992</v>
      </c>
      <c r="Z937" t="s">
        <v>1992</v>
      </c>
      <c r="AA937" t="s">
        <v>1992</v>
      </c>
      <c r="AF937" t="s">
        <v>2064</v>
      </c>
      <c r="AG937" t="s">
        <v>1991</v>
      </c>
      <c r="AH937">
        <v>30</v>
      </c>
      <c r="AI937">
        <v>30</v>
      </c>
      <c r="AJ937" t="s">
        <v>5699</v>
      </c>
      <c r="AK937">
        <v>4338</v>
      </c>
      <c r="AL937">
        <v>3587</v>
      </c>
      <c r="AN937" t="s">
        <v>2066</v>
      </c>
      <c r="AO937" t="s">
        <v>2063</v>
      </c>
      <c r="BF937" t="s">
        <v>1053</v>
      </c>
      <c r="BG937" t="s">
        <v>2067</v>
      </c>
      <c r="BH937" t="s">
        <v>348</v>
      </c>
      <c r="BI937" t="s">
        <v>1053</v>
      </c>
      <c r="BK937" t="s">
        <v>1053</v>
      </c>
      <c r="BO937" t="s">
        <v>1053</v>
      </c>
      <c r="BP937" t="s">
        <v>675</v>
      </c>
      <c r="BQ937" t="s">
        <v>2073</v>
      </c>
      <c r="BR937" t="s">
        <v>1053</v>
      </c>
      <c r="BX937" t="str">
        <f>""</f>
        <v/>
      </c>
      <c r="BY937" t="str">
        <f>""</f>
        <v/>
      </c>
      <c r="BZ937" t="str">
        <f>""</f>
        <v/>
      </c>
      <c r="CA937" t="str">
        <f>""</f>
        <v/>
      </c>
      <c r="CB937" t="str">
        <f>""</f>
        <v/>
      </c>
      <c r="CC937" t="str">
        <f>""</f>
        <v/>
      </c>
      <c r="CD937" t="str">
        <f>""</f>
        <v/>
      </c>
      <c r="CE937" t="str">
        <f>""</f>
        <v/>
      </c>
      <c r="CF937" t="str">
        <f>""</f>
        <v/>
      </c>
      <c r="CG937" t="str">
        <f>""</f>
        <v/>
      </c>
      <c r="CH937" t="str">
        <f>""</f>
        <v/>
      </c>
    </row>
    <row r="938" spans="1:86" x14ac:dyDescent="0.25">
      <c r="A938" t="s">
        <v>5700</v>
      </c>
      <c r="B938" t="s">
        <v>5701</v>
      </c>
      <c r="C938" t="s">
        <v>1992</v>
      </c>
      <c r="D938" t="s">
        <v>2010</v>
      </c>
      <c r="E938" t="s">
        <v>5702</v>
      </c>
      <c r="H938" t="s">
        <v>5703</v>
      </c>
      <c r="I938" t="s">
        <v>336</v>
      </c>
      <c r="J938" t="str">
        <f>"72476"</f>
        <v>72476</v>
      </c>
      <c r="K938" t="s">
        <v>1998</v>
      </c>
      <c r="L938" t="s">
        <v>1999</v>
      </c>
      <c r="M938" t="s">
        <v>2063</v>
      </c>
      <c r="N938" t="s">
        <v>1992</v>
      </c>
      <c r="O938" t="s">
        <v>1992</v>
      </c>
      <c r="P938" t="s">
        <v>1992</v>
      </c>
      <c r="Q938" t="s">
        <v>1992</v>
      </c>
      <c r="R938" t="s">
        <v>1992</v>
      </c>
      <c r="S938" t="s">
        <v>1992</v>
      </c>
      <c r="T938" t="s">
        <v>1992</v>
      </c>
      <c r="U938" t="s">
        <v>1992</v>
      </c>
      <c r="V938" t="s">
        <v>1991</v>
      </c>
      <c r="W938" t="s">
        <v>1991</v>
      </c>
      <c r="X938" t="s">
        <v>1992</v>
      </c>
      <c r="Y938" t="s">
        <v>1992</v>
      </c>
      <c r="Z938" t="s">
        <v>1992</v>
      </c>
      <c r="AE938" t="s">
        <v>2353</v>
      </c>
      <c r="AF938" t="s">
        <v>2001</v>
      </c>
      <c r="AG938" t="s">
        <v>1991</v>
      </c>
      <c r="AH938">
        <v>30</v>
      </c>
      <c r="AI938">
        <v>30</v>
      </c>
      <c r="AJ938" t="s">
        <v>5704</v>
      </c>
      <c r="AK938">
        <v>271</v>
      </c>
      <c r="AL938">
        <v>4666</v>
      </c>
      <c r="AN938" t="s">
        <v>2066</v>
      </c>
      <c r="AO938" t="s">
        <v>2063</v>
      </c>
      <c r="BF938" t="s">
        <v>1053</v>
      </c>
      <c r="BG938" t="s">
        <v>2371</v>
      </c>
      <c r="BH938" t="s">
        <v>985</v>
      </c>
      <c r="BI938" t="s">
        <v>1053</v>
      </c>
      <c r="BJ938" t="s">
        <v>1053</v>
      </c>
      <c r="BK938" t="s">
        <v>1053</v>
      </c>
      <c r="BL938" t="s">
        <v>1053</v>
      </c>
      <c r="BM938" t="s">
        <v>2373</v>
      </c>
      <c r="BN938" t="s">
        <v>2374</v>
      </c>
      <c r="BO938" t="s">
        <v>1053</v>
      </c>
      <c r="BP938" t="s">
        <v>340</v>
      </c>
      <c r="BQ938" t="s">
        <v>2376</v>
      </c>
      <c r="BR938" t="s">
        <v>1053</v>
      </c>
      <c r="BX938" t="str">
        <f>"SMTWTFS 0000-0330"</f>
        <v>SMTWTFS 0000-0330</v>
      </c>
      <c r="BY938" t="str">
        <f>""</f>
        <v/>
      </c>
      <c r="BZ938" t="str">
        <f>""</f>
        <v/>
      </c>
      <c r="CA938" t="str">
        <f>""</f>
        <v/>
      </c>
      <c r="CB938" t="str">
        <f>""</f>
        <v/>
      </c>
      <c r="CC938" t="str">
        <f>""</f>
        <v/>
      </c>
      <c r="CD938" t="str">
        <f>""</f>
        <v/>
      </c>
      <c r="CE938" t="str">
        <f>""</f>
        <v/>
      </c>
      <c r="CF938" t="str">
        <f>""</f>
        <v/>
      </c>
      <c r="CG938" t="str">
        <f>""</f>
        <v/>
      </c>
      <c r="CH938" t="str">
        <f>""</f>
        <v/>
      </c>
    </row>
    <row r="939" spans="1:86" x14ac:dyDescent="0.25">
      <c r="A939" t="s">
        <v>5705</v>
      </c>
      <c r="B939" t="s">
        <v>5706</v>
      </c>
      <c r="C939" t="s">
        <v>1992</v>
      </c>
      <c r="D939" t="s">
        <v>2010</v>
      </c>
      <c r="E939" t="s">
        <v>5707</v>
      </c>
      <c r="F939" t="s">
        <v>5708</v>
      </c>
      <c r="G939" t="s">
        <v>5709</v>
      </c>
      <c r="H939" t="s">
        <v>4280</v>
      </c>
      <c r="I939" t="s">
        <v>700</v>
      </c>
      <c r="J939" t="str">
        <f>"27101"</f>
        <v>27101</v>
      </c>
      <c r="K939" t="s">
        <v>1998</v>
      </c>
      <c r="L939" t="s">
        <v>408</v>
      </c>
      <c r="M939" t="s">
        <v>5710</v>
      </c>
      <c r="N939" t="s">
        <v>1992</v>
      </c>
      <c r="O939" t="s">
        <v>1992</v>
      </c>
      <c r="P939" t="s">
        <v>1992</v>
      </c>
      <c r="Q939" t="s">
        <v>1992</v>
      </c>
      <c r="R939" t="s">
        <v>1992</v>
      </c>
      <c r="S939" t="s">
        <v>1992</v>
      </c>
      <c r="T939" t="s">
        <v>1992</v>
      </c>
      <c r="U939" t="s">
        <v>1992</v>
      </c>
      <c r="V939" t="s">
        <v>1991</v>
      </c>
      <c r="W939" t="s">
        <v>1992</v>
      </c>
      <c r="X939" t="s">
        <v>1992</v>
      </c>
      <c r="Y939" t="s">
        <v>1991</v>
      </c>
      <c r="Z939" t="s">
        <v>1992</v>
      </c>
      <c r="AF939" t="s">
        <v>2016</v>
      </c>
      <c r="AG939" t="s">
        <v>1991</v>
      </c>
      <c r="AH939">
        <v>30</v>
      </c>
      <c r="AI939">
        <v>30</v>
      </c>
      <c r="AJ939" t="s">
        <v>5711</v>
      </c>
      <c r="AK939">
        <v>933</v>
      </c>
      <c r="AL939">
        <v>186000</v>
      </c>
      <c r="AM939" t="s">
        <v>4282</v>
      </c>
      <c r="AN939" t="s">
        <v>5712</v>
      </c>
      <c r="AO939" t="s">
        <v>1053</v>
      </c>
      <c r="AU939" t="s">
        <v>5713</v>
      </c>
      <c r="AV939" t="s">
        <v>1053</v>
      </c>
      <c r="BF939" t="s">
        <v>1053</v>
      </c>
      <c r="BG939" t="s">
        <v>2019</v>
      </c>
      <c r="BH939" t="s">
        <v>1306</v>
      </c>
      <c r="BI939" t="s">
        <v>1053</v>
      </c>
      <c r="BJ939" t="s">
        <v>1053</v>
      </c>
      <c r="BK939" t="s">
        <v>1053</v>
      </c>
      <c r="BL939" t="s">
        <v>1053</v>
      </c>
      <c r="BO939" t="s">
        <v>1053</v>
      </c>
      <c r="BP939" t="s">
        <v>5714</v>
      </c>
      <c r="BQ939" t="s">
        <v>781</v>
      </c>
      <c r="BR939" t="s">
        <v>1053</v>
      </c>
      <c r="BS939" t="s">
        <v>1053</v>
      </c>
      <c r="BT939" t="s">
        <v>1053</v>
      </c>
      <c r="BU939" t="s">
        <v>1053</v>
      </c>
      <c r="BX939" t="str">
        <f>""</f>
        <v/>
      </c>
      <c r="BY939" t="str">
        <f>""</f>
        <v/>
      </c>
      <c r="BZ939" t="str">
        <f>""</f>
        <v/>
      </c>
      <c r="CA939" t="str">
        <f>""</f>
        <v/>
      </c>
      <c r="CB939" t="str">
        <f>""</f>
        <v/>
      </c>
      <c r="CC939" t="str">
        <f>""</f>
        <v/>
      </c>
      <c r="CD939" t="str">
        <f>""</f>
        <v/>
      </c>
      <c r="CE939" t="str">
        <f>""</f>
        <v/>
      </c>
      <c r="CF939" t="str">
        <f>""</f>
        <v/>
      </c>
      <c r="CG939" t="str">
        <f>""</f>
        <v/>
      </c>
      <c r="CH939" t="str">
        <f>""</f>
        <v/>
      </c>
    </row>
    <row r="940" spans="1:86" x14ac:dyDescent="0.25">
      <c r="A940" t="s">
        <v>5715</v>
      </c>
      <c r="B940" t="s">
        <v>5716</v>
      </c>
      <c r="C940" t="s">
        <v>1992</v>
      </c>
      <c r="D940" t="s">
        <v>1993</v>
      </c>
      <c r="E940" t="s">
        <v>5717</v>
      </c>
      <c r="F940" t="s">
        <v>5718</v>
      </c>
      <c r="G940" t="s">
        <v>5719</v>
      </c>
      <c r="H940" t="s">
        <v>5720</v>
      </c>
      <c r="I940" t="s">
        <v>2295</v>
      </c>
      <c r="J940" t="str">
        <f>"97146-9319"</f>
        <v>97146-9319</v>
      </c>
      <c r="K940" t="s">
        <v>1998</v>
      </c>
      <c r="L940" t="s">
        <v>231</v>
      </c>
      <c r="M940" t="s">
        <v>2063</v>
      </c>
      <c r="N940" t="s">
        <v>1992</v>
      </c>
      <c r="O940" t="s">
        <v>1992</v>
      </c>
      <c r="P940" t="s">
        <v>1992</v>
      </c>
      <c r="Q940" t="s">
        <v>1992</v>
      </c>
      <c r="R940" t="s">
        <v>1992</v>
      </c>
      <c r="S940" t="s">
        <v>1992</v>
      </c>
      <c r="T940" t="s">
        <v>1992</v>
      </c>
      <c r="U940" t="s">
        <v>1992</v>
      </c>
      <c r="V940" t="s">
        <v>1991</v>
      </c>
      <c r="W940" t="s">
        <v>1992</v>
      </c>
      <c r="X940" t="s">
        <v>1992</v>
      </c>
      <c r="Y940" t="s">
        <v>1991</v>
      </c>
      <c r="Z940" t="s">
        <v>1992</v>
      </c>
      <c r="AE940" t="s">
        <v>5721</v>
      </c>
      <c r="AF940" t="s">
        <v>2064</v>
      </c>
      <c r="AG940" t="s">
        <v>1991</v>
      </c>
      <c r="AH940">
        <v>30</v>
      </c>
      <c r="AI940">
        <v>30</v>
      </c>
      <c r="AJ940" t="s">
        <v>5722</v>
      </c>
      <c r="AK940">
        <v>22</v>
      </c>
      <c r="AL940">
        <v>4096</v>
      </c>
      <c r="AM940" t="s">
        <v>2298</v>
      </c>
      <c r="AN940" t="s">
        <v>357</v>
      </c>
      <c r="AO940" t="s">
        <v>2063</v>
      </c>
      <c r="BF940" t="s">
        <v>1053</v>
      </c>
      <c r="BG940" t="s">
        <v>330</v>
      </c>
      <c r="BH940" t="s">
        <v>331</v>
      </c>
      <c r="BI940" t="s">
        <v>1053</v>
      </c>
      <c r="BJ940" t="s">
        <v>1053</v>
      </c>
      <c r="BK940" t="s">
        <v>1053</v>
      </c>
      <c r="BL940" t="s">
        <v>1053</v>
      </c>
      <c r="BX940" t="str">
        <f>"------S 0000-0001"</f>
        <v>------S 0000-0001</v>
      </c>
      <c r="BY940" t="str">
        <f>""</f>
        <v/>
      </c>
      <c r="BZ940" t="str">
        <f>""</f>
        <v/>
      </c>
      <c r="CA940" t="str">
        <f>""</f>
        <v/>
      </c>
      <c r="CB940" t="str">
        <f>""</f>
        <v/>
      </c>
      <c r="CC940" t="str">
        <f>""</f>
        <v/>
      </c>
      <c r="CD940" t="str">
        <f>""</f>
        <v/>
      </c>
      <c r="CE940" t="str">
        <f>""</f>
        <v/>
      </c>
      <c r="CF940" t="str">
        <f>""</f>
        <v/>
      </c>
      <c r="CG940" t="str">
        <f>""</f>
        <v/>
      </c>
      <c r="CH940" t="str">
        <f>""</f>
        <v/>
      </c>
    </row>
    <row r="941" spans="1:86" x14ac:dyDescent="0.25">
      <c r="A941" t="s">
        <v>5723</v>
      </c>
      <c r="B941" t="s">
        <v>5724</v>
      </c>
      <c r="C941" t="s">
        <v>1992</v>
      </c>
      <c r="D941" t="s">
        <v>2010</v>
      </c>
      <c r="E941" t="s">
        <v>5725</v>
      </c>
      <c r="F941" t="s">
        <v>5726</v>
      </c>
      <c r="H941" t="s">
        <v>5727</v>
      </c>
      <c r="I941" t="s">
        <v>247</v>
      </c>
      <c r="J941" t="str">
        <f>"01801-1081"</f>
        <v>01801-1081</v>
      </c>
      <c r="K941" t="s">
        <v>1998</v>
      </c>
      <c r="L941" t="s">
        <v>2033</v>
      </c>
      <c r="M941" t="s">
        <v>2000</v>
      </c>
      <c r="N941" t="s">
        <v>1992</v>
      </c>
      <c r="O941" t="s">
        <v>1991</v>
      </c>
      <c r="P941" t="s">
        <v>1992</v>
      </c>
      <c r="Q941" t="s">
        <v>1992</v>
      </c>
      <c r="R941" t="s">
        <v>1992</v>
      </c>
      <c r="S941" t="s">
        <v>1992</v>
      </c>
      <c r="T941" t="s">
        <v>1992</v>
      </c>
      <c r="U941" t="s">
        <v>1992</v>
      </c>
      <c r="V941" t="s">
        <v>1991</v>
      </c>
      <c r="W941" t="s">
        <v>1991</v>
      </c>
      <c r="X941" t="s">
        <v>1991</v>
      </c>
      <c r="Y941" t="s">
        <v>1992</v>
      </c>
      <c r="Z941" t="s">
        <v>1992</v>
      </c>
      <c r="AA941" t="s">
        <v>1991</v>
      </c>
      <c r="AF941" t="s">
        <v>2016</v>
      </c>
      <c r="AG941" t="s">
        <v>1991</v>
      </c>
      <c r="AH941">
        <v>30</v>
      </c>
      <c r="AI941">
        <v>30</v>
      </c>
      <c r="AJ941" t="s">
        <v>5728</v>
      </c>
      <c r="AK941">
        <v>75</v>
      </c>
      <c r="AL941">
        <v>37010</v>
      </c>
      <c r="AM941" t="s">
        <v>5729</v>
      </c>
      <c r="AN941" t="s">
        <v>2066</v>
      </c>
      <c r="AO941" t="s">
        <v>2063</v>
      </c>
      <c r="BF941" t="s">
        <v>1053</v>
      </c>
      <c r="BG941" t="s">
        <v>5730</v>
      </c>
      <c r="BH941" t="s">
        <v>477</v>
      </c>
      <c r="BI941" t="s">
        <v>1053</v>
      </c>
      <c r="BJ941" t="s">
        <v>2069</v>
      </c>
      <c r="BK941" t="s">
        <v>1053</v>
      </c>
      <c r="BL941" t="s">
        <v>2069</v>
      </c>
      <c r="BM941" t="s">
        <v>749</v>
      </c>
      <c r="BN941" t="s">
        <v>757</v>
      </c>
      <c r="BO941" t="s">
        <v>1053</v>
      </c>
      <c r="BP941" t="s">
        <v>986</v>
      </c>
      <c r="BQ941" t="s">
        <v>2140</v>
      </c>
      <c r="BR941" t="s">
        <v>1053</v>
      </c>
      <c r="BS941" t="s">
        <v>1053</v>
      </c>
      <c r="BT941" t="s">
        <v>1053</v>
      </c>
      <c r="BU941" t="s">
        <v>1053</v>
      </c>
      <c r="BV941" t="s">
        <v>520</v>
      </c>
      <c r="BW941" t="s">
        <v>523</v>
      </c>
      <c r="BX941" t="str">
        <f>"SMTWTFS 0000-2359"</f>
        <v>SMTWTFS 0000-2359</v>
      </c>
      <c r="BY941" t="str">
        <f>""</f>
        <v/>
      </c>
      <c r="BZ941" t="str">
        <f>""</f>
        <v/>
      </c>
      <c r="CA941" t="str">
        <f>""</f>
        <v/>
      </c>
      <c r="CB941" t="str">
        <f>""</f>
        <v/>
      </c>
      <c r="CC941" t="str">
        <f>"SMTWTFS 0000-2359"</f>
        <v>SMTWTFS 0000-2359</v>
      </c>
      <c r="CD941" t="str">
        <f>""</f>
        <v/>
      </c>
      <c r="CE941" t="str">
        <f>""</f>
        <v/>
      </c>
      <c r="CF941" t="str">
        <f>""</f>
        <v/>
      </c>
      <c r="CG941" t="str">
        <f>""</f>
        <v/>
      </c>
      <c r="CH941" t="str">
        <f>""</f>
        <v/>
      </c>
    </row>
    <row r="942" spans="1:86" x14ac:dyDescent="0.25">
      <c r="A942" t="s">
        <v>5731</v>
      </c>
      <c r="B942" t="s">
        <v>5732</v>
      </c>
      <c r="C942" t="s">
        <v>1991</v>
      </c>
      <c r="D942" t="s">
        <v>2010</v>
      </c>
      <c r="E942" t="s">
        <v>5733</v>
      </c>
      <c r="F942" t="s">
        <v>5734</v>
      </c>
      <c r="H942" t="s">
        <v>5735</v>
      </c>
      <c r="I942" t="s">
        <v>247</v>
      </c>
      <c r="J942" t="str">
        <f>"01604"</f>
        <v>01604</v>
      </c>
      <c r="K942" t="s">
        <v>1998</v>
      </c>
      <c r="L942" t="s">
        <v>2033</v>
      </c>
      <c r="M942" t="s">
        <v>5736</v>
      </c>
      <c r="N942" t="s">
        <v>1991</v>
      </c>
      <c r="O942" t="s">
        <v>1992</v>
      </c>
      <c r="P942" t="s">
        <v>1992</v>
      </c>
      <c r="Q942" t="s">
        <v>1991</v>
      </c>
      <c r="R942" t="s">
        <v>1991</v>
      </c>
      <c r="S942" t="s">
        <v>1992</v>
      </c>
      <c r="T942" t="s">
        <v>1992</v>
      </c>
      <c r="U942" t="s">
        <v>1991</v>
      </c>
      <c r="V942" t="s">
        <v>1991</v>
      </c>
      <c r="W942" t="s">
        <v>1991</v>
      </c>
      <c r="X942" t="s">
        <v>1992</v>
      </c>
      <c r="Y942" t="s">
        <v>1992</v>
      </c>
      <c r="Z942" t="s">
        <v>1991</v>
      </c>
      <c r="AA942" t="s">
        <v>1992</v>
      </c>
      <c r="AE942" t="s">
        <v>2047</v>
      </c>
      <c r="AF942" t="s">
        <v>2016</v>
      </c>
      <c r="AG942" t="s">
        <v>1991</v>
      </c>
      <c r="AH942">
        <v>30</v>
      </c>
      <c r="AI942">
        <v>30</v>
      </c>
      <c r="AJ942" t="s">
        <v>5737</v>
      </c>
      <c r="AK942">
        <v>473</v>
      </c>
      <c r="AL942">
        <v>172648</v>
      </c>
      <c r="AN942" t="s">
        <v>1053</v>
      </c>
      <c r="AO942" t="s">
        <v>1053</v>
      </c>
      <c r="AP942" t="s">
        <v>2069</v>
      </c>
      <c r="AQ942" t="s">
        <v>1053</v>
      </c>
      <c r="AR942" t="s">
        <v>2069</v>
      </c>
      <c r="AS942" t="s">
        <v>5731</v>
      </c>
      <c r="AT942" t="s">
        <v>5738</v>
      </c>
      <c r="AU942" t="s">
        <v>1053</v>
      </c>
      <c r="AV942" t="s">
        <v>1053</v>
      </c>
      <c r="AW942" t="s">
        <v>1053</v>
      </c>
      <c r="AX942" t="s">
        <v>1053</v>
      </c>
      <c r="AY942" t="s">
        <v>1053</v>
      </c>
      <c r="AZ942" t="s">
        <v>159</v>
      </c>
      <c r="BA942" t="s">
        <v>160</v>
      </c>
      <c r="BB942" t="s">
        <v>1053</v>
      </c>
      <c r="BC942" t="s">
        <v>2069</v>
      </c>
      <c r="BD942" t="s">
        <v>1053</v>
      </c>
      <c r="BE942" t="s">
        <v>2069</v>
      </c>
      <c r="BF942" t="s">
        <v>1053</v>
      </c>
      <c r="BG942" t="s">
        <v>703</v>
      </c>
      <c r="BH942" t="s">
        <v>2140</v>
      </c>
      <c r="BI942" t="s">
        <v>1053</v>
      </c>
      <c r="BJ942" t="s">
        <v>1053</v>
      </c>
      <c r="BK942" t="s">
        <v>1053</v>
      </c>
      <c r="BL942" t="s">
        <v>1053</v>
      </c>
      <c r="BM942" t="s">
        <v>520</v>
      </c>
      <c r="BN942" t="s">
        <v>517</v>
      </c>
      <c r="BO942" t="s">
        <v>1053</v>
      </c>
      <c r="BP942" t="s">
        <v>986</v>
      </c>
      <c r="BQ942" t="s">
        <v>2140</v>
      </c>
      <c r="BR942" t="s">
        <v>1053</v>
      </c>
      <c r="BS942" t="s">
        <v>1053</v>
      </c>
      <c r="BT942" t="s">
        <v>1053</v>
      </c>
      <c r="BU942" t="s">
        <v>1053</v>
      </c>
      <c r="BV942" t="s">
        <v>520</v>
      </c>
      <c r="BW942" t="s">
        <v>523</v>
      </c>
      <c r="BX942" t="str">
        <f>"SMTWTFS 0530-2359"</f>
        <v>SMTWTFS 0530-2359</v>
      </c>
      <c r="BY942" t="str">
        <f>"-MTWTF- 1200-2000"</f>
        <v>-MTWTF- 1200-2000</v>
      </c>
      <c r="BZ942" t="str">
        <f>"-MTWTF- 1200-2000"</f>
        <v>-MTWTF- 1200-2000</v>
      </c>
      <c r="CA942" t="str">
        <f>"-MTWTF- 1200-2000"</f>
        <v>-MTWTF- 1200-2000</v>
      </c>
      <c r="CB942" t="str">
        <f>""</f>
        <v/>
      </c>
      <c r="CC942" t="str">
        <f>""</f>
        <v/>
      </c>
      <c r="CD942" t="str">
        <f>""</f>
        <v/>
      </c>
      <c r="CE942" t="str">
        <f>""</f>
        <v/>
      </c>
      <c r="CF942" t="str">
        <f>"-MTWTF- 1400-1830"</f>
        <v>-MTWTF- 1400-1830</v>
      </c>
      <c r="CG942" t="str">
        <f>""</f>
        <v/>
      </c>
      <c r="CH942" t="str">
        <f>""</f>
        <v/>
      </c>
    </row>
    <row r="943" spans="1:86" x14ac:dyDescent="0.25">
      <c r="A943" t="s">
        <v>5739</v>
      </c>
      <c r="B943" t="s">
        <v>5740</v>
      </c>
      <c r="C943" t="s">
        <v>1991</v>
      </c>
      <c r="D943" t="s">
        <v>2010</v>
      </c>
      <c r="E943" t="s">
        <v>5741</v>
      </c>
      <c r="H943" t="s">
        <v>3738</v>
      </c>
      <c r="I943" t="s">
        <v>558</v>
      </c>
      <c r="J943" t="str">
        <f>"33401"</f>
        <v>33401</v>
      </c>
      <c r="K943" t="s">
        <v>1998</v>
      </c>
      <c r="L943" t="s">
        <v>408</v>
      </c>
      <c r="M943" t="s">
        <v>5742</v>
      </c>
      <c r="N943" t="s">
        <v>1991</v>
      </c>
      <c r="O943" t="s">
        <v>1991</v>
      </c>
      <c r="P943" t="s">
        <v>1992</v>
      </c>
      <c r="Q943" t="s">
        <v>1991</v>
      </c>
      <c r="R943" t="s">
        <v>1991</v>
      </c>
      <c r="S943" t="s">
        <v>1992</v>
      </c>
      <c r="T943" t="s">
        <v>1992</v>
      </c>
      <c r="U943" t="s">
        <v>1991</v>
      </c>
      <c r="V943" t="s">
        <v>1991</v>
      </c>
      <c r="W943" t="s">
        <v>1991</v>
      </c>
      <c r="X943" t="s">
        <v>1991</v>
      </c>
      <c r="Y943" t="s">
        <v>1992</v>
      </c>
      <c r="Z943" t="s">
        <v>1992</v>
      </c>
      <c r="AA943" t="s">
        <v>1991</v>
      </c>
      <c r="AE943" t="s">
        <v>2047</v>
      </c>
      <c r="AF943" t="s">
        <v>2016</v>
      </c>
      <c r="AG943" t="s">
        <v>1991</v>
      </c>
      <c r="AH943">
        <v>60</v>
      </c>
      <c r="AI943">
        <v>30</v>
      </c>
      <c r="AJ943" t="s">
        <v>5743</v>
      </c>
      <c r="AK943">
        <v>22</v>
      </c>
      <c r="AL943">
        <v>89302</v>
      </c>
      <c r="AM943" t="s">
        <v>5744</v>
      </c>
      <c r="AN943" t="s">
        <v>1053</v>
      </c>
      <c r="AO943" t="s">
        <v>1053</v>
      </c>
      <c r="AP943" t="s">
        <v>2069</v>
      </c>
      <c r="AQ943" t="s">
        <v>1053</v>
      </c>
      <c r="AR943" t="s">
        <v>2069</v>
      </c>
      <c r="AS943" t="s">
        <v>5739</v>
      </c>
      <c r="AT943" t="s">
        <v>5745</v>
      </c>
      <c r="AU943" t="s">
        <v>1053</v>
      </c>
      <c r="AV943" t="s">
        <v>1053</v>
      </c>
      <c r="AW943" t="s">
        <v>2069</v>
      </c>
      <c r="AX943" t="s">
        <v>1053</v>
      </c>
      <c r="AY943" t="s">
        <v>2069</v>
      </c>
      <c r="AZ943" t="s">
        <v>5739</v>
      </c>
      <c r="BA943" t="s">
        <v>5745</v>
      </c>
      <c r="BB943" t="s">
        <v>1053</v>
      </c>
      <c r="BC943" t="s">
        <v>2069</v>
      </c>
      <c r="BD943" t="s">
        <v>1053</v>
      </c>
      <c r="BE943" t="s">
        <v>2069</v>
      </c>
      <c r="BF943" t="s">
        <v>1053</v>
      </c>
      <c r="BG943" t="s">
        <v>2019</v>
      </c>
      <c r="BH943" t="s">
        <v>5746</v>
      </c>
      <c r="BI943" t="s">
        <v>1053</v>
      </c>
      <c r="BJ943" t="s">
        <v>1053</v>
      </c>
      <c r="BK943" t="s">
        <v>1053</v>
      </c>
      <c r="BL943" t="s">
        <v>1053</v>
      </c>
      <c r="BM943" t="s">
        <v>1052</v>
      </c>
      <c r="BN943" t="s">
        <v>3514</v>
      </c>
      <c r="BO943" t="s">
        <v>1053</v>
      </c>
      <c r="BP943" t="s">
        <v>653</v>
      </c>
      <c r="BQ943" t="s">
        <v>564</v>
      </c>
      <c r="BR943" t="s">
        <v>1053</v>
      </c>
      <c r="BS943" t="s">
        <v>1053</v>
      </c>
      <c r="BT943" t="s">
        <v>1053</v>
      </c>
      <c r="BU943" t="s">
        <v>2069</v>
      </c>
      <c r="BV943" t="s">
        <v>1052</v>
      </c>
      <c r="BW943" t="s">
        <v>357</v>
      </c>
      <c r="BX943" t="str">
        <f>"SMTWTFS 0845-1800"</f>
        <v>SMTWTFS 0845-1800</v>
      </c>
      <c r="BY943" t="str">
        <f>"SMTWTFS 0845-1800"</f>
        <v>SMTWTFS 0845-1800</v>
      </c>
      <c r="BZ943" t="str">
        <f>"SMTWTFS 0845-1800"</f>
        <v>SMTWTFS 0845-1800</v>
      </c>
      <c r="CA943" t="str">
        <f>"SMTWTFS 0845-1800"</f>
        <v>SMTWTFS 0845-1800</v>
      </c>
      <c r="CB943" t="str">
        <f>""</f>
        <v/>
      </c>
      <c r="CC943" t="str">
        <f>"SMTWTFS 0845-1800"</f>
        <v>SMTWTFS 0845-1800</v>
      </c>
      <c r="CD943" t="str">
        <f>""</f>
        <v/>
      </c>
      <c r="CE943" t="str">
        <f>""</f>
        <v/>
      </c>
      <c r="CF943" t="str">
        <f>""</f>
        <v/>
      </c>
      <c r="CG943" t="str">
        <f>""</f>
        <v/>
      </c>
      <c r="CH943" t="str">
        <f>""</f>
        <v/>
      </c>
    </row>
    <row r="944" spans="1:86" x14ac:dyDescent="0.25">
      <c r="A944" t="s">
        <v>5747</v>
      </c>
      <c r="B944" t="s">
        <v>5748</v>
      </c>
      <c r="C944" t="s">
        <v>1991</v>
      </c>
      <c r="D944" t="s">
        <v>2010</v>
      </c>
      <c r="E944" t="s">
        <v>5749</v>
      </c>
      <c r="H944" t="s">
        <v>5750</v>
      </c>
      <c r="I944" t="s">
        <v>558</v>
      </c>
      <c r="J944" t="str">
        <f>"32789-3825"</f>
        <v>32789-3825</v>
      </c>
      <c r="K944" t="s">
        <v>1998</v>
      </c>
      <c r="L944" t="s">
        <v>408</v>
      </c>
      <c r="M944" t="s">
        <v>5751</v>
      </c>
      <c r="N944" t="s">
        <v>1991</v>
      </c>
      <c r="O944" t="s">
        <v>1991</v>
      </c>
      <c r="P944" t="s">
        <v>1992</v>
      </c>
      <c r="Q944" t="s">
        <v>1991</v>
      </c>
      <c r="R944" t="s">
        <v>1992</v>
      </c>
      <c r="S944" t="s">
        <v>1992</v>
      </c>
      <c r="T944" t="s">
        <v>1992</v>
      </c>
      <c r="U944" t="s">
        <v>1991</v>
      </c>
      <c r="V944" t="s">
        <v>1991</v>
      </c>
      <c r="W944" t="s">
        <v>1991</v>
      </c>
      <c r="X944" t="s">
        <v>1992</v>
      </c>
      <c r="Y944" t="s">
        <v>1992</v>
      </c>
      <c r="Z944" t="s">
        <v>1992</v>
      </c>
      <c r="AE944" t="s">
        <v>2047</v>
      </c>
      <c r="AF944" t="s">
        <v>2016</v>
      </c>
      <c r="AG944" t="s">
        <v>1991</v>
      </c>
      <c r="AH944">
        <v>60</v>
      </c>
      <c r="AI944">
        <v>30</v>
      </c>
      <c r="AJ944" t="s">
        <v>5752</v>
      </c>
      <c r="AK944">
        <v>93</v>
      </c>
      <c r="AL944">
        <v>24090</v>
      </c>
      <c r="AM944" t="s">
        <v>5753</v>
      </c>
      <c r="AN944" t="s">
        <v>1053</v>
      </c>
      <c r="AO944" t="s">
        <v>1053</v>
      </c>
      <c r="AP944" t="s">
        <v>2069</v>
      </c>
      <c r="AQ944" t="s">
        <v>1053</v>
      </c>
      <c r="AR944" t="s">
        <v>2069</v>
      </c>
      <c r="AS944" t="s">
        <v>5747</v>
      </c>
      <c r="AT944" t="s">
        <v>5754</v>
      </c>
      <c r="AU944" t="s">
        <v>1053</v>
      </c>
      <c r="AV944" t="s">
        <v>1053</v>
      </c>
      <c r="AW944" t="s">
        <v>2069</v>
      </c>
      <c r="AX944" t="s">
        <v>1053</v>
      </c>
      <c r="AY944" t="s">
        <v>2069</v>
      </c>
      <c r="AZ944" t="s">
        <v>5747</v>
      </c>
      <c r="BA944" t="s">
        <v>5754</v>
      </c>
      <c r="BB944" t="s">
        <v>1053</v>
      </c>
      <c r="BC944" t="s">
        <v>2069</v>
      </c>
      <c r="BD944" t="s">
        <v>1053</v>
      </c>
      <c r="BE944" t="s">
        <v>2069</v>
      </c>
      <c r="BF944" t="s">
        <v>1053</v>
      </c>
      <c r="BG944" t="s">
        <v>5755</v>
      </c>
      <c r="BH944" t="s">
        <v>2996</v>
      </c>
      <c r="BI944" t="s">
        <v>1053</v>
      </c>
      <c r="BJ944" t="s">
        <v>2069</v>
      </c>
      <c r="BK944" t="s">
        <v>1053</v>
      </c>
      <c r="BL944" t="s">
        <v>2069</v>
      </c>
      <c r="BM944" t="s">
        <v>1138</v>
      </c>
      <c r="BN944" t="s">
        <v>562</v>
      </c>
      <c r="BO944" t="s">
        <v>1053</v>
      </c>
      <c r="BP944" t="s">
        <v>653</v>
      </c>
      <c r="BQ944" t="s">
        <v>564</v>
      </c>
      <c r="BR944" t="s">
        <v>1053</v>
      </c>
      <c r="BS944" t="s">
        <v>1053</v>
      </c>
      <c r="BT944" t="s">
        <v>1053</v>
      </c>
      <c r="BU944" t="s">
        <v>1053</v>
      </c>
      <c r="BV944" t="s">
        <v>1052</v>
      </c>
      <c r="BW944" t="s">
        <v>170</v>
      </c>
      <c r="BX944" t="str">
        <f>"SMTWTFS 0900-2000"</f>
        <v>SMTWTFS 0900-2000</v>
      </c>
      <c r="BY944" t="str">
        <f>"SMTWTFS 0930-2000"</f>
        <v>SMTWTFS 0930-2000</v>
      </c>
      <c r="BZ944" t="str">
        <f>"SMTWTFS 0900-2000"</f>
        <v>SMTWTFS 0900-2000</v>
      </c>
      <c r="CA944" t="str">
        <f>"SMTWTFS 0900-2000"</f>
        <v>SMTWTFS 0900-2000</v>
      </c>
      <c r="CB944" t="str">
        <f>""</f>
        <v/>
      </c>
      <c r="CC944" t="str">
        <f>"SMTWTFS 0900-2000"</f>
        <v>SMTWTFS 0900-2000</v>
      </c>
      <c r="CD944" t="str">
        <f>""</f>
        <v/>
      </c>
      <c r="CE944" t="str">
        <f>""</f>
        <v/>
      </c>
      <c r="CF944" t="str">
        <f>"SMTWTFS 0900-1630"</f>
        <v>SMTWTFS 0900-1630</v>
      </c>
      <c r="CG944" t="str">
        <f>""</f>
        <v/>
      </c>
      <c r="CH944" t="str">
        <f>""</f>
        <v/>
      </c>
    </row>
    <row r="945" spans="1:86" x14ac:dyDescent="0.25">
      <c r="A945" t="s">
        <v>5756</v>
      </c>
      <c r="B945" t="s">
        <v>5757</v>
      </c>
      <c r="C945" t="s">
        <v>1992</v>
      </c>
      <c r="D945" t="s">
        <v>1993</v>
      </c>
      <c r="E945" t="s">
        <v>5758</v>
      </c>
      <c r="F945" t="s">
        <v>5759</v>
      </c>
      <c r="H945" t="s">
        <v>5760</v>
      </c>
      <c r="I945" t="s">
        <v>1997</v>
      </c>
      <c r="J945" t="str">
        <f>"53963"</f>
        <v>53963</v>
      </c>
      <c r="K945" t="s">
        <v>1998</v>
      </c>
      <c r="L945" t="s">
        <v>1999</v>
      </c>
      <c r="M945" t="s">
        <v>2000</v>
      </c>
      <c r="N945" t="s">
        <v>1992</v>
      </c>
      <c r="O945" t="s">
        <v>1992</v>
      </c>
      <c r="P945" t="s">
        <v>1992</v>
      </c>
      <c r="Q945" t="s">
        <v>1992</v>
      </c>
      <c r="R945" t="s">
        <v>1992</v>
      </c>
      <c r="S945" t="s">
        <v>1992</v>
      </c>
      <c r="T945" t="s">
        <v>1992</v>
      </c>
      <c r="U945" t="s">
        <v>1992</v>
      </c>
      <c r="V945" t="s">
        <v>1991</v>
      </c>
      <c r="Z945" t="s">
        <v>1991</v>
      </c>
      <c r="AF945" t="s">
        <v>2001</v>
      </c>
      <c r="AG945" t="s">
        <v>1991</v>
      </c>
      <c r="AH945">
        <v>15</v>
      </c>
      <c r="AI945">
        <v>15</v>
      </c>
      <c r="AJ945" t="s">
        <v>5761</v>
      </c>
      <c r="AK945">
        <v>889</v>
      </c>
      <c r="BX945" t="str">
        <f>""</f>
        <v/>
      </c>
      <c r="BY945" t="str">
        <f>""</f>
        <v/>
      </c>
      <c r="BZ945" t="str">
        <f>""</f>
        <v/>
      </c>
      <c r="CA945" t="str">
        <f>""</f>
        <v/>
      </c>
      <c r="CB945" t="str">
        <f>""</f>
        <v/>
      </c>
      <c r="CC945" t="str">
        <f>""</f>
        <v/>
      </c>
      <c r="CD945" t="str">
        <f>""</f>
        <v/>
      </c>
      <c r="CE945" t="str">
        <f>""</f>
        <v/>
      </c>
      <c r="CF945" t="str">
        <f>""</f>
        <v/>
      </c>
      <c r="CG945" t="str">
        <f>""</f>
        <v/>
      </c>
      <c r="CH945" t="str">
        <f>""</f>
        <v/>
      </c>
    </row>
    <row r="946" spans="1:86" x14ac:dyDescent="0.25">
      <c r="A946" t="s">
        <v>5762</v>
      </c>
      <c r="B946" t="s">
        <v>5763</v>
      </c>
      <c r="C946" t="s">
        <v>1991</v>
      </c>
      <c r="D946" t="s">
        <v>2010</v>
      </c>
      <c r="E946" t="s">
        <v>5764</v>
      </c>
      <c r="H946" t="s">
        <v>5765</v>
      </c>
      <c r="I946" t="s">
        <v>803</v>
      </c>
      <c r="J946" t="str">
        <f>"59201-1413"</f>
        <v>59201-1413</v>
      </c>
      <c r="K946" t="s">
        <v>1998</v>
      </c>
      <c r="L946" t="s">
        <v>231</v>
      </c>
      <c r="M946" t="s">
        <v>5766</v>
      </c>
      <c r="N946" t="s">
        <v>1991</v>
      </c>
      <c r="O946" t="s">
        <v>1992</v>
      </c>
      <c r="P946" t="s">
        <v>1992</v>
      </c>
      <c r="Q946" t="s">
        <v>1992</v>
      </c>
      <c r="R946" t="s">
        <v>1992</v>
      </c>
      <c r="S946" t="s">
        <v>1992</v>
      </c>
      <c r="T946" t="s">
        <v>1992</v>
      </c>
      <c r="U946" t="s">
        <v>1991</v>
      </c>
      <c r="V946" t="s">
        <v>1991</v>
      </c>
      <c r="W946" t="s">
        <v>1991</v>
      </c>
      <c r="X946" t="s">
        <v>1992</v>
      </c>
      <c r="Y946" t="s">
        <v>1992</v>
      </c>
      <c r="Z946" t="s">
        <v>1992</v>
      </c>
      <c r="AA946" t="s">
        <v>1992</v>
      </c>
      <c r="AE946" t="s">
        <v>2047</v>
      </c>
      <c r="AF946" t="s">
        <v>2048</v>
      </c>
      <c r="AG946" t="s">
        <v>1991</v>
      </c>
      <c r="AH946">
        <v>60</v>
      </c>
      <c r="AI946">
        <v>30</v>
      </c>
      <c r="AJ946" t="s">
        <v>5767</v>
      </c>
      <c r="AK946">
        <v>2003</v>
      </c>
      <c r="AL946">
        <v>2663</v>
      </c>
      <c r="AN946" t="s">
        <v>1053</v>
      </c>
      <c r="AO946" t="s">
        <v>1053</v>
      </c>
      <c r="AP946" t="s">
        <v>2069</v>
      </c>
      <c r="AQ946" t="s">
        <v>1053</v>
      </c>
      <c r="AR946" t="s">
        <v>2069</v>
      </c>
      <c r="AS946" t="s">
        <v>5762</v>
      </c>
      <c r="AT946" t="s">
        <v>5768</v>
      </c>
      <c r="AU946" t="s">
        <v>1053</v>
      </c>
      <c r="AV946" t="s">
        <v>1053</v>
      </c>
      <c r="AW946" t="s">
        <v>2069</v>
      </c>
      <c r="AX946" t="s">
        <v>1053</v>
      </c>
      <c r="AY946" t="s">
        <v>2069</v>
      </c>
      <c r="AZ946" t="s">
        <v>5762</v>
      </c>
      <c r="BA946" t="s">
        <v>5768</v>
      </c>
      <c r="BB946" t="s">
        <v>1053</v>
      </c>
      <c r="BC946" t="s">
        <v>2069</v>
      </c>
      <c r="BD946" t="s">
        <v>1053</v>
      </c>
      <c r="BE946" t="s">
        <v>2069</v>
      </c>
      <c r="BF946" t="s">
        <v>1053</v>
      </c>
      <c r="BG946" t="s">
        <v>2019</v>
      </c>
      <c r="BH946" t="s">
        <v>5769</v>
      </c>
      <c r="BI946" t="s">
        <v>1053</v>
      </c>
      <c r="BJ946" t="s">
        <v>1053</v>
      </c>
      <c r="BK946" t="s">
        <v>1053</v>
      </c>
      <c r="BM946" t="s">
        <v>241</v>
      </c>
      <c r="BN946" t="s">
        <v>242</v>
      </c>
      <c r="BO946" t="s">
        <v>1053</v>
      </c>
      <c r="BP946" t="s">
        <v>5605</v>
      </c>
      <c r="BQ946" t="s">
        <v>240</v>
      </c>
      <c r="BR946" t="s">
        <v>1053</v>
      </c>
      <c r="BS946" t="s">
        <v>1053</v>
      </c>
      <c r="BT946" t="s">
        <v>1053</v>
      </c>
      <c r="BU946" t="s">
        <v>1053</v>
      </c>
      <c r="BV946" t="s">
        <v>241</v>
      </c>
      <c r="BW946" t="s">
        <v>242</v>
      </c>
      <c r="BX946" t="str">
        <f>"-MTWTF- 1000-1730"</f>
        <v>-MTWTF- 1000-1730</v>
      </c>
      <c r="BY946" t="str">
        <f>""</f>
        <v/>
      </c>
      <c r="BZ946" t="str">
        <f>"-MTWTF- 1000-1730"</f>
        <v>-MTWTF- 1000-1730</v>
      </c>
      <c r="CA946" t="str">
        <f>"-MTWTF- 1000-1730"</f>
        <v>-MTWTF- 1000-1730</v>
      </c>
      <c r="CB946" t="str">
        <f>""</f>
        <v/>
      </c>
      <c r="CC946" t="str">
        <f>""</f>
        <v/>
      </c>
      <c r="CD946" t="str">
        <f>""</f>
        <v/>
      </c>
      <c r="CE946" t="str">
        <f>""</f>
        <v/>
      </c>
      <c r="CF946" t="str">
        <f>""</f>
        <v/>
      </c>
      <c r="CG946" t="str">
        <f>""</f>
        <v/>
      </c>
      <c r="CH946" t="str">
        <f>""</f>
        <v/>
      </c>
    </row>
    <row r="947" spans="1:86" x14ac:dyDescent="0.25">
      <c r="A947" t="s">
        <v>5770</v>
      </c>
      <c r="B947" t="s">
        <v>5771</v>
      </c>
      <c r="C947" t="s">
        <v>1992</v>
      </c>
      <c r="D947" t="s">
        <v>2010</v>
      </c>
      <c r="E947" t="s">
        <v>5772</v>
      </c>
      <c r="H947" t="s">
        <v>5773</v>
      </c>
      <c r="I947" t="s">
        <v>680</v>
      </c>
      <c r="J947" t="str">
        <f>"05001-7042"</f>
        <v>05001-7042</v>
      </c>
      <c r="K947" t="s">
        <v>1998</v>
      </c>
      <c r="L947" t="s">
        <v>2033</v>
      </c>
      <c r="M947" t="s">
        <v>5774</v>
      </c>
      <c r="N947" t="s">
        <v>1992</v>
      </c>
      <c r="O947" t="s">
        <v>1992</v>
      </c>
      <c r="P947" t="s">
        <v>1992</v>
      </c>
      <c r="Q947" t="s">
        <v>1992</v>
      </c>
      <c r="R947" t="s">
        <v>1992</v>
      </c>
      <c r="S947" t="s">
        <v>1992</v>
      </c>
      <c r="T947" t="s">
        <v>1992</v>
      </c>
      <c r="U947" t="s">
        <v>1992</v>
      </c>
      <c r="V947" t="s">
        <v>1991</v>
      </c>
      <c r="W947" t="s">
        <v>1991</v>
      </c>
      <c r="X947" t="s">
        <v>1992</v>
      </c>
      <c r="Y947" t="s">
        <v>1992</v>
      </c>
      <c r="Z947" t="s">
        <v>1992</v>
      </c>
      <c r="AF947" t="s">
        <v>2016</v>
      </c>
      <c r="AG947" t="s">
        <v>1991</v>
      </c>
      <c r="AH947">
        <v>30</v>
      </c>
      <c r="AI947">
        <v>30</v>
      </c>
      <c r="AJ947" t="s">
        <v>5775</v>
      </c>
      <c r="AK947">
        <v>364</v>
      </c>
      <c r="AL947">
        <v>2569</v>
      </c>
      <c r="AM947" t="s">
        <v>5776</v>
      </c>
      <c r="AU947" t="s">
        <v>1442</v>
      </c>
      <c r="AV947" t="s">
        <v>2063</v>
      </c>
      <c r="BF947" t="s">
        <v>1053</v>
      </c>
      <c r="BG947" t="s">
        <v>684</v>
      </c>
      <c r="BH947" t="s">
        <v>250</v>
      </c>
      <c r="BI947" t="s">
        <v>1053</v>
      </c>
      <c r="BJ947" t="s">
        <v>1053</v>
      </c>
      <c r="BK947" t="s">
        <v>1053</v>
      </c>
      <c r="BL947" t="s">
        <v>1053</v>
      </c>
      <c r="BM947" t="s">
        <v>251</v>
      </c>
      <c r="BN947" t="s">
        <v>252</v>
      </c>
      <c r="BO947" t="s">
        <v>1053</v>
      </c>
      <c r="BP947" t="s">
        <v>3902</v>
      </c>
      <c r="BQ947" t="s">
        <v>5777</v>
      </c>
      <c r="BR947" t="s">
        <v>1053</v>
      </c>
      <c r="BS947" t="s">
        <v>1053</v>
      </c>
      <c r="BT947" t="s">
        <v>1053</v>
      </c>
      <c r="BU947" t="s">
        <v>1053</v>
      </c>
      <c r="BV947" t="s">
        <v>255</v>
      </c>
      <c r="BW947" t="s">
        <v>256</v>
      </c>
      <c r="BX947" t="str">
        <f>"SMTWTFS 1005-1205 1745-1945"</f>
        <v>SMTWTFS 1005-1205 1745-1945</v>
      </c>
      <c r="BY947" t="str">
        <f>""</f>
        <v/>
      </c>
      <c r="BZ947" t="str">
        <f>""</f>
        <v/>
      </c>
      <c r="CA947" t="str">
        <f>""</f>
        <v/>
      </c>
      <c r="CB947" t="str">
        <f>""</f>
        <v/>
      </c>
      <c r="CC947" t="str">
        <f>""</f>
        <v/>
      </c>
      <c r="CD947" t="str">
        <f>""</f>
        <v/>
      </c>
      <c r="CE947" t="str">
        <f>""</f>
        <v/>
      </c>
      <c r="CF947" t="str">
        <f>""</f>
        <v/>
      </c>
      <c r="CG947" t="str">
        <f>""</f>
        <v/>
      </c>
      <c r="CH947" t="str">
        <f>""</f>
        <v/>
      </c>
    </row>
    <row r="948" spans="1:86" x14ac:dyDescent="0.25">
      <c r="A948" t="s">
        <v>5778</v>
      </c>
      <c r="B948" t="s">
        <v>5779</v>
      </c>
      <c r="C948" t="s">
        <v>1992</v>
      </c>
      <c r="D948" t="s">
        <v>1993</v>
      </c>
      <c r="E948" t="s">
        <v>5780</v>
      </c>
      <c r="F948" t="s">
        <v>6</v>
      </c>
      <c r="H948" t="s">
        <v>5781</v>
      </c>
      <c r="I948" t="s">
        <v>2061</v>
      </c>
      <c r="J948" t="str">
        <f>"94585"</f>
        <v>94585</v>
      </c>
      <c r="K948" t="s">
        <v>1998</v>
      </c>
      <c r="L948" t="s">
        <v>2062</v>
      </c>
      <c r="M948" t="s">
        <v>2000</v>
      </c>
      <c r="N948" t="s">
        <v>1992</v>
      </c>
      <c r="O948" t="s">
        <v>1992</v>
      </c>
      <c r="P948" t="s">
        <v>1992</v>
      </c>
      <c r="Q948" t="s">
        <v>1992</v>
      </c>
      <c r="R948" t="s">
        <v>1992</v>
      </c>
      <c r="S948" t="s">
        <v>1992</v>
      </c>
      <c r="T948" t="s">
        <v>1992</v>
      </c>
      <c r="U948" t="s">
        <v>1992</v>
      </c>
      <c r="V948" t="s">
        <v>1991</v>
      </c>
      <c r="Z948" t="s">
        <v>1991</v>
      </c>
      <c r="AF948" t="s">
        <v>2064</v>
      </c>
      <c r="AG948" t="s">
        <v>1991</v>
      </c>
      <c r="AH948">
        <v>15</v>
      </c>
      <c r="AI948">
        <v>15</v>
      </c>
      <c r="AJ948" t="s">
        <v>5782</v>
      </c>
      <c r="AK948">
        <v>90</v>
      </c>
      <c r="AM948" t="s">
        <v>5783</v>
      </c>
      <c r="BX948" t="str">
        <f>""</f>
        <v/>
      </c>
      <c r="BY948" t="str">
        <f>""</f>
        <v/>
      </c>
      <c r="BZ948" t="str">
        <f>""</f>
        <v/>
      </c>
      <c r="CA948" t="str">
        <f>""</f>
        <v/>
      </c>
      <c r="CB948" t="str">
        <f>""</f>
        <v/>
      </c>
      <c r="CC948" t="str">
        <f>""</f>
        <v/>
      </c>
      <c r="CD948" t="str">
        <f>""</f>
        <v/>
      </c>
      <c r="CE948" t="str">
        <f>""</f>
        <v/>
      </c>
      <c r="CF948" t="str">
        <f>""</f>
        <v/>
      </c>
      <c r="CG948" t="str">
        <f>""</f>
        <v/>
      </c>
      <c r="CH948" t="str">
        <f>""</f>
        <v/>
      </c>
    </row>
    <row r="949" spans="1:86" x14ac:dyDescent="0.25">
      <c r="A949" t="s">
        <v>5784</v>
      </c>
      <c r="B949" t="s">
        <v>5785</v>
      </c>
      <c r="D949" t="s">
        <v>2089</v>
      </c>
      <c r="E949" t="s">
        <v>5786</v>
      </c>
      <c r="H949" t="s">
        <v>5787</v>
      </c>
      <c r="I949" t="s">
        <v>592</v>
      </c>
      <c r="J949" t="str">
        <f>"06498"</f>
        <v>06498</v>
      </c>
      <c r="K949" t="s">
        <v>1998</v>
      </c>
      <c r="L949" t="s">
        <v>717</v>
      </c>
      <c r="M949" t="s">
        <v>718</v>
      </c>
      <c r="O949" t="s">
        <v>1992</v>
      </c>
      <c r="AF949" t="s">
        <v>2016</v>
      </c>
      <c r="AG949" t="s">
        <v>1991</v>
      </c>
      <c r="AJ949" t="s">
        <v>2090</v>
      </c>
      <c r="AM949" t="s">
        <v>719</v>
      </c>
      <c r="BX949" t="str">
        <f>""</f>
        <v/>
      </c>
      <c r="BY949" t="str">
        <f>""</f>
        <v/>
      </c>
      <c r="BZ949" t="str">
        <f>""</f>
        <v/>
      </c>
      <c r="CA949" t="str">
        <f>""</f>
        <v/>
      </c>
      <c r="CB949" t="str">
        <f>""</f>
        <v/>
      </c>
      <c r="CC949" t="str">
        <f>""</f>
        <v/>
      </c>
      <c r="CD949" t="str">
        <f>""</f>
        <v/>
      </c>
      <c r="CE949" t="str">
        <f>""</f>
        <v/>
      </c>
      <c r="CF949" t="str">
        <f>""</f>
        <v/>
      </c>
      <c r="CG949" t="str">
        <f>""</f>
        <v/>
      </c>
      <c r="CH949" t="str">
        <f>""</f>
        <v/>
      </c>
    </row>
    <row r="950" spans="1:86" x14ac:dyDescent="0.25">
      <c r="A950" t="s">
        <v>5788</v>
      </c>
      <c r="B950" t="s">
        <v>5789</v>
      </c>
      <c r="C950" t="s">
        <v>1992</v>
      </c>
      <c r="D950" t="s">
        <v>1993</v>
      </c>
      <c r="E950" t="s">
        <v>5790</v>
      </c>
      <c r="F950" t="s">
        <v>1557</v>
      </c>
      <c r="H950" t="s">
        <v>5791</v>
      </c>
      <c r="I950" t="s">
        <v>1997</v>
      </c>
      <c r="J950" t="str">
        <f>"53964"</f>
        <v>53964</v>
      </c>
      <c r="K950" t="s">
        <v>1998</v>
      </c>
      <c r="L950" t="s">
        <v>1999</v>
      </c>
      <c r="M950" t="s">
        <v>2000</v>
      </c>
      <c r="N950" t="s">
        <v>1992</v>
      </c>
      <c r="O950" t="s">
        <v>1992</v>
      </c>
      <c r="P950" t="s">
        <v>1992</v>
      </c>
      <c r="Q950" t="s">
        <v>1992</v>
      </c>
      <c r="R950" t="s">
        <v>1992</v>
      </c>
      <c r="S950" t="s">
        <v>1992</v>
      </c>
      <c r="T950" t="s">
        <v>1992</v>
      </c>
      <c r="U950" t="s">
        <v>1992</v>
      </c>
      <c r="V950" t="s">
        <v>1991</v>
      </c>
      <c r="Z950" t="s">
        <v>1991</v>
      </c>
      <c r="AF950" t="s">
        <v>2001</v>
      </c>
      <c r="AG950" t="s">
        <v>1991</v>
      </c>
      <c r="AH950">
        <v>15</v>
      </c>
      <c r="AI950">
        <v>15</v>
      </c>
      <c r="AJ950" t="s">
        <v>5792</v>
      </c>
      <c r="AK950">
        <v>860</v>
      </c>
      <c r="BX950" t="str">
        <f>""</f>
        <v/>
      </c>
      <c r="BY950" t="str">
        <f>""</f>
        <v/>
      </c>
      <c r="BZ950" t="str">
        <f>""</f>
        <v/>
      </c>
      <c r="CA950" t="str">
        <f>""</f>
        <v/>
      </c>
      <c r="CB950" t="str">
        <f>""</f>
        <v/>
      </c>
      <c r="CC950" t="str">
        <f>""</f>
        <v/>
      </c>
      <c r="CD950" t="str">
        <f>""</f>
        <v/>
      </c>
      <c r="CE950" t="str">
        <f>""</f>
        <v/>
      </c>
      <c r="CF950" t="str">
        <f>""</f>
        <v/>
      </c>
      <c r="CG950" t="str">
        <f>""</f>
        <v/>
      </c>
      <c r="CH950" t="str">
        <f>""</f>
        <v/>
      </c>
    </row>
    <row r="951" spans="1:86" x14ac:dyDescent="0.25">
      <c r="A951" t="s">
        <v>5793</v>
      </c>
      <c r="B951" t="s">
        <v>5794</v>
      </c>
      <c r="C951" t="s">
        <v>1992</v>
      </c>
      <c r="D951" t="s">
        <v>1993</v>
      </c>
      <c r="E951" t="s">
        <v>5795</v>
      </c>
      <c r="F951" t="s">
        <v>5796</v>
      </c>
      <c r="H951" t="s">
        <v>5797</v>
      </c>
      <c r="I951" t="s">
        <v>1997</v>
      </c>
      <c r="J951" t="str">
        <f>"54403"</f>
        <v>54403</v>
      </c>
      <c r="K951" t="s">
        <v>1998</v>
      </c>
      <c r="L951" t="s">
        <v>1999</v>
      </c>
      <c r="M951" t="s">
        <v>2000</v>
      </c>
      <c r="N951" t="s">
        <v>1992</v>
      </c>
      <c r="O951" t="s">
        <v>1992</v>
      </c>
      <c r="P951" t="s">
        <v>1992</v>
      </c>
      <c r="Q951" t="s">
        <v>1992</v>
      </c>
      <c r="R951" t="s">
        <v>1992</v>
      </c>
      <c r="S951" t="s">
        <v>1992</v>
      </c>
      <c r="T951" t="s">
        <v>1992</v>
      </c>
      <c r="U951" t="s">
        <v>1992</v>
      </c>
      <c r="V951" t="s">
        <v>1991</v>
      </c>
      <c r="Z951" t="s">
        <v>1991</v>
      </c>
      <c r="AF951" t="s">
        <v>2001</v>
      </c>
      <c r="AG951" t="s">
        <v>1991</v>
      </c>
      <c r="AH951">
        <v>15</v>
      </c>
      <c r="AI951">
        <v>15</v>
      </c>
      <c r="AJ951" t="s">
        <v>5798</v>
      </c>
      <c r="AK951">
        <v>1215</v>
      </c>
      <c r="BF951" t="s">
        <v>1053</v>
      </c>
      <c r="BG951" t="s">
        <v>2003</v>
      </c>
      <c r="BH951" t="s">
        <v>2004</v>
      </c>
      <c r="BI951" t="s">
        <v>1053</v>
      </c>
      <c r="BK951" t="s">
        <v>1053</v>
      </c>
      <c r="BO951" t="s">
        <v>1053</v>
      </c>
      <c r="BP951" t="s">
        <v>2005</v>
      </c>
      <c r="BQ951" t="s">
        <v>2006</v>
      </c>
      <c r="BR951" t="s">
        <v>1053</v>
      </c>
      <c r="BS951" t="s">
        <v>1053</v>
      </c>
      <c r="BT951" t="s">
        <v>1053</v>
      </c>
      <c r="BU951" t="s">
        <v>1053</v>
      </c>
      <c r="BX951" t="str">
        <f>""</f>
        <v/>
      </c>
      <c r="BY951" t="str">
        <f>""</f>
        <v/>
      </c>
      <c r="BZ951" t="str">
        <f>""</f>
        <v/>
      </c>
      <c r="CA951" t="str">
        <f>""</f>
        <v/>
      </c>
      <c r="CB951" t="str">
        <f>""</f>
        <v/>
      </c>
      <c r="CC951" t="str">
        <f>""</f>
        <v/>
      </c>
      <c r="CD951" t="str">
        <f>""</f>
        <v/>
      </c>
      <c r="CE951" t="str">
        <f>""</f>
        <v/>
      </c>
      <c r="CF951" t="str">
        <f>""</f>
        <v/>
      </c>
      <c r="CG951" t="str">
        <f>""</f>
        <v/>
      </c>
      <c r="CH951" t="str">
        <f>""</f>
        <v/>
      </c>
    </row>
    <row r="952" spans="1:86" x14ac:dyDescent="0.25">
      <c r="A952" t="s">
        <v>5799</v>
      </c>
      <c r="B952" t="s">
        <v>5800</v>
      </c>
      <c r="C952" t="s">
        <v>1992</v>
      </c>
      <c r="D952" t="s">
        <v>1993</v>
      </c>
      <c r="E952" t="s">
        <v>5801</v>
      </c>
      <c r="F952" t="s">
        <v>5802</v>
      </c>
      <c r="H952" t="s">
        <v>5803</v>
      </c>
      <c r="I952" t="s">
        <v>1797</v>
      </c>
      <c r="J952" t="str">
        <f>"V0N 1B4"</f>
        <v>V0N 1B4</v>
      </c>
      <c r="K952" t="s">
        <v>373</v>
      </c>
      <c r="L952" t="s">
        <v>2062</v>
      </c>
      <c r="M952" t="s">
        <v>5804</v>
      </c>
      <c r="N952" t="s">
        <v>1992</v>
      </c>
      <c r="O952" t="s">
        <v>1992</v>
      </c>
      <c r="P952" t="s">
        <v>1992</v>
      </c>
      <c r="Q952" t="s">
        <v>1992</v>
      </c>
      <c r="R952" t="s">
        <v>1992</v>
      </c>
      <c r="S952" t="s">
        <v>1992</v>
      </c>
      <c r="T952" t="s">
        <v>1992</v>
      </c>
      <c r="U952" t="s">
        <v>1992</v>
      </c>
      <c r="V952" t="s">
        <v>1991</v>
      </c>
      <c r="W952" t="s">
        <v>1992</v>
      </c>
      <c r="X952" t="s">
        <v>1992</v>
      </c>
      <c r="Y952" t="s">
        <v>1992</v>
      </c>
      <c r="Z952" t="s">
        <v>1991</v>
      </c>
      <c r="AE952" t="s">
        <v>1799</v>
      </c>
      <c r="AF952" t="s">
        <v>2064</v>
      </c>
      <c r="AG952" t="s">
        <v>1991</v>
      </c>
      <c r="AH952">
        <v>30</v>
      </c>
      <c r="AI952">
        <v>30</v>
      </c>
      <c r="AJ952" t="s">
        <v>5805</v>
      </c>
      <c r="AK952">
        <v>2138</v>
      </c>
      <c r="AM952" t="s">
        <v>5806</v>
      </c>
      <c r="AN952" t="s">
        <v>450</v>
      </c>
      <c r="AO952" t="s">
        <v>2063</v>
      </c>
      <c r="BF952" t="s">
        <v>1053</v>
      </c>
      <c r="BG952" t="s">
        <v>394</v>
      </c>
      <c r="BH952" t="s">
        <v>311</v>
      </c>
      <c r="BI952" t="s">
        <v>1053</v>
      </c>
      <c r="BJ952" t="s">
        <v>1053</v>
      </c>
      <c r="BK952" t="s">
        <v>1053</v>
      </c>
      <c r="BL952" t="s">
        <v>1053</v>
      </c>
      <c r="BX952" t="str">
        <f>""</f>
        <v/>
      </c>
      <c r="BY952" t="str">
        <f>""</f>
        <v/>
      </c>
      <c r="BZ952" t="str">
        <f>""</f>
        <v/>
      </c>
      <c r="CA952" t="str">
        <f>""</f>
        <v/>
      </c>
      <c r="CB952" t="str">
        <f>""</f>
        <v/>
      </c>
      <c r="CC952" t="str">
        <f>""</f>
        <v/>
      </c>
      <c r="CD952" t="str">
        <f>""</f>
        <v/>
      </c>
      <c r="CE952" t="str">
        <f>""</f>
        <v/>
      </c>
      <c r="CF952" t="str">
        <f>""</f>
        <v/>
      </c>
      <c r="CG952" t="str">
        <f>""</f>
        <v/>
      </c>
      <c r="CH952" t="str">
        <f>""</f>
        <v/>
      </c>
    </row>
    <row r="953" spans="1:86" x14ac:dyDescent="0.25">
      <c r="A953" t="s">
        <v>5807</v>
      </c>
      <c r="B953" t="s">
        <v>5808</v>
      </c>
      <c r="C953" t="s">
        <v>1992</v>
      </c>
      <c r="D953" t="s">
        <v>2010</v>
      </c>
      <c r="E953" t="s">
        <v>5809</v>
      </c>
      <c r="F953" t="s">
        <v>5810</v>
      </c>
      <c r="H953" t="s">
        <v>5811</v>
      </c>
      <c r="I953" t="s">
        <v>2321</v>
      </c>
      <c r="J953" t="str">
        <f>"12993"</f>
        <v>12993</v>
      </c>
      <c r="K953" t="s">
        <v>1998</v>
      </c>
      <c r="L953" t="s">
        <v>2033</v>
      </c>
      <c r="M953" t="s">
        <v>2000</v>
      </c>
      <c r="N953" t="s">
        <v>1992</v>
      </c>
      <c r="O953" t="s">
        <v>1992</v>
      </c>
      <c r="P953" t="s">
        <v>1992</v>
      </c>
      <c r="Q953" t="s">
        <v>1992</v>
      </c>
      <c r="R953" t="s">
        <v>1992</v>
      </c>
      <c r="S953" t="s">
        <v>1992</v>
      </c>
      <c r="T953" t="s">
        <v>1992</v>
      </c>
      <c r="U953" t="s">
        <v>1992</v>
      </c>
      <c r="V953" t="s">
        <v>1991</v>
      </c>
      <c r="W953" t="s">
        <v>1991</v>
      </c>
      <c r="X953" t="s">
        <v>1992</v>
      </c>
      <c r="Y953" t="s">
        <v>1992</v>
      </c>
      <c r="Z953" t="s">
        <v>1991</v>
      </c>
      <c r="AA953" t="s">
        <v>1992</v>
      </c>
      <c r="AF953" t="s">
        <v>2016</v>
      </c>
      <c r="AG953" t="s">
        <v>1991</v>
      </c>
      <c r="AH953">
        <v>30</v>
      </c>
      <c r="AI953">
        <v>30</v>
      </c>
      <c r="AJ953" t="s">
        <v>5812</v>
      </c>
      <c r="AK953">
        <v>265</v>
      </c>
      <c r="AL953">
        <v>750</v>
      </c>
      <c r="AN953" t="s">
        <v>1053</v>
      </c>
      <c r="AO953" t="s">
        <v>1053</v>
      </c>
      <c r="AU953" t="s">
        <v>1053</v>
      </c>
      <c r="AV953" t="s">
        <v>1053</v>
      </c>
      <c r="AW953" t="s">
        <v>1053</v>
      </c>
      <c r="AX953" t="s">
        <v>1053</v>
      </c>
      <c r="BF953" t="s">
        <v>1053</v>
      </c>
      <c r="BG953" t="s">
        <v>5813</v>
      </c>
      <c r="BH953" t="s">
        <v>1581</v>
      </c>
      <c r="BI953" t="s">
        <v>1053</v>
      </c>
      <c r="BJ953" t="s">
        <v>1053</v>
      </c>
      <c r="BK953" t="s">
        <v>1053</v>
      </c>
      <c r="BL953" t="s">
        <v>1053</v>
      </c>
      <c r="BM953" t="s">
        <v>2324</v>
      </c>
      <c r="BN953" t="s">
        <v>2325</v>
      </c>
      <c r="BO953" t="s">
        <v>1053</v>
      </c>
      <c r="BP953" t="s">
        <v>2327</v>
      </c>
      <c r="BQ953" t="s">
        <v>1582</v>
      </c>
      <c r="BR953" t="s">
        <v>1053</v>
      </c>
      <c r="BS953" t="s">
        <v>1053</v>
      </c>
      <c r="BV953" t="s">
        <v>1444</v>
      </c>
      <c r="BX953" t="str">
        <f>"SMTWTFS 1200-1600"</f>
        <v>SMTWTFS 1200-1600</v>
      </c>
      <c r="BY953" t="str">
        <f>""</f>
        <v/>
      </c>
      <c r="BZ953" t="str">
        <f>""</f>
        <v/>
      </c>
      <c r="CA953" t="str">
        <f>""</f>
        <v/>
      </c>
      <c r="CB953" t="str">
        <f>""</f>
        <v/>
      </c>
      <c r="CC953" t="str">
        <f>""</f>
        <v/>
      </c>
      <c r="CD953" t="str">
        <f>""</f>
        <v/>
      </c>
      <c r="CE953" t="str">
        <f>""</f>
        <v/>
      </c>
      <c r="CF953" t="str">
        <f>""</f>
        <v/>
      </c>
      <c r="CG953" t="str">
        <f>""</f>
        <v/>
      </c>
      <c r="CH953" t="str">
        <f>""</f>
        <v/>
      </c>
    </row>
    <row r="954" spans="1:86" x14ac:dyDescent="0.25">
      <c r="A954" t="s">
        <v>5814</v>
      </c>
      <c r="B954" t="s">
        <v>5815</v>
      </c>
      <c r="C954" t="s">
        <v>1992</v>
      </c>
      <c r="D954" t="s">
        <v>2028</v>
      </c>
      <c r="E954" t="s">
        <v>5816</v>
      </c>
      <c r="H954" t="s">
        <v>5817</v>
      </c>
      <c r="I954" t="s">
        <v>2340</v>
      </c>
      <c r="J954" t="str">
        <f>"24986"</f>
        <v>24986</v>
      </c>
      <c r="K954" t="s">
        <v>1998</v>
      </c>
      <c r="L954" t="s">
        <v>2015</v>
      </c>
      <c r="M954" t="s">
        <v>2063</v>
      </c>
      <c r="N954" t="s">
        <v>1992</v>
      </c>
      <c r="O954" t="s">
        <v>1992</v>
      </c>
      <c r="P954" t="s">
        <v>1992</v>
      </c>
      <c r="Q954" t="s">
        <v>1992</v>
      </c>
      <c r="R954" t="s">
        <v>1992</v>
      </c>
      <c r="S954" t="s">
        <v>1992</v>
      </c>
      <c r="T954" t="s">
        <v>1992</v>
      </c>
      <c r="U954" t="s">
        <v>1992</v>
      </c>
      <c r="V954" t="s">
        <v>1991</v>
      </c>
      <c r="W954" t="s">
        <v>1991</v>
      </c>
      <c r="X954" t="s">
        <v>1992</v>
      </c>
      <c r="Y954" t="s">
        <v>1992</v>
      </c>
      <c r="Z954" t="s">
        <v>1992</v>
      </c>
      <c r="AF954" t="s">
        <v>2016</v>
      </c>
      <c r="AG954" t="s">
        <v>1991</v>
      </c>
      <c r="AH954">
        <v>30</v>
      </c>
      <c r="AI954">
        <v>30</v>
      </c>
      <c r="AJ954" t="s">
        <v>5818</v>
      </c>
      <c r="AK954">
        <v>1928</v>
      </c>
      <c r="AL954">
        <v>2321</v>
      </c>
      <c r="AN954" t="s">
        <v>2066</v>
      </c>
      <c r="AO954" t="s">
        <v>2063</v>
      </c>
      <c r="BF954" t="s">
        <v>1053</v>
      </c>
      <c r="BG954" t="s">
        <v>2097</v>
      </c>
      <c r="BH954" t="s">
        <v>3481</v>
      </c>
      <c r="BI954" t="s">
        <v>1053</v>
      </c>
      <c r="BJ954" t="s">
        <v>1053</v>
      </c>
      <c r="BK954" t="s">
        <v>1053</v>
      </c>
      <c r="BL954" t="s">
        <v>1053</v>
      </c>
      <c r="BM954" t="s">
        <v>2343</v>
      </c>
      <c r="BN954" t="s">
        <v>2344</v>
      </c>
      <c r="BO954" t="s">
        <v>1053</v>
      </c>
      <c r="BP954" t="s">
        <v>366</v>
      </c>
      <c r="BQ954" t="s">
        <v>367</v>
      </c>
      <c r="BR954" t="s">
        <v>1053</v>
      </c>
      <c r="BS954" t="s">
        <v>1053</v>
      </c>
      <c r="BT954" t="s">
        <v>1053</v>
      </c>
      <c r="BU954" t="s">
        <v>1053</v>
      </c>
      <c r="BV954" t="s">
        <v>2347</v>
      </c>
      <c r="BX954" t="str">
        <f>""</f>
        <v/>
      </c>
      <c r="BY954" t="str">
        <f>""</f>
        <v/>
      </c>
      <c r="BZ954" t="str">
        <f>""</f>
        <v/>
      </c>
      <c r="CA954" t="str">
        <f>""</f>
        <v/>
      </c>
      <c r="CB954" t="str">
        <f>""</f>
        <v/>
      </c>
      <c r="CC954" t="str">
        <f>""</f>
        <v/>
      </c>
      <c r="CD954" t="str">
        <f>""</f>
        <v/>
      </c>
      <c r="CE954" t="str">
        <f>""</f>
        <v/>
      </c>
      <c r="CF954" t="str">
        <f>""</f>
        <v/>
      </c>
      <c r="CG954" t="str">
        <f>""</f>
        <v/>
      </c>
      <c r="CH954" t="str">
        <f>""</f>
        <v/>
      </c>
    </row>
    <row r="955" spans="1:86" x14ac:dyDescent="0.25">
      <c r="A955" t="s">
        <v>5819</v>
      </c>
      <c r="B955" t="s">
        <v>5820</v>
      </c>
      <c r="C955" t="s">
        <v>1992</v>
      </c>
      <c r="D955" t="s">
        <v>1993</v>
      </c>
      <c r="E955" t="s">
        <v>5821</v>
      </c>
      <c r="F955" t="s">
        <v>5822</v>
      </c>
      <c r="H955" t="s">
        <v>5823</v>
      </c>
      <c r="I955" t="s">
        <v>2287</v>
      </c>
      <c r="J955" t="str">
        <f>"04578-4624"</f>
        <v>04578-4624</v>
      </c>
      <c r="K955" t="s">
        <v>1998</v>
      </c>
      <c r="L955" t="s">
        <v>2033</v>
      </c>
      <c r="M955" t="s">
        <v>5824</v>
      </c>
      <c r="N955" t="s">
        <v>1992</v>
      </c>
      <c r="O955" t="s">
        <v>1992</v>
      </c>
      <c r="P955" t="s">
        <v>1992</v>
      </c>
      <c r="Q955" t="s">
        <v>1992</v>
      </c>
      <c r="R955" t="s">
        <v>1992</v>
      </c>
      <c r="S955" t="s">
        <v>1992</v>
      </c>
      <c r="T955" t="s">
        <v>1992</v>
      </c>
      <c r="U955" t="s">
        <v>1992</v>
      </c>
      <c r="V955" t="s">
        <v>1991</v>
      </c>
      <c r="W955" t="s">
        <v>1992</v>
      </c>
      <c r="X955" t="s">
        <v>1992</v>
      </c>
      <c r="Y955" t="s">
        <v>1992</v>
      </c>
      <c r="Z955" t="s">
        <v>1991</v>
      </c>
      <c r="AE955" t="s">
        <v>473</v>
      </c>
      <c r="AF955" t="s">
        <v>2016</v>
      </c>
      <c r="AG955" t="s">
        <v>1991</v>
      </c>
      <c r="AH955">
        <v>30</v>
      </c>
      <c r="AI955">
        <v>30</v>
      </c>
      <c r="AJ955" t="s">
        <v>5825</v>
      </c>
      <c r="AK955">
        <v>113</v>
      </c>
      <c r="AM955" t="s">
        <v>2298</v>
      </c>
      <c r="AN955" t="s">
        <v>5349</v>
      </c>
      <c r="AO955" t="s">
        <v>1053</v>
      </c>
      <c r="BF955" t="s">
        <v>1053</v>
      </c>
      <c r="BG955" t="s">
        <v>476</v>
      </c>
      <c r="BH955" t="s">
        <v>477</v>
      </c>
      <c r="BI955" t="s">
        <v>1053</v>
      </c>
      <c r="BK955" t="s">
        <v>1053</v>
      </c>
      <c r="BX955" t="str">
        <f>"S------ 0700-2100; -MTWTF- 0500-2100; ------S 0600-2100"</f>
        <v>S------ 0700-2100; -MTWTF- 0500-2100; ------S 0600-2100</v>
      </c>
      <c r="BY955" t="str">
        <f>""</f>
        <v/>
      </c>
      <c r="BZ955" t="str">
        <f>""</f>
        <v/>
      </c>
      <c r="CA955" t="str">
        <f>""</f>
        <v/>
      </c>
      <c r="CB955" t="str">
        <f>""</f>
        <v/>
      </c>
      <c r="CC955" t="str">
        <f>""</f>
        <v/>
      </c>
      <c r="CD955" t="str">
        <f>""</f>
        <v/>
      </c>
      <c r="CE955" t="str">
        <f>""</f>
        <v/>
      </c>
      <c r="CF955" t="str">
        <f>""</f>
        <v/>
      </c>
      <c r="CG955" t="str">
        <f>""</f>
        <v/>
      </c>
      <c r="CH955" t="str">
        <f>""</f>
        <v/>
      </c>
    </row>
    <row r="956" spans="1:86" x14ac:dyDescent="0.25">
      <c r="A956" t="s">
        <v>5826</v>
      </c>
      <c r="B956" t="s">
        <v>5827</v>
      </c>
      <c r="C956" t="s">
        <v>1992</v>
      </c>
      <c r="D956" t="s">
        <v>2010</v>
      </c>
      <c r="E956" t="s">
        <v>5828</v>
      </c>
      <c r="F956" t="s">
        <v>5829</v>
      </c>
      <c r="H956" t="s">
        <v>5830</v>
      </c>
      <c r="I956" t="s">
        <v>1997</v>
      </c>
      <c r="J956" t="str">
        <f>"54474"</f>
        <v>54474</v>
      </c>
      <c r="K956" t="s">
        <v>1998</v>
      </c>
      <c r="L956" t="s">
        <v>1999</v>
      </c>
      <c r="M956" t="s">
        <v>5831</v>
      </c>
      <c r="N956" t="s">
        <v>1992</v>
      </c>
      <c r="O956" t="s">
        <v>1992</v>
      </c>
      <c r="P956" t="s">
        <v>1992</v>
      </c>
      <c r="Q956" t="s">
        <v>1992</v>
      </c>
      <c r="R956" t="s">
        <v>1992</v>
      </c>
      <c r="S956" t="s">
        <v>1992</v>
      </c>
      <c r="T956" t="s">
        <v>1992</v>
      </c>
      <c r="U956" t="s">
        <v>1992</v>
      </c>
      <c r="V956" t="s">
        <v>1991</v>
      </c>
      <c r="W956" t="s">
        <v>1992</v>
      </c>
      <c r="X956" t="s">
        <v>1992</v>
      </c>
      <c r="Y956" t="s">
        <v>1992</v>
      </c>
      <c r="Z956" t="s">
        <v>1991</v>
      </c>
      <c r="AA956" t="s">
        <v>1992</v>
      </c>
      <c r="AE956" t="s">
        <v>5832</v>
      </c>
      <c r="AF956" t="s">
        <v>2001</v>
      </c>
      <c r="AG956" t="s">
        <v>1991</v>
      </c>
      <c r="AH956">
        <v>30</v>
      </c>
      <c r="AI956">
        <v>30</v>
      </c>
      <c r="AJ956" t="s">
        <v>5833</v>
      </c>
      <c r="AK956">
        <v>1175</v>
      </c>
      <c r="BX956" t="str">
        <f>"SMTWTFS 1900-1950"</f>
        <v>SMTWTFS 1900-1950</v>
      </c>
      <c r="BY956" t="str">
        <f>""</f>
        <v/>
      </c>
      <c r="BZ956" t="str">
        <f>""</f>
        <v/>
      </c>
      <c r="CA956" t="str">
        <f>""</f>
        <v/>
      </c>
      <c r="CB956" t="str">
        <f>""</f>
        <v/>
      </c>
      <c r="CC956" t="str">
        <f>""</f>
        <v/>
      </c>
      <c r="CD956" t="str">
        <f>""</f>
        <v/>
      </c>
      <c r="CE956" t="str">
        <f>""</f>
        <v/>
      </c>
      <c r="CF956" t="str">
        <f>""</f>
        <v/>
      </c>
      <c r="CG956" t="str">
        <f>""</f>
        <v/>
      </c>
      <c r="CH956" t="str">
        <f>""</f>
        <v/>
      </c>
    </row>
    <row r="957" spans="1:86" x14ac:dyDescent="0.25">
      <c r="A957" t="s">
        <v>5834</v>
      </c>
      <c r="B957" t="s">
        <v>5835</v>
      </c>
      <c r="C957" t="s">
        <v>1991</v>
      </c>
      <c r="D957" t="s">
        <v>2010</v>
      </c>
      <c r="E957" t="s">
        <v>5836</v>
      </c>
      <c r="H957" t="s">
        <v>5837</v>
      </c>
      <c r="I957" t="s">
        <v>558</v>
      </c>
      <c r="J957" t="str">
        <f>"33880-4375"</f>
        <v>33880-4375</v>
      </c>
      <c r="K957" t="s">
        <v>1998</v>
      </c>
      <c r="L957" t="s">
        <v>408</v>
      </c>
      <c r="M957" t="s">
        <v>5838</v>
      </c>
      <c r="N957" t="s">
        <v>1991</v>
      </c>
      <c r="O957" t="s">
        <v>1992</v>
      </c>
      <c r="P957" t="s">
        <v>1992</v>
      </c>
      <c r="Q957" t="s">
        <v>1991</v>
      </c>
      <c r="R957" t="s">
        <v>1991</v>
      </c>
      <c r="S957" t="s">
        <v>1992</v>
      </c>
      <c r="T957" t="s">
        <v>1992</v>
      </c>
      <c r="U957" t="s">
        <v>1991</v>
      </c>
      <c r="V957" t="s">
        <v>1991</v>
      </c>
      <c r="W957" t="s">
        <v>1991</v>
      </c>
      <c r="X957" t="s">
        <v>1992</v>
      </c>
      <c r="Y957" t="s">
        <v>1992</v>
      </c>
      <c r="Z957" t="s">
        <v>1992</v>
      </c>
      <c r="AA957" t="s">
        <v>1992</v>
      </c>
      <c r="AE957" t="s">
        <v>2047</v>
      </c>
      <c r="AF957" t="s">
        <v>2016</v>
      </c>
      <c r="AG957" t="s">
        <v>1991</v>
      </c>
      <c r="AH957">
        <v>60</v>
      </c>
      <c r="AI957">
        <v>30</v>
      </c>
      <c r="AJ957" t="s">
        <v>5839</v>
      </c>
      <c r="AK957">
        <v>144</v>
      </c>
      <c r="AL957">
        <v>30978</v>
      </c>
      <c r="AN957" t="s">
        <v>1053</v>
      </c>
      <c r="AO957" t="s">
        <v>1053</v>
      </c>
      <c r="AP957" t="s">
        <v>2069</v>
      </c>
      <c r="AQ957" t="s">
        <v>1053</v>
      </c>
      <c r="AR957" t="s">
        <v>2069</v>
      </c>
      <c r="AS957" t="s">
        <v>5834</v>
      </c>
      <c r="AT957" t="s">
        <v>5840</v>
      </c>
      <c r="AU957" t="s">
        <v>1053</v>
      </c>
      <c r="AV957" t="s">
        <v>1053</v>
      </c>
      <c r="AW957" t="s">
        <v>2069</v>
      </c>
      <c r="AX957" t="s">
        <v>1053</v>
      </c>
      <c r="AY957" t="s">
        <v>2069</v>
      </c>
      <c r="AZ957" t="s">
        <v>5834</v>
      </c>
      <c r="BA957" t="s">
        <v>5840</v>
      </c>
      <c r="BB957" t="s">
        <v>1053</v>
      </c>
      <c r="BC957" t="s">
        <v>2069</v>
      </c>
      <c r="BD957" t="s">
        <v>1053</v>
      </c>
      <c r="BE957" t="s">
        <v>2069</v>
      </c>
      <c r="BF957" t="s">
        <v>1053</v>
      </c>
      <c r="BG957" t="s">
        <v>2019</v>
      </c>
      <c r="BH957" t="s">
        <v>2996</v>
      </c>
      <c r="BI957" t="s">
        <v>1053</v>
      </c>
      <c r="BJ957" t="s">
        <v>2069</v>
      </c>
      <c r="BK957" t="s">
        <v>1053</v>
      </c>
      <c r="BL957" t="s">
        <v>2069</v>
      </c>
      <c r="BM957" t="s">
        <v>1138</v>
      </c>
      <c r="BN957" t="s">
        <v>562</v>
      </c>
      <c r="BO957" t="s">
        <v>1053</v>
      </c>
      <c r="BP957" t="s">
        <v>653</v>
      </c>
      <c r="BQ957" t="s">
        <v>564</v>
      </c>
      <c r="BR957" t="s">
        <v>1053</v>
      </c>
      <c r="BS957" t="s">
        <v>1053</v>
      </c>
      <c r="BT957" t="s">
        <v>1053</v>
      </c>
      <c r="BU957" t="s">
        <v>1053</v>
      </c>
      <c r="BV957" t="s">
        <v>1052</v>
      </c>
      <c r="BW957" t="s">
        <v>170</v>
      </c>
      <c r="BX957" t="str">
        <f>"SMTWTFS 0915-1600"</f>
        <v>SMTWTFS 0915-1600</v>
      </c>
      <c r="BY957" t="str">
        <f>"SMTWTFS 0915-1500"</f>
        <v>SMTWTFS 0915-1500</v>
      </c>
      <c r="BZ957" t="str">
        <f>"SMTWTFS 1015-1730"</f>
        <v>SMTWTFS 1015-1730</v>
      </c>
      <c r="CA957" t="str">
        <f>"SMTWTFS 0915-1600"</f>
        <v>SMTWTFS 0915-1600</v>
      </c>
      <c r="CB957" t="str">
        <f>""</f>
        <v/>
      </c>
      <c r="CC957" t="str">
        <f>""</f>
        <v/>
      </c>
      <c r="CD957" t="str">
        <f>""</f>
        <v/>
      </c>
      <c r="CE957" t="str">
        <f>""</f>
        <v/>
      </c>
      <c r="CF957" t="str">
        <f>"SMTWTFS 1015-1730"</f>
        <v>SMTWTFS 1015-1730</v>
      </c>
      <c r="CG957" t="str">
        <f>""</f>
        <v/>
      </c>
      <c r="CH957" t="str">
        <f>""</f>
        <v/>
      </c>
    </row>
    <row r="958" spans="1:86" x14ac:dyDescent="0.25">
      <c r="A958" t="s">
        <v>5841</v>
      </c>
      <c r="B958" t="s">
        <v>5842</v>
      </c>
      <c r="C958" t="s">
        <v>1992</v>
      </c>
      <c r="D958" t="s">
        <v>2331</v>
      </c>
      <c r="E958" t="s">
        <v>5843</v>
      </c>
      <c r="H958" t="s">
        <v>5844</v>
      </c>
      <c r="I958" t="s">
        <v>3623</v>
      </c>
      <c r="J958" t="str">
        <f>"46793"</f>
        <v>46793</v>
      </c>
      <c r="K958" t="s">
        <v>1998</v>
      </c>
      <c r="L958" t="s">
        <v>1999</v>
      </c>
      <c r="M958" t="s">
        <v>2063</v>
      </c>
      <c r="N958" t="s">
        <v>1992</v>
      </c>
      <c r="O958" t="s">
        <v>1992</v>
      </c>
      <c r="P958" t="s">
        <v>1992</v>
      </c>
      <c r="Q958" t="s">
        <v>1992</v>
      </c>
      <c r="R958" t="s">
        <v>1992</v>
      </c>
      <c r="S958" t="s">
        <v>1992</v>
      </c>
      <c r="T958" t="s">
        <v>1992</v>
      </c>
      <c r="U958" t="s">
        <v>1992</v>
      </c>
      <c r="V958" t="s">
        <v>1991</v>
      </c>
      <c r="W958" t="s">
        <v>1991</v>
      </c>
      <c r="X958" t="s">
        <v>1992</v>
      </c>
      <c r="Y958" t="s">
        <v>1992</v>
      </c>
      <c r="Z958" t="s">
        <v>1992</v>
      </c>
      <c r="AF958" t="s">
        <v>2016</v>
      </c>
      <c r="AG958" t="s">
        <v>1991</v>
      </c>
      <c r="AH958">
        <v>30</v>
      </c>
      <c r="AI958">
        <v>30</v>
      </c>
      <c r="AJ958" t="s">
        <v>5845</v>
      </c>
      <c r="AK958">
        <v>915</v>
      </c>
      <c r="AL958">
        <v>2040</v>
      </c>
      <c r="AN958" t="s">
        <v>425</v>
      </c>
      <c r="AO958" t="s">
        <v>2063</v>
      </c>
      <c r="BF958" t="s">
        <v>1053</v>
      </c>
      <c r="BG958" t="s">
        <v>2097</v>
      </c>
      <c r="BH958" t="s">
        <v>2312</v>
      </c>
      <c r="BI958" t="s">
        <v>1053</v>
      </c>
      <c r="BJ958" t="s">
        <v>2069</v>
      </c>
      <c r="BK958" t="s">
        <v>1053</v>
      </c>
      <c r="BL958" t="s">
        <v>2069</v>
      </c>
      <c r="BM958" t="s">
        <v>2313</v>
      </c>
      <c r="BN958" t="s">
        <v>2314</v>
      </c>
      <c r="BO958" t="s">
        <v>1053</v>
      </c>
      <c r="BP958" t="s">
        <v>301</v>
      </c>
      <c r="BQ958" t="s">
        <v>2316</v>
      </c>
      <c r="BR958" t="s">
        <v>1053</v>
      </c>
      <c r="BT958" t="s">
        <v>1053</v>
      </c>
      <c r="BX958" t="str">
        <f>""</f>
        <v/>
      </c>
      <c r="BY958" t="str">
        <f>""</f>
        <v/>
      </c>
      <c r="BZ958" t="str">
        <f>""</f>
        <v/>
      </c>
      <c r="CA958" t="str">
        <f>""</f>
        <v/>
      </c>
      <c r="CB958" t="str">
        <f>""</f>
        <v/>
      </c>
      <c r="CC958" t="str">
        <f>""</f>
        <v/>
      </c>
      <c r="CD958" t="str">
        <f>""</f>
        <v/>
      </c>
      <c r="CE958" t="str">
        <f>""</f>
        <v/>
      </c>
      <c r="CF958" t="str">
        <f>""</f>
        <v/>
      </c>
      <c r="CG958" t="str">
        <f>""</f>
        <v/>
      </c>
      <c r="CH958" t="str">
        <f>""</f>
        <v/>
      </c>
    </row>
    <row r="959" spans="1:86" x14ac:dyDescent="0.25">
      <c r="A959" t="s">
        <v>5846</v>
      </c>
      <c r="B959" t="s">
        <v>5847</v>
      </c>
      <c r="C959" t="s">
        <v>1991</v>
      </c>
      <c r="D959" t="s">
        <v>2010</v>
      </c>
      <c r="E959" t="s">
        <v>5848</v>
      </c>
      <c r="H959" t="s">
        <v>5849</v>
      </c>
      <c r="I959" t="s">
        <v>2528</v>
      </c>
      <c r="J959" t="str">
        <f>"58801-6057"</f>
        <v>58801-6057</v>
      </c>
      <c r="K959" t="s">
        <v>1998</v>
      </c>
      <c r="L959" t="s">
        <v>231</v>
      </c>
      <c r="M959" t="s">
        <v>5850</v>
      </c>
      <c r="N959" t="s">
        <v>1991</v>
      </c>
      <c r="O959" t="s">
        <v>1991</v>
      </c>
      <c r="P959" t="s">
        <v>1992</v>
      </c>
      <c r="Q959" t="s">
        <v>1991</v>
      </c>
      <c r="R959" t="s">
        <v>1991</v>
      </c>
      <c r="S959" t="s">
        <v>1992</v>
      </c>
      <c r="T959" t="s">
        <v>1992</v>
      </c>
      <c r="U959" t="s">
        <v>1991</v>
      </c>
      <c r="V959" t="s">
        <v>1991</v>
      </c>
      <c r="W959" t="s">
        <v>1991</v>
      </c>
      <c r="X959" t="s">
        <v>1992</v>
      </c>
      <c r="Y959" t="s">
        <v>1992</v>
      </c>
      <c r="Z959" t="s">
        <v>1992</v>
      </c>
      <c r="AE959" t="s">
        <v>2353</v>
      </c>
      <c r="AF959" t="s">
        <v>2001</v>
      </c>
      <c r="AG959" t="s">
        <v>1991</v>
      </c>
      <c r="AH959">
        <v>60</v>
      </c>
      <c r="AI959">
        <v>60</v>
      </c>
      <c r="AJ959" t="s">
        <v>5851</v>
      </c>
      <c r="AK959">
        <v>1867</v>
      </c>
      <c r="AL959">
        <v>12641</v>
      </c>
      <c r="AM959" t="s">
        <v>5852</v>
      </c>
      <c r="AN959" t="s">
        <v>1053</v>
      </c>
      <c r="AO959" t="s">
        <v>1053</v>
      </c>
      <c r="AP959" t="s">
        <v>2069</v>
      </c>
      <c r="AQ959" t="s">
        <v>1053</v>
      </c>
      <c r="AR959" t="s">
        <v>2069</v>
      </c>
      <c r="AS959" t="s">
        <v>5846</v>
      </c>
      <c r="AT959" t="s">
        <v>5853</v>
      </c>
      <c r="AU959" t="s">
        <v>1053</v>
      </c>
      <c r="AV959" t="s">
        <v>1053</v>
      </c>
      <c r="AW959" t="s">
        <v>2069</v>
      </c>
      <c r="AX959" t="s">
        <v>1053</v>
      </c>
      <c r="AY959" t="s">
        <v>2069</v>
      </c>
      <c r="AZ959" t="s">
        <v>5846</v>
      </c>
      <c r="BA959" t="s">
        <v>5853</v>
      </c>
      <c r="BB959" t="s">
        <v>1053</v>
      </c>
      <c r="BC959" t="s">
        <v>2069</v>
      </c>
      <c r="BD959" t="s">
        <v>1053</v>
      </c>
      <c r="BE959" t="s">
        <v>2069</v>
      </c>
      <c r="BF959" t="s">
        <v>1053</v>
      </c>
      <c r="BG959" t="s">
        <v>703</v>
      </c>
      <c r="BH959" t="s">
        <v>2173</v>
      </c>
      <c r="BI959" t="s">
        <v>1053</v>
      </c>
      <c r="BJ959" t="s">
        <v>2069</v>
      </c>
      <c r="BK959" t="s">
        <v>1053</v>
      </c>
      <c r="BL959" t="s">
        <v>2069</v>
      </c>
      <c r="BM959" t="s">
        <v>287</v>
      </c>
      <c r="BN959" t="s">
        <v>288</v>
      </c>
      <c r="BO959" t="s">
        <v>1053</v>
      </c>
      <c r="BP959" t="s">
        <v>950</v>
      </c>
      <c r="BQ959" t="s">
        <v>2006</v>
      </c>
      <c r="BR959" t="s">
        <v>1053</v>
      </c>
      <c r="BS959" t="s">
        <v>1053</v>
      </c>
      <c r="BT959" t="s">
        <v>1053</v>
      </c>
      <c r="BU959" t="s">
        <v>1053</v>
      </c>
      <c r="BW959" t="s">
        <v>952</v>
      </c>
      <c r="BX959" t="str">
        <f>"SMTWTFS 1010-1400 1530-1910"</f>
        <v>SMTWTFS 1010-1400 1530-1910</v>
      </c>
      <c r="BY959" t="str">
        <f>"SMTWTFS 1010-1400 1530-1910"</f>
        <v>SMTWTFS 1010-1400 1530-1910</v>
      </c>
      <c r="BZ959" t="str">
        <f>""</f>
        <v/>
      </c>
      <c r="CA959" t="str">
        <f>"SMTWTFS 1010-1400 1530-1910"</f>
        <v>SMTWTFS 1010-1400 1530-1910</v>
      </c>
      <c r="CB959" t="str">
        <f>""</f>
        <v/>
      </c>
      <c r="CC959" t="str">
        <f>"SMTWTFS 1010-1400 1530-1910"</f>
        <v>SMTWTFS 1010-1400 1530-1910</v>
      </c>
      <c r="CD959" t="str">
        <f>""</f>
        <v/>
      </c>
      <c r="CE959" t="str">
        <f>""</f>
        <v/>
      </c>
      <c r="CF959" t="str">
        <f>"SMTWTFS 1010-1400 1530-1910"</f>
        <v>SMTWTFS 1010-1400 1530-1910</v>
      </c>
      <c r="CG959" t="str">
        <f>""</f>
        <v/>
      </c>
      <c r="CH959" t="str">
        <f>""</f>
        <v/>
      </c>
    </row>
    <row r="960" spans="1:86" x14ac:dyDescent="0.25">
      <c r="A960" t="s">
        <v>5854</v>
      </c>
      <c r="B960" t="s">
        <v>5855</v>
      </c>
      <c r="C960" t="s">
        <v>1992</v>
      </c>
      <c r="D960" t="s">
        <v>1993</v>
      </c>
      <c r="E960" t="s">
        <v>5856</v>
      </c>
      <c r="F960" t="s">
        <v>5857</v>
      </c>
      <c r="H960" t="s">
        <v>5858</v>
      </c>
      <c r="I960" t="s">
        <v>2061</v>
      </c>
      <c r="J960" t="str">
        <f>"95490"</f>
        <v>95490</v>
      </c>
      <c r="K960" t="s">
        <v>1998</v>
      </c>
      <c r="L960" t="s">
        <v>2062</v>
      </c>
      <c r="M960" t="s">
        <v>2063</v>
      </c>
      <c r="N960" t="s">
        <v>1992</v>
      </c>
      <c r="O960" t="s">
        <v>1992</v>
      </c>
      <c r="P960" t="s">
        <v>1992</v>
      </c>
      <c r="Q960" t="s">
        <v>1992</v>
      </c>
      <c r="R960" t="s">
        <v>1992</v>
      </c>
      <c r="S960" t="s">
        <v>1992</v>
      </c>
      <c r="T960" t="s">
        <v>1992</v>
      </c>
      <c r="U960" t="s">
        <v>1992</v>
      </c>
      <c r="V960" t="s">
        <v>1991</v>
      </c>
      <c r="W960" t="s">
        <v>1992</v>
      </c>
      <c r="X960" t="s">
        <v>1992</v>
      </c>
      <c r="Y960" t="s">
        <v>1991</v>
      </c>
      <c r="Z960" t="s">
        <v>1992</v>
      </c>
      <c r="AF960" t="s">
        <v>2064</v>
      </c>
      <c r="AG960" t="s">
        <v>1991</v>
      </c>
      <c r="AH960">
        <v>30</v>
      </c>
      <c r="AI960">
        <v>30</v>
      </c>
      <c r="AJ960" t="s">
        <v>5859</v>
      </c>
      <c r="AK960">
        <v>1369</v>
      </c>
      <c r="AL960">
        <v>4008</v>
      </c>
      <c r="AM960" t="s">
        <v>2298</v>
      </c>
      <c r="BF960" t="s">
        <v>1053</v>
      </c>
      <c r="BG960" t="s">
        <v>309</v>
      </c>
      <c r="BH960" t="s">
        <v>2301</v>
      </c>
      <c r="BI960" t="s">
        <v>1053</v>
      </c>
      <c r="BK960" t="s">
        <v>1053</v>
      </c>
      <c r="BO960" t="s">
        <v>1053</v>
      </c>
      <c r="BP960" t="s">
        <v>634</v>
      </c>
      <c r="BQ960" t="s">
        <v>1814</v>
      </c>
      <c r="BR960" t="s">
        <v>1053</v>
      </c>
      <c r="BX960" t="str">
        <f>""</f>
        <v/>
      </c>
      <c r="BY960" t="str">
        <f>""</f>
        <v/>
      </c>
      <c r="BZ960" t="str">
        <f>""</f>
        <v/>
      </c>
      <c r="CA960" t="str">
        <f>""</f>
        <v/>
      </c>
      <c r="CB960" t="str">
        <f>""</f>
        <v/>
      </c>
      <c r="CC960" t="str">
        <f>""</f>
        <v/>
      </c>
      <c r="CD960" t="str">
        <f>""</f>
        <v/>
      </c>
      <c r="CE960" t="str">
        <f>""</f>
        <v/>
      </c>
      <c r="CF960" t="str">
        <f>""</f>
        <v/>
      </c>
      <c r="CG960" t="str">
        <f>""</f>
        <v/>
      </c>
      <c r="CH960" t="str">
        <f>""</f>
        <v/>
      </c>
    </row>
    <row r="961" spans="1:86" x14ac:dyDescent="0.25">
      <c r="A961" t="s">
        <v>5860</v>
      </c>
      <c r="B961" t="s">
        <v>5861</v>
      </c>
      <c r="C961" t="s">
        <v>1992</v>
      </c>
      <c r="D961" t="s">
        <v>1993</v>
      </c>
      <c r="E961" t="s">
        <v>5862</v>
      </c>
      <c r="F961" t="s">
        <v>305</v>
      </c>
      <c r="H961" t="s">
        <v>5863</v>
      </c>
      <c r="I961" t="s">
        <v>576</v>
      </c>
      <c r="J961" t="str">
        <f>"99362"</f>
        <v>99362</v>
      </c>
      <c r="K961" t="s">
        <v>1998</v>
      </c>
      <c r="L961" t="s">
        <v>231</v>
      </c>
      <c r="M961" t="s">
        <v>2000</v>
      </c>
      <c r="N961" t="s">
        <v>1992</v>
      </c>
      <c r="O961" t="s">
        <v>1992</v>
      </c>
      <c r="P961" t="s">
        <v>1992</v>
      </c>
      <c r="Q961" t="s">
        <v>1992</v>
      </c>
      <c r="R961" t="s">
        <v>1992</v>
      </c>
      <c r="S961" t="s">
        <v>1992</v>
      </c>
      <c r="T961" t="s">
        <v>1992</v>
      </c>
      <c r="U961" t="s">
        <v>1992</v>
      </c>
      <c r="V961" t="s">
        <v>1991</v>
      </c>
      <c r="Z961" t="s">
        <v>1991</v>
      </c>
      <c r="AF961" t="s">
        <v>2064</v>
      </c>
      <c r="AG961" t="s">
        <v>1991</v>
      </c>
      <c r="AH961">
        <v>30</v>
      </c>
      <c r="AI961">
        <v>30</v>
      </c>
      <c r="AJ961" t="s">
        <v>5864</v>
      </c>
      <c r="AK961">
        <v>947</v>
      </c>
      <c r="AM961" t="s">
        <v>5865</v>
      </c>
      <c r="BX961" t="str">
        <f>""</f>
        <v/>
      </c>
      <c r="BY961" t="str">
        <f>""</f>
        <v/>
      </c>
      <c r="BZ961" t="str">
        <f>""</f>
        <v/>
      </c>
      <c r="CA961" t="str">
        <f>""</f>
        <v/>
      </c>
      <c r="CB961" t="str">
        <f>""</f>
        <v/>
      </c>
      <c r="CC961" t="str">
        <f>""</f>
        <v/>
      </c>
      <c r="CD961" t="str">
        <f>""</f>
        <v/>
      </c>
      <c r="CE961" t="str">
        <f>""</f>
        <v/>
      </c>
      <c r="CF961" t="str">
        <f>""</f>
        <v/>
      </c>
      <c r="CG961" t="str">
        <f>""</f>
        <v/>
      </c>
      <c r="CH961" t="str">
        <f>""</f>
        <v/>
      </c>
    </row>
    <row r="962" spans="1:86" x14ac:dyDescent="0.25">
      <c r="A962" t="s">
        <v>5866</v>
      </c>
      <c r="B962" t="s">
        <v>5867</v>
      </c>
      <c r="C962" t="s">
        <v>1992</v>
      </c>
      <c r="D962" t="s">
        <v>2010</v>
      </c>
      <c r="E962" t="s">
        <v>5868</v>
      </c>
      <c r="H962" t="s">
        <v>5869</v>
      </c>
      <c r="I962" t="s">
        <v>558</v>
      </c>
      <c r="J962" t="str">
        <f>"34785-3842"</f>
        <v>34785-3842</v>
      </c>
      <c r="K962" t="s">
        <v>1998</v>
      </c>
      <c r="L962" t="s">
        <v>408</v>
      </c>
      <c r="M962" t="s">
        <v>2063</v>
      </c>
      <c r="N962" t="s">
        <v>1992</v>
      </c>
      <c r="O962" t="s">
        <v>1992</v>
      </c>
      <c r="P962" t="s">
        <v>1992</v>
      </c>
      <c r="Q962" t="s">
        <v>1992</v>
      </c>
      <c r="R962" t="s">
        <v>1992</v>
      </c>
      <c r="S962" t="s">
        <v>1992</v>
      </c>
      <c r="T962" t="s">
        <v>1992</v>
      </c>
      <c r="U962" t="s">
        <v>1992</v>
      </c>
      <c r="V962" t="s">
        <v>1991</v>
      </c>
      <c r="W962" t="s">
        <v>1992</v>
      </c>
      <c r="X962" t="s">
        <v>1992</v>
      </c>
      <c r="Y962" t="s">
        <v>1991</v>
      </c>
      <c r="Z962" t="s">
        <v>1992</v>
      </c>
      <c r="AA962" t="s">
        <v>1992</v>
      </c>
      <c r="AF962" t="s">
        <v>2016</v>
      </c>
      <c r="AG962" t="s">
        <v>1991</v>
      </c>
      <c r="AH962">
        <v>30</v>
      </c>
      <c r="AI962">
        <v>30</v>
      </c>
      <c r="AJ962" t="s">
        <v>5870</v>
      </c>
      <c r="AK962">
        <v>64</v>
      </c>
      <c r="AM962" t="s">
        <v>5871</v>
      </c>
      <c r="AU962" t="s">
        <v>1053</v>
      </c>
      <c r="AV962" t="s">
        <v>1053</v>
      </c>
      <c r="BF962" t="s">
        <v>1053</v>
      </c>
      <c r="BG962" t="s">
        <v>2019</v>
      </c>
      <c r="BH962" t="s">
        <v>5014</v>
      </c>
      <c r="BI962" t="s">
        <v>1053</v>
      </c>
      <c r="BJ962" t="s">
        <v>1053</v>
      </c>
      <c r="BK962" t="s">
        <v>1053</v>
      </c>
      <c r="BL962" t="s">
        <v>1053</v>
      </c>
      <c r="BM962" t="s">
        <v>1049</v>
      </c>
      <c r="BN962" t="s">
        <v>1050</v>
      </c>
      <c r="BO962" t="s">
        <v>1053</v>
      </c>
      <c r="BP962" t="s">
        <v>4473</v>
      </c>
      <c r="BQ962" t="s">
        <v>564</v>
      </c>
      <c r="BR962" t="s">
        <v>1053</v>
      </c>
      <c r="BS962" t="s">
        <v>1053</v>
      </c>
      <c r="BT962" t="s">
        <v>1053</v>
      </c>
      <c r="BU962" t="s">
        <v>1053</v>
      </c>
      <c r="BV962" t="s">
        <v>1052</v>
      </c>
      <c r="BW962" t="s">
        <v>170</v>
      </c>
      <c r="BX962" t="str">
        <f>""</f>
        <v/>
      </c>
      <c r="BY962" t="str">
        <f>""</f>
        <v/>
      </c>
      <c r="BZ962" t="str">
        <f>""</f>
        <v/>
      </c>
      <c r="CA962" t="str">
        <f>""</f>
        <v/>
      </c>
      <c r="CB962" t="str">
        <f>""</f>
        <v/>
      </c>
      <c r="CC962" t="str">
        <f>""</f>
        <v/>
      </c>
      <c r="CD962" t="str">
        <f>""</f>
        <v/>
      </c>
      <c r="CE962" t="str">
        <f>""</f>
        <v/>
      </c>
      <c r="CF962" t="str">
        <f>""</f>
        <v/>
      </c>
      <c r="CG962" t="str">
        <f>""</f>
        <v/>
      </c>
      <c r="CH962" t="str">
        <f>""</f>
        <v/>
      </c>
    </row>
    <row r="963" spans="1:86" x14ac:dyDescent="0.25">
      <c r="A963" t="s">
        <v>5872</v>
      </c>
      <c r="B963" t="s">
        <v>5873</v>
      </c>
      <c r="C963" t="s">
        <v>1992</v>
      </c>
      <c r="D963" t="s">
        <v>2028</v>
      </c>
      <c r="E963" t="s">
        <v>5874</v>
      </c>
      <c r="H963" t="s">
        <v>5875</v>
      </c>
      <c r="I963" t="s">
        <v>779</v>
      </c>
      <c r="J963" t="str">
        <f>"39194"</f>
        <v>39194</v>
      </c>
      <c r="K963" t="s">
        <v>1998</v>
      </c>
      <c r="L963" t="s">
        <v>1999</v>
      </c>
      <c r="M963" t="s">
        <v>2063</v>
      </c>
      <c r="N963" t="s">
        <v>1992</v>
      </c>
      <c r="O963" t="s">
        <v>1992</v>
      </c>
      <c r="P963" t="s">
        <v>1992</v>
      </c>
      <c r="Q963" t="s">
        <v>1992</v>
      </c>
      <c r="R963" t="s">
        <v>1992</v>
      </c>
      <c r="S963" t="s">
        <v>1992</v>
      </c>
      <c r="T963" t="s">
        <v>1992</v>
      </c>
      <c r="U963" t="s">
        <v>1992</v>
      </c>
      <c r="V963" t="s">
        <v>1991</v>
      </c>
      <c r="W963" t="s">
        <v>1991</v>
      </c>
      <c r="X963" t="s">
        <v>1992</v>
      </c>
      <c r="Y963" t="s">
        <v>1992</v>
      </c>
      <c r="Z963" t="s">
        <v>1992</v>
      </c>
      <c r="AA963" t="s">
        <v>1992</v>
      </c>
      <c r="AF963" t="s">
        <v>2001</v>
      </c>
      <c r="AG963" t="s">
        <v>1991</v>
      </c>
      <c r="AH963">
        <v>30</v>
      </c>
      <c r="AI963">
        <v>30</v>
      </c>
      <c r="AJ963" t="s">
        <v>5876</v>
      </c>
      <c r="AK963">
        <v>107</v>
      </c>
      <c r="AL963">
        <v>14550</v>
      </c>
      <c r="AN963" t="s">
        <v>2066</v>
      </c>
      <c r="AO963" t="s">
        <v>2063</v>
      </c>
      <c r="BF963" t="s">
        <v>1053</v>
      </c>
      <c r="BG963" t="s">
        <v>2371</v>
      </c>
      <c r="BH963" t="s">
        <v>985</v>
      </c>
      <c r="BI963" t="s">
        <v>1053</v>
      </c>
      <c r="BJ963" t="s">
        <v>1053</v>
      </c>
      <c r="BK963" t="s">
        <v>1053</v>
      </c>
      <c r="BL963" t="s">
        <v>1053</v>
      </c>
      <c r="BM963" t="s">
        <v>2373</v>
      </c>
      <c r="BN963" t="s">
        <v>2374</v>
      </c>
      <c r="BO963" t="s">
        <v>1053</v>
      </c>
      <c r="BP963" t="s">
        <v>2375</v>
      </c>
      <c r="BQ963" t="s">
        <v>2376</v>
      </c>
      <c r="BR963" t="s">
        <v>1053</v>
      </c>
      <c r="BS963" t="s">
        <v>1053</v>
      </c>
      <c r="BT963" t="s">
        <v>1053</v>
      </c>
      <c r="BU963" t="s">
        <v>1053</v>
      </c>
      <c r="BV963" t="s">
        <v>987</v>
      </c>
      <c r="BX963" t="str">
        <f>"SMTWTFS 0900-1100 1830-1930"</f>
        <v>SMTWTFS 0900-1100 1830-1930</v>
      </c>
      <c r="BY963" t="str">
        <f>""</f>
        <v/>
      </c>
      <c r="BZ963" t="str">
        <f>""</f>
        <v/>
      </c>
      <c r="CA963" t="str">
        <f>""</f>
        <v/>
      </c>
      <c r="CB963" t="str">
        <f>""</f>
        <v/>
      </c>
      <c r="CC963" t="str">
        <f>""</f>
        <v/>
      </c>
      <c r="CD963" t="str">
        <f>""</f>
        <v/>
      </c>
      <c r="CE963" t="str">
        <f>""</f>
        <v/>
      </c>
      <c r="CF963" t="str">
        <f>""</f>
        <v/>
      </c>
      <c r="CG963" t="str">
        <f>""</f>
        <v/>
      </c>
      <c r="CH963" t="str">
        <f>""</f>
        <v/>
      </c>
    </row>
    <row r="964" spans="1:86" x14ac:dyDescent="0.25">
      <c r="A964" t="s">
        <v>5877</v>
      </c>
      <c r="B964" t="s">
        <v>5878</v>
      </c>
      <c r="C964" t="s">
        <v>1992</v>
      </c>
      <c r="D964" t="s">
        <v>2028</v>
      </c>
      <c r="E964" t="s">
        <v>5879</v>
      </c>
      <c r="H964" t="s">
        <v>5880</v>
      </c>
      <c r="I964" t="s">
        <v>914</v>
      </c>
      <c r="J964" t="str">
        <f>"29945"</f>
        <v>29945</v>
      </c>
      <c r="K964" t="s">
        <v>1998</v>
      </c>
      <c r="L964" t="s">
        <v>408</v>
      </c>
      <c r="M964" t="s">
        <v>2063</v>
      </c>
      <c r="N964" t="s">
        <v>1992</v>
      </c>
      <c r="O964" t="s">
        <v>1992</v>
      </c>
      <c r="P964" t="s">
        <v>1992</v>
      </c>
      <c r="Q964" t="s">
        <v>1992</v>
      </c>
      <c r="R964" t="s">
        <v>1992</v>
      </c>
      <c r="S964" t="s">
        <v>1992</v>
      </c>
      <c r="T964" t="s">
        <v>1992</v>
      </c>
      <c r="U964" t="s">
        <v>1992</v>
      </c>
      <c r="V964" t="s">
        <v>1991</v>
      </c>
      <c r="W964" t="s">
        <v>1991</v>
      </c>
      <c r="X964" t="s">
        <v>1992</v>
      </c>
      <c r="Y964" t="s">
        <v>1992</v>
      </c>
      <c r="Z964" t="s">
        <v>1992</v>
      </c>
      <c r="AF964" t="s">
        <v>2016</v>
      </c>
      <c r="AG964" t="s">
        <v>1991</v>
      </c>
      <c r="AH964">
        <v>30</v>
      </c>
      <c r="AI964">
        <v>30</v>
      </c>
      <c r="AJ964" t="s">
        <v>5881</v>
      </c>
      <c r="AK964">
        <v>26</v>
      </c>
      <c r="AL964">
        <v>2000</v>
      </c>
      <c r="AM964" t="s">
        <v>5882</v>
      </c>
      <c r="AN964" t="s">
        <v>2066</v>
      </c>
      <c r="AO964" t="s">
        <v>2063</v>
      </c>
      <c r="BF964" t="s">
        <v>1053</v>
      </c>
      <c r="BG964" t="s">
        <v>703</v>
      </c>
      <c r="BH964" t="s">
        <v>1048</v>
      </c>
      <c r="BI964" t="s">
        <v>1053</v>
      </c>
      <c r="BJ964" t="s">
        <v>1053</v>
      </c>
      <c r="BK964" t="s">
        <v>1053</v>
      </c>
      <c r="BL964" t="s">
        <v>1053</v>
      </c>
      <c r="BM964" t="s">
        <v>1049</v>
      </c>
      <c r="BN964" t="s">
        <v>1050</v>
      </c>
      <c r="BO964" t="s">
        <v>1053</v>
      </c>
      <c r="BP964" t="s">
        <v>653</v>
      </c>
      <c r="BQ964" t="s">
        <v>564</v>
      </c>
      <c r="BR964" t="s">
        <v>1053</v>
      </c>
      <c r="BS964" t="s">
        <v>1053</v>
      </c>
      <c r="BT964" t="s">
        <v>1053</v>
      </c>
      <c r="BU964" t="s">
        <v>1053</v>
      </c>
      <c r="BV964" t="s">
        <v>1052</v>
      </c>
      <c r="BW964" t="s">
        <v>170</v>
      </c>
      <c r="BX964" t="str">
        <f>""</f>
        <v/>
      </c>
      <c r="BY964" t="str">
        <f>""</f>
        <v/>
      </c>
      <c r="BZ964" t="str">
        <f>""</f>
        <v/>
      </c>
      <c r="CA964" t="str">
        <f>""</f>
        <v/>
      </c>
      <c r="CB964" t="str">
        <f>""</f>
        <v/>
      </c>
      <c r="CC964" t="str">
        <f>""</f>
        <v/>
      </c>
      <c r="CD964" t="str">
        <f>""</f>
        <v/>
      </c>
      <c r="CE964" t="str">
        <f>""</f>
        <v/>
      </c>
      <c r="CF964" t="str">
        <f>""</f>
        <v/>
      </c>
      <c r="CG964" t="str">
        <f>""</f>
        <v/>
      </c>
      <c r="CH964" t="str">
        <f>""</f>
        <v/>
      </c>
    </row>
    <row r="965" spans="1:86" x14ac:dyDescent="0.25">
      <c r="A965" t="s">
        <v>5883</v>
      </c>
      <c r="B965" t="s">
        <v>5884</v>
      </c>
      <c r="C965" t="s">
        <v>1992</v>
      </c>
      <c r="D965" t="s">
        <v>2010</v>
      </c>
      <c r="E965" t="s">
        <v>5885</v>
      </c>
      <c r="F965" t="s">
        <v>5959</v>
      </c>
      <c r="H965" t="s">
        <v>5886</v>
      </c>
      <c r="I965" t="s">
        <v>2321</v>
      </c>
      <c r="J965" t="str">
        <f>"10701-3544"</f>
        <v>10701-3544</v>
      </c>
      <c r="K965" t="s">
        <v>1998</v>
      </c>
      <c r="L965" t="s">
        <v>2033</v>
      </c>
      <c r="M965" t="s">
        <v>5887</v>
      </c>
      <c r="N965" t="s">
        <v>1992</v>
      </c>
      <c r="O965" t="s">
        <v>1992</v>
      </c>
      <c r="P965" t="s">
        <v>1992</v>
      </c>
      <c r="Q965" t="s">
        <v>1992</v>
      </c>
      <c r="R965" t="s">
        <v>1992</v>
      </c>
      <c r="S965" t="s">
        <v>1992</v>
      </c>
      <c r="T965" t="s">
        <v>1992</v>
      </c>
      <c r="U965" t="s">
        <v>1992</v>
      </c>
      <c r="V965" t="s">
        <v>1991</v>
      </c>
      <c r="W965" t="s">
        <v>1991</v>
      </c>
      <c r="X965" t="s">
        <v>1991</v>
      </c>
      <c r="Y965" t="s">
        <v>1992</v>
      </c>
      <c r="Z965" t="s">
        <v>1992</v>
      </c>
      <c r="AE965" t="s">
        <v>5963</v>
      </c>
      <c r="AF965" t="s">
        <v>2016</v>
      </c>
      <c r="AG965" t="s">
        <v>1991</v>
      </c>
      <c r="AH965">
        <v>30</v>
      </c>
      <c r="AI965">
        <v>30</v>
      </c>
      <c r="AJ965" t="s">
        <v>5888</v>
      </c>
      <c r="AK965">
        <v>11</v>
      </c>
      <c r="AL965">
        <v>186300</v>
      </c>
      <c r="AN965" t="s">
        <v>2066</v>
      </c>
      <c r="AO965" t="s">
        <v>2063</v>
      </c>
      <c r="AU965" t="s">
        <v>3537</v>
      </c>
      <c r="AV965" t="s">
        <v>2063</v>
      </c>
      <c r="BF965" t="s">
        <v>1053</v>
      </c>
      <c r="BG965" t="s">
        <v>3834</v>
      </c>
      <c r="BH965" t="s">
        <v>5889</v>
      </c>
      <c r="BI965" t="s">
        <v>1053</v>
      </c>
      <c r="BJ965" t="s">
        <v>1053</v>
      </c>
      <c r="BK965" t="s">
        <v>1053</v>
      </c>
      <c r="BL965" t="s">
        <v>1053</v>
      </c>
      <c r="BN965" t="s">
        <v>3837</v>
      </c>
      <c r="BO965" t="s">
        <v>1053</v>
      </c>
      <c r="BP965" t="s">
        <v>5890</v>
      </c>
      <c r="BQ965" t="s">
        <v>5891</v>
      </c>
      <c r="BR965" t="s">
        <v>1053</v>
      </c>
      <c r="BS965" t="s">
        <v>1053</v>
      </c>
      <c r="BV965" t="s">
        <v>5892</v>
      </c>
      <c r="BW965" t="s">
        <v>5893</v>
      </c>
      <c r="BX965" t="str">
        <f>"SMTWTFS 0600-2130"</f>
        <v>SMTWTFS 0600-2130</v>
      </c>
      <c r="BY965" t="str">
        <f>""</f>
        <v/>
      </c>
      <c r="BZ965" t="str">
        <f>""</f>
        <v/>
      </c>
      <c r="CA965" t="str">
        <f>""</f>
        <v/>
      </c>
      <c r="CB965" t="str">
        <f>""</f>
        <v/>
      </c>
      <c r="CC965" t="str">
        <f>""</f>
        <v/>
      </c>
      <c r="CD965" t="str">
        <f>""</f>
        <v/>
      </c>
      <c r="CE965" t="str">
        <f>""</f>
        <v/>
      </c>
      <c r="CF965" t="str">
        <f>""</f>
        <v/>
      </c>
      <c r="CG965" t="str">
        <f>""</f>
        <v/>
      </c>
      <c r="CH965" t="str">
        <f>""</f>
        <v/>
      </c>
    </row>
    <row r="966" spans="1:86" x14ac:dyDescent="0.25">
      <c r="A966" t="s">
        <v>5894</v>
      </c>
      <c r="B966" t="s">
        <v>5895</v>
      </c>
      <c r="C966" t="s">
        <v>1992</v>
      </c>
      <c r="D966" t="s">
        <v>1993</v>
      </c>
      <c r="E966" t="s">
        <v>5896</v>
      </c>
      <c r="H966" t="s">
        <v>5897</v>
      </c>
      <c r="I966" t="s">
        <v>2061</v>
      </c>
      <c r="J966" t="str">
        <f t="shared" ref="J966:J972" si="7">"95389"</f>
        <v>95389</v>
      </c>
      <c r="K966" t="s">
        <v>1998</v>
      </c>
      <c r="L966" t="s">
        <v>2062</v>
      </c>
      <c r="M966" t="s">
        <v>2000</v>
      </c>
      <c r="N966" t="s">
        <v>1992</v>
      </c>
      <c r="O966" t="s">
        <v>1992</v>
      </c>
      <c r="P966" t="s">
        <v>1992</v>
      </c>
      <c r="Q966" t="s">
        <v>1992</v>
      </c>
      <c r="R966" t="s">
        <v>1992</v>
      </c>
      <c r="S966" t="s">
        <v>1992</v>
      </c>
      <c r="T966" t="s">
        <v>1992</v>
      </c>
      <c r="U966" t="s">
        <v>1992</v>
      </c>
      <c r="V966" t="s">
        <v>1991</v>
      </c>
      <c r="W966" t="s">
        <v>1992</v>
      </c>
      <c r="X966" t="s">
        <v>1992</v>
      </c>
      <c r="Y966" t="s">
        <v>1992</v>
      </c>
      <c r="Z966" t="s">
        <v>1991</v>
      </c>
      <c r="AF966" t="s">
        <v>2064</v>
      </c>
      <c r="AG966" t="s">
        <v>1991</v>
      </c>
      <c r="AH966">
        <v>15</v>
      </c>
      <c r="AI966">
        <v>15</v>
      </c>
      <c r="AJ966" t="s">
        <v>5898</v>
      </c>
      <c r="AK966">
        <v>3993</v>
      </c>
      <c r="AN966" t="s">
        <v>51</v>
      </c>
      <c r="AO966" t="s">
        <v>2063</v>
      </c>
      <c r="BF966" t="s">
        <v>1053</v>
      </c>
      <c r="BG966" t="s">
        <v>309</v>
      </c>
      <c r="BH966" t="s">
        <v>2301</v>
      </c>
      <c r="BI966" t="s">
        <v>1053</v>
      </c>
      <c r="BK966" t="s">
        <v>1053</v>
      </c>
      <c r="BO966" t="s">
        <v>1053</v>
      </c>
      <c r="BP966" t="s">
        <v>2067</v>
      </c>
      <c r="BQ966" t="s">
        <v>3602</v>
      </c>
      <c r="BR966" t="s">
        <v>1053</v>
      </c>
      <c r="BT966" t="s">
        <v>1053</v>
      </c>
      <c r="BV966" t="s">
        <v>2070</v>
      </c>
      <c r="BX966" t="str">
        <f>""</f>
        <v/>
      </c>
      <c r="BY966" t="str">
        <f>""</f>
        <v/>
      </c>
      <c r="BZ966" t="str">
        <f>""</f>
        <v/>
      </c>
      <c r="CA966" t="str">
        <f>""</f>
        <v/>
      </c>
      <c r="CB966" t="str">
        <f>""</f>
        <v/>
      </c>
      <c r="CC966" t="str">
        <f>""</f>
        <v/>
      </c>
      <c r="CD966" t="str">
        <f>""</f>
        <v/>
      </c>
      <c r="CE966" t="str">
        <f>""</f>
        <v/>
      </c>
      <c r="CF966" t="str">
        <f>""</f>
        <v/>
      </c>
      <c r="CG966" t="str">
        <f>""</f>
        <v/>
      </c>
      <c r="CH966" t="str">
        <f>""</f>
        <v/>
      </c>
    </row>
    <row r="967" spans="1:86" x14ac:dyDescent="0.25">
      <c r="A967" t="s">
        <v>5899</v>
      </c>
      <c r="B967" t="s">
        <v>5900</v>
      </c>
      <c r="C967" t="s">
        <v>1992</v>
      </c>
      <c r="D967" t="s">
        <v>1993</v>
      </c>
      <c r="E967" t="s">
        <v>5901</v>
      </c>
      <c r="H967" t="s">
        <v>5897</v>
      </c>
      <c r="I967" t="s">
        <v>2061</v>
      </c>
      <c r="J967" t="str">
        <f t="shared" si="7"/>
        <v>95389</v>
      </c>
      <c r="K967" t="s">
        <v>1998</v>
      </c>
      <c r="L967" t="s">
        <v>2062</v>
      </c>
      <c r="M967" t="s">
        <v>2000</v>
      </c>
      <c r="N967" t="s">
        <v>1992</v>
      </c>
      <c r="O967" t="s">
        <v>1992</v>
      </c>
      <c r="P967" t="s">
        <v>1992</v>
      </c>
      <c r="Q967" t="s">
        <v>1992</v>
      </c>
      <c r="R967" t="s">
        <v>1992</v>
      </c>
      <c r="S967" t="s">
        <v>1992</v>
      </c>
      <c r="T967" t="s">
        <v>1992</v>
      </c>
      <c r="U967" t="s">
        <v>1992</v>
      </c>
      <c r="V967" t="s">
        <v>1991</v>
      </c>
      <c r="W967" t="s">
        <v>1992</v>
      </c>
      <c r="X967" t="s">
        <v>1992</v>
      </c>
      <c r="Y967" t="s">
        <v>1992</v>
      </c>
      <c r="Z967" t="s">
        <v>1991</v>
      </c>
      <c r="AF967" t="s">
        <v>2064</v>
      </c>
      <c r="AG967" t="s">
        <v>1991</v>
      </c>
      <c r="AH967">
        <v>15</v>
      </c>
      <c r="AI967">
        <v>15</v>
      </c>
      <c r="AJ967" t="s">
        <v>5902</v>
      </c>
      <c r="AK967">
        <v>3995</v>
      </c>
      <c r="BX967" t="str">
        <f>""</f>
        <v/>
      </c>
      <c r="BY967" t="str">
        <f>""</f>
        <v/>
      </c>
      <c r="BZ967" t="str">
        <f>""</f>
        <v/>
      </c>
      <c r="CA967" t="str">
        <f>""</f>
        <v/>
      </c>
      <c r="CB967" t="str">
        <f>""</f>
        <v/>
      </c>
      <c r="CC967" t="str">
        <f>""</f>
        <v/>
      </c>
      <c r="CD967" t="str">
        <f>""</f>
        <v/>
      </c>
      <c r="CE967" t="str">
        <f>""</f>
        <v/>
      </c>
      <c r="CF967" t="str">
        <f>""</f>
        <v/>
      </c>
      <c r="CG967" t="str">
        <f>""</f>
        <v/>
      </c>
      <c r="CH967" t="str">
        <f>""</f>
        <v/>
      </c>
    </row>
    <row r="968" spans="1:86" x14ac:dyDescent="0.25">
      <c r="A968" t="s">
        <v>5903</v>
      </c>
      <c r="B968" t="s">
        <v>5904</v>
      </c>
      <c r="C968" t="s">
        <v>1992</v>
      </c>
      <c r="D968" t="s">
        <v>1993</v>
      </c>
      <c r="E968" t="s">
        <v>5905</v>
      </c>
      <c r="F968" t="s">
        <v>5906</v>
      </c>
      <c r="H968" t="s">
        <v>5897</v>
      </c>
      <c r="I968" t="s">
        <v>2061</v>
      </c>
      <c r="J968" t="str">
        <f t="shared" si="7"/>
        <v>95389</v>
      </c>
      <c r="K968" t="s">
        <v>1998</v>
      </c>
      <c r="L968" t="s">
        <v>2062</v>
      </c>
      <c r="M968" t="s">
        <v>2000</v>
      </c>
      <c r="N968" t="s">
        <v>1992</v>
      </c>
      <c r="O968" t="s">
        <v>1992</v>
      </c>
      <c r="P968" t="s">
        <v>1992</v>
      </c>
      <c r="Q968" t="s">
        <v>1992</v>
      </c>
      <c r="R968" t="s">
        <v>1992</v>
      </c>
      <c r="S968" t="s">
        <v>1992</v>
      </c>
      <c r="T968" t="s">
        <v>1992</v>
      </c>
      <c r="U968" t="s">
        <v>1992</v>
      </c>
      <c r="V968" t="s">
        <v>1991</v>
      </c>
      <c r="W968" t="s">
        <v>1992</v>
      </c>
      <c r="X968" t="s">
        <v>1992</v>
      </c>
      <c r="Y968" t="s">
        <v>1992</v>
      </c>
      <c r="Z968" t="s">
        <v>1991</v>
      </c>
      <c r="AF968" t="s">
        <v>2064</v>
      </c>
      <c r="AG968" t="s">
        <v>1991</v>
      </c>
      <c r="AH968">
        <v>15</v>
      </c>
      <c r="AI968">
        <v>15</v>
      </c>
      <c r="AJ968" t="s">
        <v>5907</v>
      </c>
      <c r="AK968">
        <v>6158</v>
      </c>
      <c r="AM968" t="s">
        <v>50</v>
      </c>
      <c r="BX968" t="str">
        <f>""</f>
        <v/>
      </c>
      <c r="BY968" t="str">
        <f>""</f>
        <v/>
      </c>
      <c r="BZ968" t="str">
        <f>""</f>
        <v/>
      </c>
      <c r="CA968" t="str">
        <f>""</f>
        <v/>
      </c>
      <c r="CB968" t="str">
        <f>""</f>
        <v/>
      </c>
      <c r="CC968" t="str">
        <f>""</f>
        <v/>
      </c>
      <c r="CD968" t="str">
        <f>""</f>
        <v/>
      </c>
      <c r="CE968" t="str">
        <f>""</f>
        <v/>
      </c>
      <c r="CF968" t="str">
        <f>""</f>
        <v/>
      </c>
      <c r="CG968" t="str">
        <f>""</f>
        <v/>
      </c>
      <c r="CH968" t="str">
        <f>""</f>
        <v/>
      </c>
    </row>
    <row r="969" spans="1:86" x14ac:dyDescent="0.25">
      <c r="A969" t="s">
        <v>5908</v>
      </c>
      <c r="B969" t="s">
        <v>5909</v>
      </c>
      <c r="C969" t="s">
        <v>1992</v>
      </c>
      <c r="D969" t="s">
        <v>1993</v>
      </c>
      <c r="E969" t="s">
        <v>5910</v>
      </c>
      <c r="F969" t="s">
        <v>5911</v>
      </c>
      <c r="H969" t="s">
        <v>5897</v>
      </c>
      <c r="I969" t="s">
        <v>2061</v>
      </c>
      <c r="J969" t="str">
        <f t="shared" si="7"/>
        <v>95389</v>
      </c>
      <c r="K969" t="s">
        <v>1998</v>
      </c>
      <c r="L969" t="s">
        <v>2062</v>
      </c>
      <c r="M969" t="s">
        <v>2063</v>
      </c>
      <c r="N969" t="s">
        <v>1992</v>
      </c>
      <c r="O969" t="s">
        <v>1992</v>
      </c>
      <c r="P969" t="s">
        <v>1992</v>
      </c>
      <c r="Q969" t="s">
        <v>1992</v>
      </c>
      <c r="R969" t="s">
        <v>1992</v>
      </c>
      <c r="S969" t="s">
        <v>1992</v>
      </c>
      <c r="T969" t="s">
        <v>1992</v>
      </c>
      <c r="U969" t="s">
        <v>1992</v>
      </c>
      <c r="V969" t="s">
        <v>1991</v>
      </c>
      <c r="W969" t="s">
        <v>1992</v>
      </c>
      <c r="X969" t="s">
        <v>1992</v>
      </c>
      <c r="Y969" t="s">
        <v>1991</v>
      </c>
      <c r="Z969" t="s">
        <v>1992</v>
      </c>
      <c r="AF969" t="s">
        <v>2064</v>
      </c>
      <c r="AG969" t="s">
        <v>1991</v>
      </c>
      <c r="AH969">
        <v>30</v>
      </c>
      <c r="AI969">
        <v>30</v>
      </c>
      <c r="AJ969" t="s">
        <v>5912</v>
      </c>
      <c r="AK969">
        <v>3978</v>
      </c>
      <c r="AM969" t="s">
        <v>2298</v>
      </c>
      <c r="AN969" t="s">
        <v>136</v>
      </c>
      <c r="AO969" t="s">
        <v>2063</v>
      </c>
      <c r="BF969" t="s">
        <v>1053</v>
      </c>
      <c r="BG969" t="s">
        <v>309</v>
      </c>
      <c r="BH969" t="s">
        <v>2301</v>
      </c>
      <c r="BI969" t="s">
        <v>1053</v>
      </c>
      <c r="BK969" t="s">
        <v>1053</v>
      </c>
      <c r="BO969" t="s">
        <v>1053</v>
      </c>
      <c r="BP969" t="s">
        <v>518</v>
      </c>
      <c r="BQ969" t="s">
        <v>3820</v>
      </c>
      <c r="BR969" t="s">
        <v>1053</v>
      </c>
      <c r="BT969" t="s">
        <v>1053</v>
      </c>
      <c r="BV969" t="s">
        <v>2070</v>
      </c>
      <c r="BW969">
        <v>0</v>
      </c>
      <c r="BX969" t="str">
        <f>""</f>
        <v/>
      </c>
      <c r="BY969" t="str">
        <f>""</f>
        <v/>
      </c>
      <c r="BZ969" t="str">
        <f>""</f>
        <v/>
      </c>
      <c r="CA969" t="str">
        <f>""</f>
        <v/>
      </c>
      <c r="CB969" t="str">
        <f>""</f>
        <v/>
      </c>
      <c r="CC969" t="str">
        <f>""</f>
        <v/>
      </c>
      <c r="CD969" t="str">
        <f>""</f>
        <v/>
      </c>
      <c r="CE969" t="str">
        <f>""</f>
        <v/>
      </c>
      <c r="CF969" t="str">
        <f>""</f>
        <v/>
      </c>
      <c r="CG969" t="str">
        <f>""</f>
        <v/>
      </c>
      <c r="CH969" t="str">
        <f>""</f>
        <v/>
      </c>
    </row>
    <row r="970" spans="1:86" x14ac:dyDescent="0.25">
      <c r="A970" t="s">
        <v>5913</v>
      </c>
      <c r="B970" t="s">
        <v>5914</v>
      </c>
      <c r="C970" t="s">
        <v>1992</v>
      </c>
      <c r="D970" t="s">
        <v>1993</v>
      </c>
      <c r="E970" t="s">
        <v>5915</v>
      </c>
      <c r="F970" t="s">
        <v>5916</v>
      </c>
      <c r="H970" t="s">
        <v>5897</v>
      </c>
      <c r="I970" t="s">
        <v>2061</v>
      </c>
      <c r="J970" t="str">
        <f t="shared" si="7"/>
        <v>95389</v>
      </c>
      <c r="K970" t="s">
        <v>1998</v>
      </c>
      <c r="L970" t="s">
        <v>2062</v>
      </c>
      <c r="M970" t="s">
        <v>2000</v>
      </c>
      <c r="N970" t="s">
        <v>1992</v>
      </c>
      <c r="O970" t="s">
        <v>1992</v>
      </c>
      <c r="P970" t="s">
        <v>1992</v>
      </c>
      <c r="Q970" t="s">
        <v>1992</v>
      </c>
      <c r="R970" t="s">
        <v>1992</v>
      </c>
      <c r="S970" t="s">
        <v>1992</v>
      </c>
      <c r="T970" t="s">
        <v>1992</v>
      </c>
      <c r="U970" t="s">
        <v>1992</v>
      </c>
      <c r="V970" t="s">
        <v>1991</v>
      </c>
      <c r="W970" t="s">
        <v>1992</v>
      </c>
      <c r="X970" t="s">
        <v>1992</v>
      </c>
      <c r="Y970" t="s">
        <v>1992</v>
      </c>
      <c r="Z970" t="s">
        <v>1991</v>
      </c>
      <c r="AF970" t="s">
        <v>2064</v>
      </c>
      <c r="AG970" t="s">
        <v>1991</v>
      </c>
      <c r="AH970">
        <v>15</v>
      </c>
      <c r="AI970">
        <v>15</v>
      </c>
      <c r="AJ970" t="s">
        <v>5917</v>
      </c>
      <c r="AK970">
        <v>8593</v>
      </c>
      <c r="AM970" t="s">
        <v>50</v>
      </c>
      <c r="BX970" t="str">
        <f>""</f>
        <v/>
      </c>
      <c r="BY970" t="str">
        <f>""</f>
        <v/>
      </c>
      <c r="BZ970" t="str">
        <f>""</f>
        <v/>
      </c>
      <c r="CA970" t="str">
        <f>""</f>
        <v/>
      </c>
      <c r="CB970" t="str">
        <f>""</f>
        <v/>
      </c>
      <c r="CC970" t="str">
        <f>""</f>
        <v/>
      </c>
      <c r="CD970" t="str">
        <f>""</f>
        <v/>
      </c>
      <c r="CE970" t="str">
        <f>""</f>
        <v/>
      </c>
      <c r="CF970" t="str">
        <f>""</f>
        <v/>
      </c>
      <c r="CG970" t="str">
        <f>""</f>
        <v/>
      </c>
      <c r="CH970" t="str">
        <f>""</f>
        <v/>
      </c>
    </row>
    <row r="971" spans="1:86" x14ac:dyDescent="0.25">
      <c r="A971" t="s">
        <v>5918</v>
      </c>
      <c r="B971" t="s">
        <v>5919</v>
      </c>
      <c r="C971" t="s">
        <v>1992</v>
      </c>
      <c r="D971" t="s">
        <v>1993</v>
      </c>
      <c r="E971" t="s">
        <v>5920</v>
      </c>
      <c r="F971" t="s">
        <v>5921</v>
      </c>
      <c r="H971" t="s">
        <v>5897</v>
      </c>
      <c r="I971" t="s">
        <v>2061</v>
      </c>
      <c r="J971" t="str">
        <f t="shared" si="7"/>
        <v>95389</v>
      </c>
      <c r="K971" t="s">
        <v>1998</v>
      </c>
      <c r="L971" t="s">
        <v>2062</v>
      </c>
      <c r="M971" t="s">
        <v>2000</v>
      </c>
      <c r="N971" t="s">
        <v>1992</v>
      </c>
      <c r="O971" t="s">
        <v>1992</v>
      </c>
      <c r="P971" t="s">
        <v>1992</v>
      </c>
      <c r="Q971" t="s">
        <v>1992</v>
      </c>
      <c r="R971" t="s">
        <v>1992</v>
      </c>
      <c r="S971" t="s">
        <v>1992</v>
      </c>
      <c r="T971" t="s">
        <v>1992</v>
      </c>
      <c r="U971" t="s">
        <v>1992</v>
      </c>
      <c r="V971" t="s">
        <v>1991</v>
      </c>
      <c r="W971" t="s">
        <v>1992</v>
      </c>
      <c r="X971" t="s">
        <v>1992</v>
      </c>
      <c r="Y971" t="s">
        <v>1992</v>
      </c>
      <c r="Z971" t="s">
        <v>1991</v>
      </c>
      <c r="AF971" t="s">
        <v>2064</v>
      </c>
      <c r="AG971" t="s">
        <v>1991</v>
      </c>
      <c r="AH971">
        <v>15</v>
      </c>
      <c r="AI971">
        <v>15</v>
      </c>
      <c r="AJ971" t="s">
        <v>5922</v>
      </c>
      <c r="AK971">
        <v>3996</v>
      </c>
      <c r="BX971" t="str">
        <f>""</f>
        <v/>
      </c>
      <c r="BY971" t="str">
        <f>""</f>
        <v/>
      </c>
      <c r="BZ971" t="str">
        <f>""</f>
        <v/>
      </c>
      <c r="CA971" t="str">
        <f>""</f>
        <v/>
      </c>
      <c r="CB971" t="str">
        <f>""</f>
        <v/>
      </c>
      <c r="CC971" t="str">
        <f>""</f>
        <v/>
      </c>
      <c r="CD971" t="str">
        <f>""</f>
        <v/>
      </c>
      <c r="CE971" t="str">
        <f>""</f>
        <v/>
      </c>
      <c r="CF971" t="str">
        <f>""</f>
        <v/>
      </c>
      <c r="CG971" t="str">
        <f>""</f>
        <v/>
      </c>
      <c r="CH971" t="str">
        <f>""</f>
        <v/>
      </c>
    </row>
    <row r="972" spans="1:86" x14ac:dyDescent="0.25">
      <c r="A972" t="s">
        <v>5923</v>
      </c>
      <c r="B972" t="s">
        <v>5924</v>
      </c>
      <c r="C972" t="s">
        <v>1992</v>
      </c>
      <c r="D972" t="s">
        <v>1993</v>
      </c>
      <c r="E972" t="s">
        <v>5925</v>
      </c>
      <c r="F972" t="s">
        <v>5926</v>
      </c>
      <c r="H972" t="s">
        <v>5897</v>
      </c>
      <c r="I972" t="s">
        <v>2061</v>
      </c>
      <c r="J972" t="str">
        <f t="shared" si="7"/>
        <v>95389</v>
      </c>
      <c r="K972" t="s">
        <v>1998</v>
      </c>
      <c r="L972" t="s">
        <v>2062</v>
      </c>
      <c r="M972" t="s">
        <v>2000</v>
      </c>
      <c r="N972" t="s">
        <v>1992</v>
      </c>
      <c r="O972" t="s">
        <v>1992</v>
      </c>
      <c r="P972" t="s">
        <v>1992</v>
      </c>
      <c r="Q972" t="s">
        <v>1992</v>
      </c>
      <c r="R972" t="s">
        <v>1992</v>
      </c>
      <c r="S972" t="s">
        <v>1992</v>
      </c>
      <c r="T972" t="s">
        <v>1992</v>
      </c>
      <c r="U972" t="s">
        <v>1992</v>
      </c>
      <c r="V972" t="s">
        <v>1991</v>
      </c>
      <c r="W972" t="s">
        <v>1992</v>
      </c>
      <c r="X972" t="s">
        <v>1992</v>
      </c>
      <c r="Y972" t="s">
        <v>1992</v>
      </c>
      <c r="Z972" t="s">
        <v>1992</v>
      </c>
      <c r="AF972" t="s">
        <v>2064</v>
      </c>
      <c r="AG972" t="s">
        <v>1991</v>
      </c>
      <c r="AH972">
        <v>15</v>
      </c>
      <c r="AI972">
        <v>15</v>
      </c>
      <c r="AJ972" t="s">
        <v>5927</v>
      </c>
      <c r="AK972">
        <v>7877</v>
      </c>
      <c r="AM972" t="s">
        <v>50</v>
      </c>
      <c r="BX972" t="str">
        <f>""</f>
        <v/>
      </c>
      <c r="BY972" t="str">
        <f>""</f>
        <v/>
      </c>
      <c r="BZ972" t="str">
        <f>""</f>
        <v/>
      </c>
      <c r="CA972" t="str">
        <f>""</f>
        <v/>
      </c>
      <c r="CB972" t="str">
        <f>""</f>
        <v/>
      </c>
      <c r="CC972" t="str">
        <f>""</f>
        <v/>
      </c>
      <c r="CD972" t="str">
        <f>""</f>
        <v/>
      </c>
      <c r="CE972" t="str">
        <f>""</f>
        <v/>
      </c>
      <c r="CF972" t="str">
        <f>""</f>
        <v/>
      </c>
      <c r="CG972" t="str">
        <f>""</f>
        <v/>
      </c>
      <c r="CH972" t="str">
        <f>""</f>
        <v/>
      </c>
    </row>
    <row r="973" spans="1:86" x14ac:dyDescent="0.25">
      <c r="A973" t="s">
        <v>5928</v>
      </c>
      <c r="B973" t="s">
        <v>5929</v>
      </c>
      <c r="C973" t="s">
        <v>1992</v>
      </c>
      <c r="D973" t="s">
        <v>2331</v>
      </c>
      <c r="E973" t="s">
        <v>5930</v>
      </c>
      <c r="H973" t="s">
        <v>5931</v>
      </c>
      <c r="I973" t="s">
        <v>586</v>
      </c>
      <c r="J973" t="str">
        <f>"85364"</f>
        <v>85364</v>
      </c>
      <c r="K973" t="s">
        <v>1998</v>
      </c>
      <c r="L973" t="s">
        <v>2045</v>
      </c>
      <c r="M973" t="s">
        <v>2063</v>
      </c>
      <c r="N973" t="s">
        <v>1992</v>
      </c>
      <c r="O973" t="s">
        <v>1992</v>
      </c>
      <c r="P973" t="s">
        <v>1992</v>
      </c>
      <c r="Q973" t="s">
        <v>1992</v>
      </c>
      <c r="R973" t="s">
        <v>1992</v>
      </c>
      <c r="S973" t="s">
        <v>1992</v>
      </c>
      <c r="T973" t="s">
        <v>1992</v>
      </c>
      <c r="U973" t="s">
        <v>1992</v>
      </c>
      <c r="V973" t="s">
        <v>1991</v>
      </c>
      <c r="W973" t="s">
        <v>1991</v>
      </c>
      <c r="X973" t="s">
        <v>1992</v>
      </c>
      <c r="Y973" t="s">
        <v>1992</v>
      </c>
      <c r="Z973" t="s">
        <v>1992</v>
      </c>
      <c r="AF973" t="s">
        <v>2048</v>
      </c>
      <c r="AG973" t="s">
        <v>1992</v>
      </c>
      <c r="AH973">
        <v>30</v>
      </c>
      <c r="AI973">
        <v>30</v>
      </c>
      <c r="AJ973" t="s">
        <v>5932</v>
      </c>
      <c r="AK973">
        <v>135</v>
      </c>
      <c r="AL973">
        <v>87423</v>
      </c>
      <c r="AM973" t="s">
        <v>5933</v>
      </c>
      <c r="AN973" t="s">
        <v>2066</v>
      </c>
      <c r="BF973" t="s">
        <v>1053</v>
      </c>
      <c r="BG973" t="s">
        <v>2019</v>
      </c>
      <c r="BH973" t="s">
        <v>2053</v>
      </c>
      <c r="BI973" t="s">
        <v>1053</v>
      </c>
      <c r="BO973" t="s">
        <v>1053</v>
      </c>
      <c r="BP973" t="s">
        <v>2101</v>
      </c>
      <c r="BQ973" t="s">
        <v>2055</v>
      </c>
      <c r="BR973" t="s">
        <v>1053</v>
      </c>
      <c r="BS973" t="s">
        <v>1053</v>
      </c>
      <c r="BV973" t="s">
        <v>2056</v>
      </c>
      <c r="BX973" t="str">
        <f>""</f>
        <v/>
      </c>
      <c r="BY973" t="str">
        <f>""</f>
        <v/>
      </c>
      <c r="BZ973" t="str">
        <f>""</f>
        <v/>
      </c>
      <c r="CA973" t="str">
        <f>""</f>
        <v/>
      </c>
      <c r="CB973" t="str">
        <f>""</f>
        <v/>
      </c>
      <c r="CC973" t="str">
        <f>""</f>
        <v/>
      </c>
      <c r="CD973" t="str">
        <f>""</f>
        <v/>
      </c>
      <c r="CE973" t="str">
        <f>""</f>
        <v/>
      </c>
      <c r="CF973" t="str">
        <f>""</f>
        <v/>
      </c>
      <c r="CG973" t="str">
        <f>""</f>
        <v/>
      </c>
      <c r="CH973" t="str">
        <f>""</f>
        <v/>
      </c>
    </row>
    <row r="974" spans="1:86" x14ac:dyDescent="0.25">
      <c r="A974" t="s">
        <v>5934</v>
      </c>
      <c r="B974" t="s">
        <v>5935</v>
      </c>
      <c r="D974" t="s">
        <v>2089</v>
      </c>
      <c r="E974" t="s">
        <v>5936</v>
      </c>
      <c r="F974" t="s">
        <v>5937</v>
      </c>
      <c r="G974" t="s">
        <v>3151</v>
      </c>
      <c r="H974" t="s">
        <v>4320</v>
      </c>
      <c r="I974" t="s">
        <v>2061</v>
      </c>
      <c r="J974" t="str">
        <f>"94589"</f>
        <v>94589</v>
      </c>
      <c r="K974" t="s">
        <v>1998</v>
      </c>
      <c r="AJ974" t="s">
        <v>2090</v>
      </c>
      <c r="BX974" t="str">
        <f>""</f>
        <v/>
      </c>
      <c r="BY974" t="str">
        <f>""</f>
        <v/>
      </c>
      <c r="BZ974" t="str">
        <f>""</f>
        <v/>
      </c>
      <c r="CA974" t="str">
        <f>""</f>
        <v/>
      </c>
      <c r="CB974" t="str">
        <f>""</f>
        <v/>
      </c>
      <c r="CC974" t="str">
        <f>""</f>
        <v/>
      </c>
      <c r="CD974" t="str">
        <f>""</f>
        <v/>
      </c>
      <c r="CE974" t="str">
        <f>""</f>
        <v/>
      </c>
      <c r="CF974" t="str">
        <f>""</f>
        <v/>
      </c>
      <c r="CG974" t="str">
        <f>""</f>
        <v/>
      </c>
      <c r="CH974" t="str">
        <f>""</f>
        <v/>
      </c>
    </row>
  </sheetData>
  <phoneticPr fontId="0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AdrReport1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2013-03-09T20:41:19Z</dcterms:created>
  <dcterms:modified xsi:type="dcterms:W3CDTF">2022-04-10T17:06:03Z</dcterms:modified>
</cp:coreProperties>
</file>