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e\OneDrive\Bureau\AKN_pour_papier\"/>
    </mc:Choice>
  </mc:AlternateContent>
  <xr:revisionPtr revIDLastSave="0" documentId="13_ncr:1_{BBE1ACF5-339A-444C-A88E-3D0390E08E6A}" xr6:coauthVersionLast="47" xr6:coauthVersionMax="47" xr10:uidLastSave="{00000000-0000-0000-0000-000000000000}"/>
  <bookViews>
    <workbookView xWindow="-120" yWindow="-120" windowWidth="29040" windowHeight="15720" activeTab="1" xr2:uid="{334CAC5C-CE91-48BE-853A-A208B3F484D9}"/>
  </bookViews>
  <sheets>
    <sheet name="read_me" sheetId="4" r:id="rId1"/>
    <sheet name="alpha_indices" sheetId="1" r:id="rId2"/>
    <sheet name="microbial_activity" sheetId="2" r:id="rId3"/>
    <sheet name="hydrochemistry" sheetId="3" r:id="rId4"/>
    <sheet name="pH" sheetId="6" r:id="rId5"/>
    <sheet name="oxygenati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8" i="3" l="1"/>
  <c r="L38" i="3"/>
  <c r="K38" i="3"/>
  <c r="J38" i="3"/>
  <c r="I38" i="3"/>
  <c r="H38" i="3"/>
  <c r="Q37" i="3"/>
  <c r="L37" i="3"/>
  <c r="K37" i="3"/>
  <c r="J37" i="3"/>
  <c r="I37" i="3"/>
  <c r="Q36" i="3"/>
  <c r="L36" i="3"/>
  <c r="K36" i="3"/>
  <c r="J36" i="3"/>
  <c r="I36" i="3"/>
  <c r="Q35" i="3"/>
  <c r="O35" i="3"/>
  <c r="L35" i="3"/>
  <c r="K35" i="3"/>
  <c r="J35" i="3"/>
  <c r="I35" i="3"/>
  <c r="Q34" i="3"/>
  <c r="L34" i="3"/>
  <c r="K34" i="3"/>
  <c r="J34" i="3"/>
  <c r="I34" i="3"/>
  <c r="Q33" i="3"/>
  <c r="L33" i="3"/>
  <c r="K33" i="3"/>
  <c r="J33" i="3"/>
  <c r="I33" i="3"/>
  <c r="Q32" i="3"/>
  <c r="L32" i="3"/>
  <c r="K32" i="3"/>
  <c r="J32" i="3"/>
  <c r="I32" i="3"/>
  <c r="H32" i="3"/>
  <c r="Q31" i="3"/>
  <c r="L31" i="3"/>
  <c r="K31" i="3"/>
  <c r="J31" i="3"/>
  <c r="I31" i="3"/>
  <c r="Q30" i="3"/>
  <c r="L30" i="3"/>
  <c r="K30" i="3"/>
  <c r="J30" i="3"/>
  <c r="I30" i="3"/>
  <c r="H30" i="3"/>
  <c r="Q29" i="3"/>
  <c r="L29" i="3"/>
  <c r="K29" i="3"/>
  <c r="J29" i="3"/>
  <c r="I29" i="3"/>
  <c r="H29" i="3"/>
  <c r="Q28" i="3"/>
  <c r="L28" i="3"/>
  <c r="K28" i="3"/>
  <c r="J28" i="3"/>
  <c r="I28" i="3"/>
  <c r="H28" i="3"/>
  <c r="Q27" i="3"/>
  <c r="L27" i="3"/>
  <c r="K27" i="3"/>
  <c r="J27" i="3"/>
  <c r="I27" i="3"/>
  <c r="Q26" i="3"/>
  <c r="L26" i="3"/>
  <c r="K26" i="3"/>
  <c r="J26" i="3"/>
  <c r="I26" i="3"/>
  <c r="Q25" i="3"/>
  <c r="L25" i="3"/>
  <c r="K25" i="3"/>
  <c r="J25" i="3"/>
  <c r="I25" i="3"/>
  <c r="Q24" i="3"/>
  <c r="L24" i="3"/>
  <c r="K24" i="3"/>
  <c r="J24" i="3"/>
  <c r="I24" i="3"/>
  <c r="Q23" i="3"/>
  <c r="L23" i="3"/>
  <c r="K23" i="3"/>
  <c r="J23" i="3"/>
  <c r="I23" i="3"/>
  <c r="Q22" i="3"/>
  <c r="L22" i="3"/>
  <c r="K22" i="3"/>
  <c r="J22" i="3"/>
  <c r="I22" i="3"/>
  <c r="Q21" i="3"/>
  <c r="L21" i="3"/>
  <c r="K21" i="3"/>
  <c r="J21" i="3"/>
  <c r="I21" i="3"/>
  <c r="Q20" i="3"/>
  <c r="L20" i="3"/>
  <c r="K20" i="3"/>
  <c r="Q19" i="3"/>
  <c r="L19" i="3"/>
  <c r="K19" i="3"/>
  <c r="Q18" i="3"/>
  <c r="L18" i="3"/>
  <c r="K18" i="3"/>
  <c r="Q17" i="3"/>
  <c r="L17" i="3"/>
  <c r="K17" i="3"/>
  <c r="Q16" i="3"/>
  <c r="L16" i="3"/>
  <c r="K16" i="3"/>
  <c r="Q15" i="3"/>
  <c r="L15" i="3"/>
  <c r="K15" i="3"/>
  <c r="Q14" i="3"/>
  <c r="L14" i="3"/>
  <c r="K14" i="3"/>
  <c r="Q13" i="3"/>
  <c r="L13" i="3"/>
  <c r="K13" i="3"/>
  <c r="Q12" i="3"/>
  <c r="L12" i="3"/>
  <c r="K12" i="3"/>
  <c r="Q11" i="3"/>
  <c r="L11" i="3"/>
  <c r="K11" i="3"/>
  <c r="Q10" i="3"/>
  <c r="L10" i="3"/>
  <c r="K10" i="3"/>
  <c r="Q9" i="3"/>
  <c r="L9" i="3"/>
  <c r="K9" i="3"/>
  <c r="Q8" i="3"/>
  <c r="O8" i="3"/>
  <c r="L8" i="3"/>
  <c r="K8" i="3"/>
  <c r="Q7" i="3"/>
  <c r="O7" i="3"/>
  <c r="L7" i="3"/>
  <c r="K7" i="3"/>
  <c r="Q6" i="3"/>
  <c r="O6" i="3"/>
  <c r="L6" i="3"/>
  <c r="K6" i="3"/>
  <c r="Q5" i="3"/>
  <c r="O5" i="3"/>
  <c r="L5" i="3"/>
  <c r="K5" i="3"/>
  <c r="Q4" i="3"/>
  <c r="O4" i="3"/>
  <c r="L4" i="3"/>
  <c r="K4" i="3"/>
  <c r="Q3" i="3"/>
  <c r="O3" i="3"/>
  <c r="L3" i="3"/>
  <c r="K3" i="3"/>
</calcChain>
</file>

<file path=xl/sharedStrings.xml><?xml version="1.0" encoding="utf-8"?>
<sst xmlns="http://schemas.openxmlformats.org/spreadsheetml/2006/main" count="2829" uniqueCount="305">
  <si>
    <t>RowNames</t>
  </si>
  <si>
    <t>Observed</t>
  </si>
  <si>
    <t>Chao1</t>
  </si>
  <si>
    <t>ACE</t>
  </si>
  <si>
    <t>Shannon</t>
  </si>
  <si>
    <t>Simpson</t>
  </si>
  <si>
    <t>sediment</t>
  </si>
  <si>
    <t>A</t>
  </si>
  <si>
    <t>t1</t>
  </si>
  <si>
    <t>S1A1a</t>
  </si>
  <si>
    <t>S1A1b</t>
  </si>
  <si>
    <t>t2</t>
  </si>
  <si>
    <t>S1A7a</t>
  </si>
  <si>
    <t>AA</t>
  </si>
  <si>
    <t>t3</t>
  </si>
  <si>
    <t>S1AA10a</t>
  </si>
  <si>
    <t>S1AA10b</t>
  </si>
  <si>
    <t>OA</t>
  </si>
  <si>
    <t>O</t>
  </si>
  <si>
    <t>S1O7b</t>
  </si>
  <si>
    <t>OO</t>
  </si>
  <si>
    <t>S1OO12b</t>
  </si>
  <si>
    <t>S2A1c</t>
  </si>
  <si>
    <t>S2A7a</t>
  </si>
  <si>
    <t>S2A7b</t>
  </si>
  <si>
    <t>S2A7c</t>
  </si>
  <si>
    <t>S2AA10b</t>
  </si>
  <si>
    <t>S2O1b</t>
  </si>
  <si>
    <t>S2O7a</t>
  </si>
  <si>
    <t>water</t>
  </si>
  <si>
    <t>W1A1a</t>
  </si>
  <si>
    <t>W1A1b</t>
  </si>
  <si>
    <t>W1A1c</t>
  </si>
  <si>
    <t>W1A7a</t>
  </si>
  <si>
    <t>W1A7b</t>
  </si>
  <si>
    <t>W1A7c</t>
  </si>
  <si>
    <t>W1AA10a</t>
  </si>
  <si>
    <t>W1AA10b</t>
  </si>
  <si>
    <t>W1AA10c</t>
  </si>
  <si>
    <t>W1O1a</t>
  </si>
  <si>
    <t>W1O1b</t>
  </si>
  <si>
    <t>W1O1c</t>
  </si>
  <si>
    <t>W1O7a</t>
  </si>
  <si>
    <t>W1O7b</t>
  </si>
  <si>
    <t>W1O7c</t>
  </si>
  <si>
    <t>AO</t>
  </si>
  <si>
    <t>W1OO12a</t>
  </si>
  <si>
    <t>W1OO12c</t>
  </si>
  <si>
    <t>W2A1a</t>
  </si>
  <si>
    <t>W2A1b</t>
  </si>
  <si>
    <t>W2A1c</t>
  </si>
  <si>
    <t>W2A7a</t>
  </si>
  <si>
    <t>W2A7b</t>
  </si>
  <si>
    <t>W2A7c</t>
  </si>
  <si>
    <t>W2AA10a</t>
  </si>
  <si>
    <t>W2AA10b</t>
  </si>
  <si>
    <t>W2AA10c</t>
  </si>
  <si>
    <t>W2O1a</t>
  </si>
  <si>
    <t>W2O1b</t>
  </si>
  <si>
    <t>W2O7b</t>
  </si>
  <si>
    <t>W2O7c</t>
  </si>
  <si>
    <t>W2OO12b</t>
  </si>
  <si>
    <t>Diversity</t>
  </si>
  <si>
    <t>Richness</t>
  </si>
  <si>
    <t>Evenness</t>
  </si>
  <si>
    <t>Camargo</t>
  </si>
  <si>
    <t>Pielou</t>
  </si>
  <si>
    <t>Simpson.e</t>
  </si>
  <si>
    <t>Contamination</t>
  </si>
  <si>
    <t>CTRL</t>
  </si>
  <si>
    <t>MFN</t>
  </si>
  <si>
    <t>Oxygenation</t>
  </si>
  <si>
    <t>Time</t>
  </si>
  <si>
    <t>ID</t>
  </si>
  <si>
    <t>AnA1a</t>
  </si>
  <si>
    <t>abiotic</t>
  </si>
  <si>
    <t>AnA1b</t>
  </si>
  <si>
    <t>AnA1c</t>
  </si>
  <si>
    <t>OxA1a</t>
  </si>
  <si>
    <t>OxA1b</t>
  </si>
  <si>
    <t>OxA1c</t>
  </si>
  <si>
    <t>An1a</t>
  </si>
  <si>
    <t>biotic</t>
  </si>
  <si>
    <t>An1b</t>
  </si>
  <si>
    <t>An1c</t>
  </si>
  <si>
    <t>Ox1a</t>
  </si>
  <si>
    <t>Ox1b</t>
  </si>
  <si>
    <t>Ox1c</t>
  </si>
  <si>
    <t>AnU1a</t>
  </si>
  <si>
    <t>AnU1b</t>
  </si>
  <si>
    <t>AnU1c</t>
  </si>
  <si>
    <t>OxU1a</t>
  </si>
  <si>
    <t>OxU1b</t>
  </si>
  <si>
    <t>OxU1c</t>
  </si>
  <si>
    <t>AnA2a</t>
  </si>
  <si>
    <t>AnA2b</t>
  </si>
  <si>
    <t>AnA2c</t>
  </si>
  <si>
    <t>OxA2a</t>
  </si>
  <si>
    <t>OxA2b</t>
  </si>
  <si>
    <t>OxA2c</t>
  </si>
  <si>
    <t>An2a</t>
  </si>
  <si>
    <t>An2b</t>
  </si>
  <si>
    <t>An2c</t>
  </si>
  <si>
    <t>Ox2a</t>
  </si>
  <si>
    <t>Ox2b</t>
  </si>
  <si>
    <t>Ox2c</t>
  </si>
  <si>
    <t>AnU2a</t>
  </si>
  <si>
    <t>AnU2b</t>
  </si>
  <si>
    <t>AnU2c</t>
  </si>
  <si>
    <t>OxU2a</t>
  </si>
  <si>
    <t>OxU2b</t>
  </si>
  <si>
    <t>OxU2c</t>
  </si>
  <si>
    <t>AnA3a</t>
  </si>
  <si>
    <t>AnA3b</t>
  </si>
  <si>
    <t>AnA3c</t>
  </si>
  <si>
    <t>OxA3a</t>
  </si>
  <si>
    <t>OxA3b</t>
  </si>
  <si>
    <t>OxA3c</t>
  </si>
  <si>
    <t>An3a</t>
  </si>
  <si>
    <t>An3b</t>
  </si>
  <si>
    <t>An3c</t>
  </si>
  <si>
    <t>Ox3a</t>
  </si>
  <si>
    <t>Ox3b</t>
  </si>
  <si>
    <t>Ox3c</t>
  </si>
  <si>
    <t>AnU3a</t>
  </si>
  <si>
    <t>AnU3b</t>
  </si>
  <si>
    <t>AnU3c</t>
  </si>
  <si>
    <t>OxU3a</t>
  </si>
  <si>
    <t>OxU3b</t>
  </si>
  <si>
    <t>OxU3c</t>
  </si>
  <si>
    <t>AnA4a</t>
  </si>
  <si>
    <t>AnA4b</t>
  </si>
  <si>
    <t>AnA4c</t>
  </si>
  <si>
    <t>OxA4a</t>
  </si>
  <si>
    <t>OxA4b</t>
  </si>
  <si>
    <t>OxA4c</t>
  </si>
  <si>
    <t>An4a</t>
  </si>
  <si>
    <t>An4b</t>
  </si>
  <si>
    <t>An4c</t>
  </si>
  <si>
    <t>Ox4a</t>
  </si>
  <si>
    <t>Ox4b</t>
  </si>
  <si>
    <t>Ox4c</t>
  </si>
  <si>
    <t>AnU4a</t>
  </si>
  <si>
    <t>AnU4b</t>
  </si>
  <si>
    <t>AnU4c</t>
  </si>
  <si>
    <t>OxU4a</t>
  </si>
  <si>
    <t>OxU4b</t>
  </si>
  <si>
    <t>OxU4c</t>
  </si>
  <si>
    <t>AnA5a</t>
  </si>
  <si>
    <t>AnA5b</t>
  </si>
  <si>
    <t>AnA5c</t>
  </si>
  <si>
    <t>OxA5a</t>
  </si>
  <si>
    <t>OxA5b</t>
  </si>
  <si>
    <t>OxA5c</t>
  </si>
  <si>
    <t>An5a</t>
  </si>
  <si>
    <t>An5b</t>
  </si>
  <si>
    <t>An5c</t>
  </si>
  <si>
    <t>Ox5a</t>
  </si>
  <si>
    <t>Ox5b</t>
  </si>
  <si>
    <t>Ox5c</t>
  </si>
  <si>
    <t>AnU5a</t>
  </si>
  <si>
    <t>AnU5b</t>
  </si>
  <si>
    <t>AnU5c</t>
  </si>
  <si>
    <t>OxU5a</t>
  </si>
  <si>
    <t>OxU5b</t>
  </si>
  <si>
    <t>OxU5c</t>
  </si>
  <si>
    <t>AnA6a</t>
  </si>
  <si>
    <t>AnA6b</t>
  </si>
  <si>
    <t>AnA6c</t>
  </si>
  <si>
    <t>OxA6a</t>
  </si>
  <si>
    <t>OxA6b</t>
  </si>
  <si>
    <t>OxA6c</t>
  </si>
  <si>
    <t>An6a</t>
  </si>
  <si>
    <t>An6b</t>
  </si>
  <si>
    <t>An6c</t>
  </si>
  <si>
    <t>Ox6a</t>
  </si>
  <si>
    <t>Ox6b</t>
  </si>
  <si>
    <t>Ox6c</t>
  </si>
  <si>
    <t>AnU6a</t>
  </si>
  <si>
    <t>AnU6b</t>
  </si>
  <si>
    <t>AnU6c</t>
  </si>
  <si>
    <t>OxU6a</t>
  </si>
  <si>
    <t>OxU6b</t>
  </si>
  <si>
    <t>OxU6c</t>
  </si>
  <si>
    <t>AnA7a</t>
  </si>
  <si>
    <t>AnA7b</t>
  </si>
  <si>
    <t>AnA7c</t>
  </si>
  <si>
    <t>OxA7a</t>
  </si>
  <si>
    <t>OxA7b</t>
  </si>
  <si>
    <t>OxA7c</t>
  </si>
  <si>
    <t>An7a</t>
  </si>
  <si>
    <t>An7b</t>
  </si>
  <si>
    <t>An7c</t>
  </si>
  <si>
    <t>Ox7a</t>
  </si>
  <si>
    <t>Ox7b</t>
  </si>
  <si>
    <t>Ox7c</t>
  </si>
  <si>
    <t>AnU7a</t>
  </si>
  <si>
    <t>AnU7b</t>
  </si>
  <si>
    <t>AnU7c</t>
  </si>
  <si>
    <t>OxU7a</t>
  </si>
  <si>
    <t>OxU7b</t>
  </si>
  <si>
    <t>OxU7c</t>
  </si>
  <si>
    <t>AnOxa</t>
  </si>
  <si>
    <t>AnOxb</t>
  </si>
  <si>
    <t>AnOxc</t>
  </si>
  <si>
    <t>AnAna</t>
  </si>
  <si>
    <t>AnAnb</t>
  </si>
  <si>
    <t>AnAnc</t>
  </si>
  <si>
    <t>OxAna</t>
  </si>
  <si>
    <t>OxAnb</t>
  </si>
  <si>
    <t>OxAnc</t>
  </si>
  <si>
    <t>OxOxa</t>
  </si>
  <si>
    <t>OxOxb</t>
  </si>
  <si>
    <t>OxOxc</t>
  </si>
  <si>
    <t>Incubation round</t>
  </si>
  <si>
    <t>Time (days)</t>
  </si>
  <si>
    <t>first</t>
  </si>
  <si>
    <t>second</t>
  </si>
  <si>
    <t>TOC</t>
  </si>
  <si>
    <t>PRISOO</t>
  </si>
  <si>
    <t>PRISOA</t>
  </si>
  <si>
    <t>PRISAO</t>
  </si>
  <si>
    <t>PRISAA</t>
  </si>
  <si>
    <t>Biota</t>
  </si>
  <si>
    <t>PRISOx1a</t>
  </si>
  <si>
    <t>PRISOx1b</t>
  </si>
  <si>
    <t>PRISOx1c</t>
  </si>
  <si>
    <t>PRISAn1a</t>
  </si>
  <si>
    <t>PRISAn1b</t>
  </si>
  <si>
    <t>PRISAn1c</t>
  </si>
  <si>
    <t>PRISOx7a</t>
  </si>
  <si>
    <t>PRISOx7b</t>
  </si>
  <si>
    <t>PRISOx7c</t>
  </si>
  <si>
    <t>PRISAn7a</t>
  </si>
  <si>
    <t>PRISAn7b</t>
  </si>
  <si>
    <t>PRISAn7c</t>
  </si>
  <si>
    <t>OXOxA4a</t>
  </si>
  <si>
    <t>OXOxA4b</t>
  </si>
  <si>
    <t>OXOxA4c</t>
  </si>
  <si>
    <t>OXOxU4a</t>
  </si>
  <si>
    <t>OXOxU4b</t>
  </si>
  <si>
    <t>OXOxU4c</t>
  </si>
  <si>
    <t>OXAnA4a</t>
  </si>
  <si>
    <t>OXAnA4b</t>
  </si>
  <si>
    <t>OXAnA4c</t>
  </si>
  <si>
    <t>OXAnU4a</t>
  </si>
  <si>
    <t>OXAnU4b</t>
  </si>
  <si>
    <t>OXAnU4c</t>
  </si>
  <si>
    <t>ANOxA4a</t>
  </si>
  <si>
    <t>ANOxA4b</t>
  </si>
  <si>
    <t>ANOxA4c</t>
  </si>
  <si>
    <t>ANOxU4a</t>
  </si>
  <si>
    <t>ANOxU4b</t>
  </si>
  <si>
    <t>ANOxU4c</t>
  </si>
  <si>
    <t>ANAnA4a</t>
  </si>
  <si>
    <t>ANAnA4b</t>
  </si>
  <si>
    <t>ANAnA4c</t>
  </si>
  <si>
    <t>ANAnU4a</t>
  </si>
  <si>
    <t>ANAnU4b</t>
  </si>
  <si>
    <t>ANAnU4c</t>
  </si>
  <si>
    <t>NH₄⁺</t>
  </si>
  <si>
    <t>Mg2+</t>
  </si>
  <si>
    <t>Ca2+</t>
  </si>
  <si>
    <t>NO3−</t>
  </si>
  <si>
    <t>Cl− </t>
  </si>
  <si>
    <t>mmol/L</t>
  </si>
  <si>
    <t>FDA score</t>
  </si>
  <si>
    <t>Variables</t>
  </si>
  <si>
    <t>microcosms spiked with metformin are labelled (MFN), while the pristine ones are CTRL</t>
  </si>
  <si>
    <t>A: anoxic; O; Oxic; AA: continuously anoxic; OO: continuously oxic; AO: anoxic to oxic transition; OA: oxic to anoxic transition</t>
  </si>
  <si>
    <t>The start of the experiment (t1), the beginning of the second event of contamination (t2), and after the complete dissipation of metformin in the second event (t3).</t>
  </si>
  <si>
    <t>Matrix</t>
  </si>
  <si>
    <t>Sediment or water part analysed</t>
  </si>
  <si>
    <t xml:space="preserve"> CTRL</t>
  </si>
  <si>
    <t xml:space="preserve">First or second round of contamination by metformin </t>
  </si>
  <si>
    <t>If the microcosm get sterilised by autoclave (abiotic) or not (biotic)</t>
  </si>
  <si>
    <t>Na+</t>
  </si>
  <si>
    <t>K+</t>
  </si>
  <si>
    <r>
      <t>SO</t>
    </r>
    <r>
      <rPr>
        <b/>
        <vertAlign val="subscript"/>
        <sz val="12"/>
        <rFont val="Times New Roman"/>
        <family val="1"/>
      </rPr>
      <t>4</t>
    </r>
    <r>
      <rPr>
        <b/>
        <vertAlign val="superscript"/>
        <sz val="12"/>
        <rFont val="Times New Roman"/>
        <family val="1"/>
      </rPr>
      <t>2-</t>
    </r>
  </si>
  <si>
    <r>
      <t>PO</t>
    </r>
    <r>
      <rPr>
        <b/>
        <vertAlign val="subscript"/>
        <sz val="12"/>
        <rFont val="Times New Roman"/>
        <family val="1"/>
      </rPr>
      <t>4</t>
    </r>
    <r>
      <rPr>
        <b/>
        <vertAlign val="superscript"/>
        <sz val="12"/>
        <rFont val="Times New Roman"/>
        <family val="1"/>
      </rPr>
      <t>3−</t>
    </r>
  </si>
  <si>
    <t>S1OA11a</t>
  </si>
  <si>
    <t>S2OA11b</t>
  </si>
  <si>
    <t>W1OA11a</t>
  </si>
  <si>
    <t>W1OA11b</t>
  </si>
  <si>
    <t>W1OA11c</t>
  </si>
  <si>
    <t>W2OA11a</t>
  </si>
  <si>
    <t>W2OA11c</t>
  </si>
  <si>
    <t>W1AO12a</t>
  </si>
  <si>
    <t>W1AO12b</t>
  </si>
  <si>
    <t>W1AO12c</t>
  </si>
  <si>
    <t>W2AO12a</t>
  </si>
  <si>
    <t>W2AO12b</t>
  </si>
  <si>
    <t>W2AO12c</t>
  </si>
  <si>
    <t>oxic</t>
  </si>
  <si>
    <t>anoxic</t>
  </si>
  <si>
    <t>First incubation - Time in days</t>
  </si>
  <si>
    <t>Second incubation -Time in days</t>
  </si>
  <si>
    <t>Value</t>
  </si>
  <si>
    <t>pH</t>
  </si>
  <si>
    <t>ppm of dioxygen</t>
  </si>
  <si>
    <t>The file contains the dataset used in the publication, including alpha-diversity indices, microbial activity (FDA), pH, dioxygen level, and hydrochemistry data.</t>
  </si>
  <si>
    <t xml:space="preserve">OO </t>
  </si>
  <si>
    <t xml:space="preserve">AO </t>
  </si>
  <si>
    <t xml:space="preserve">AA </t>
  </si>
  <si>
    <t xml:space="preserve">OA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</si>
</sst>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1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vertAlign val="subscript"/>
      <sz val="12"/>
      <name val="Times New Roman"/>
      <family val="1"/>
    </font>
    <font>
      <b/>
      <vertAlign val="superscript"/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 wrapText="1"/>
    </xf>
    <xf numFmtId="0" fontId="0" fillId="0" borderId="5" xfId="0" applyBorder="1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5" xfId="1" applyFont="1" applyBorder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0EA312C2-B126-471F-9780-5424678F10CB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0.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right style="medium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648960</xdr:colOff>
      <xdr:row>13</xdr:row>
      <xdr:rowOff>38451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40B1A01-3F81-35D6-EBA2-30C2111EC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30960" cy="25149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3433E-C8F0-4028-BBF4-0B29DA9B1EBD}" name="Tableau2" displayName="Tableau2" ref="B2:M60" totalsRowShown="0" headerRowDxfId="0" dataDxfId="1" headerRowBorderDxfId="14" tableBorderDxfId="15">
  <autoFilter ref="B2:M60" xr:uid="{FC73433E-C8F0-4028-BBF4-0B29DA9B1EBD}"/>
  <sortState xmlns:xlrd2="http://schemas.microsoft.com/office/spreadsheetml/2017/richdata2" ref="B3:M60">
    <sortCondition ref="E2:E60"/>
  </sortState>
  <tableColumns count="12">
    <tableColumn id="1" xr3:uid="{C6273F83-16B3-4DE4-96DA-DE688CC46A08}" name="Contamination" dataDxfId="13"/>
    <tableColumn id="2" xr3:uid="{BAA856A7-6056-4009-8A7F-F080E9734765}" name="Oxygenation" dataDxfId="12"/>
    <tableColumn id="3" xr3:uid="{E7090353-3277-4981-B2E5-C9F1A86F2F92}" name="Time" dataDxfId="11"/>
    <tableColumn id="4" xr3:uid="{C7101712-CCF1-4916-A30D-B1D273B9E36E}" name="RowNames" dataDxfId="10"/>
    <tableColumn id="5" xr3:uid="{40E4FD2F-50C7-45AD-B409-E95B23F64275}" name="Camargo" dataDxfId="9"/>
    <tableColumn id="6" xr3:uid="{C1C6E05E-C9B9-4C54-88C9-561A4EF875FC}" name="Pielou" dataDxfId="8"/>
    <tableColumn id="7" xr3:uid="{3F23BDD4-AFE6-45F5-A098-CABCB0A0F395}" name="Simpson.e" dataDxfId="7"/>
    <tableColumn id="8" xr3:uid="{31650752-4E66-47B5-BCA3-09BCD0E5A54B}" name="Observed" dataDxfId="6"/>
    <tableColumn id="9" xr3:uid="{13618890-4FD3-401F-88AA-2668FB98C0DC}" name="Chao1" dataDxfId="5"/>
    <tableColumn id="10" xr3:uid="{3CA995F6-BCE9-47BF-9BEE-1343BF42838E}" name="ACE" dataDxfId="4"/>
    <tableColumn id="11" xr3:uid="{FB38B146-7A7B-4050-B4F2-6C1C4A13FF38}" name="Shannon" dataDxfId="3"/>
    <tableColumn id="12" xr3:uid="{DEA0DA64-7D7D-4C86-B8D1-F24A870578A7}" name="Simpson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96193-772B-487E-84BB-A9B33023FD8A}">
  <dimension ref="B15:K17"/>
  <sheetViews>
    <sheetView workbookViewId="0">
      <selection activeCell="H26" sqref="H26"/>
    </sheetView>
  </sheetViews>
  <sheetFormatPr baseColWidth="10" defaultRowHeight="15" x14ac:dyDescent="0.25"/>
  <sheetData>
    <row r="15" spans="2:11" ht="15.75" thickBot="1" x14ac:dyDescent="0.3"/>
    <row r="16" spans="2:11" x14ac:dyDescent="0.25">
      <c r="B16" s="33" t="s">
        <v>300</v>
      </c>
      <c r="C16" s="33"/>
      <c r="D16" s="33"/>
      <c r="E16" s="33"/>
      <c r="F16" s="33"/>
      <c r="G16" s="33"/>
      <c r="H16" s="33"/>
      <c r="I16" s="33"/>
      <c r="J16" s="33"/>
      <c r="K16" s="33"/>
    </row>
    <row r="17" spans="2:11" x14ac:dyDescent="0.25">
      <c r="B17" s="34"/>
      <c r="C17" s="34"/>
      <c r="D17" s="34"/>
      <c r="E17" s="34"/>
      <c r="F17" s="34"/>
      <c r="G17" s="34"/>
      <c r="H17" s="34"/>
      <c r="I17" s="34"/>
      <c r="J17" s="34"/>
      <c r="K17" s="34"/>
    </row>
  </sheetData>
  <mergeCells count="1">
    <mergeCell ref="B16:K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3590-AA09-4CB0-8A4D-9515C1995458}">
  <dimension ref="A1:AE60"/>
  <sheetViews>
    <sheetView showGridLines="0" tabSelected="1" topLeftCell="A6" zoomScaleNormal="100" workbookViewId="0">
      <selection activeCell="B2" sqref="B2:M60"/>
    </sheetView>
  </sheetViews>
  <sheetFormatPr baseColWidth="10" defaultRowHeight="15" x14ac:dyDescent="0.25"/>
  <cols>
    <col min="1" max="1" width="15.5703125" style="1" customWidth="1"/>
    <col min="2" max="2" width="16" style="1" customWidth="1"/>
    <col min="3" max="5" width="15.5703125" style="1" customWidth="1"/>
    <col min="6" max="7" width="11.42578125" style="1"/>
    <col min="8" max="8" width="11.5703125" style="1" customWidth="1"/>
    <col min="9" max="13" width="11.42578125" style="1"/>
    <col min="17" max="17" width="13.85546875" customWidth="1"/>
    <col min="18" max="18" width="130.28515625" customWidth="1"/>
  </cols>
  <sheetData>
    <row r="1" spans="1:31" ht="15.75" thickBot="1" x14ac:dyDescent="0.3">
      <c r="A1" s="5"/>
      <c r="B1" s="5"/>
      <c r="C1" s="5"/>
      <c r="D1" s="5"/>
      <c r="E1" s="6"/>
      <c r="F1" s="20" t="s">
        <v>64</v>
      </c>
      <c r="G1" s="21"/>
      <c r="H1" s="22"/>
      <c r="I1" s="23" t="s">
        <v>63</v>
      </c>
      <c r="J1" s="24"/>
      <c r="K1" s="25"/>
      <c r="L1" s="26" t="s">
        <v>62</v>
      </c>
      <c r="M1" s="27"/>
    </row>
    <row r="2" spans="1:31" ht="15.75" thickBot="1" x14ac:dyDescent="0.3">
      <c r="A2" s="10" t="s">
        <v>271</v>
      </c>
      <c r="B2" s="10" t="s">
        <v>68</v>
      </c>
      <c r="C2" s="10" t="s">
        <v>71</v>
      </c>
      <c r="D2" s="10" t="s">
        <v>72</v>
      </c>
      <c r="E2" s="11" t="s">
        <v>0</v>
      </c>
      <c r="F2" s="10" t="s">
        <v>65</v>
      </c>
      <c r="G2" s="10" t="s">
        <v>66</v>
      </c>
      <c r="H2" s="11" t="s">
        <v>67</v>
      </c>
      <c r="I2" s="10" t="s">
        <v>1</v>
      </c>
      <c r="J2" s="10" t="s">
        <v>2</v>
      </c>
      <c r="K2" s="11" t="s">
        <v>3</v>
      </c>
      <c r="L2" s="12" t="s">
        <v>4</v>
      </c>
      <c r="M2" s="13" t="s">
        <v>5</v>
      </c>
      <c r="Q2" s="16" t="s">
        <v>267</v>
      </c>
      <c r="R2" s="5"/>
      <c r="S2" s="5"/>
      <c r="T2" s="5"/>
      <c r="U2" s="5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5" t="s">
        <v>6</v>
      </c>
      <c r="B3" s="5" t="s">
        <v>69</v>
      </c>
      <c r="C3" s="5" t="s">
        <v>7</v>
      </c>
      <c r="D3" s="5" t="s">
        <v>8</v>
      </c>
      <c r="E3" s="6" t="s">
        <v>9</v>
      </c>
      <c r="F3" s="14">
        <v>0.38447643528306602</v>
      </c>
      <c r="G3" s="14">
        <v>0.880455467166252</v>
      </c>
      <c r="H3" s="15">
        <v>0.15820926567041901</v>
      </c>
      <c r="I3" s="14">
        <v>1433</v>
      </c>
      <c r="J3" s="14">
        <v>1519.46</v>
      </c>
      <c r="K3" s="15">
        <v>1485.55714211244</v>
      </c>
      <c r="L3" s="14">
        <v>6.3987324957010703</v>
      </c>
      <c r="M3" s="29">
        <v>0.99558915400274695</v>
      </c>
      <c r="Q3" s="17" t="s">
        <v>68</v>
      </c>
      <c r="R3" s="18" t="s">
        <v>268</v>
      </c>
      <c r="S3" s="5"/>
      <c r="T3" s="5"/>
      <c r="U3" s="5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5" t="s">
        <v>6</v>
      </c>
      <c r="B4" s="5" t="s">
        <v>69</v>
      </c>
      <c r="C4" s="5" t="s">
        <v>7</v>
      </c>
      <c r="D4" s="5" t="s">
        <v>8</v>
      </c>
      <c r="E4" s="6" t="s">
        <v>10</v>
      </c>
      <c r="F4" s="14">
        <v>0.246658084208872</v>
      </c>
      <c r="G4" s="14">
        <v>0.75126362513835399</v>
      </c>
      <c r="H4" s="15">
        <v>3.3207957209922E-2</v>
      </c>
      <c r="I4" s="14">
        <v>1455</v>
      </c>
      <c r="J4" s="14">
        <v>1508.13571428571</v>
      </c>
      <c r="K4" s="15">
        <v>1535.4464078159599</v>
      </c>
      <c r="L4" s="14">
        <v>5.4712735648073698</v>
      </c>
      <c r="M4" s="29">
        <v>0.97930359826040903</v>
      </c>
      <c r="Q4" s="17" t="s">
        <v>71</v>
      </c>
      <c r="R4" s="18" t="s">
        <v>269</v>
      </c>
      <c r="S4" s="5"/>
      <c r="T4" s="5"/>
      <c r="U4" s="5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">
        <v>6</v>
      </c>
      <c r="B5" s="5" t="s">
        <v>69</v>
      </c>
      <c r="C5" s="5" t="s">
        <v>7</v>
      </c>
      <c r="D5" s="5" t="s">
        <v>11</v>
      </c>
      <c r="E5" s="6" t="s">
        <v>12</v>
      </c>
      <c r="F5" s="14">
        <v>0.37903943028595399</v>
      </c>
      <c r="G5" s="14">
        <v>0.90179411115546704</v>
      </c>
      <c r="H5" s="15">
        <v>0.141501118547118</v>
      </c>
      <c r="I5" s="14">
        <v>2740</v>
      </c>
      <c r="J5" s="14">
        <v>2981.69284064665</v>
      </c>
      <c r="K5" s="15">
        <v>2982.29572651221</v>
      </c>
      <c r="L5" s="14">
        <v>7.1383435487984004</v>
      </c>
      <c r="M5" s="29">
        <v>0.99742077301298404</v>
      </c>
      <c r="Q5" s="17" t="s">
        <v>72</v>
      </c>
      <c r="R5" s="18" t="s">
        <v>270</v>
      </c>
      <c r="S5" s="5"/>
      <c r="T5" s="5"/>
      <c r="U5" s="5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5" t="s">
        <v>6</v>
      </c>
      <c r="B6" s="5" t="s">
        <v>69</v>
      </c>
      <c r="C6" s="5" t="s">
        <v>13</v>
      </c>
      <c r="D6" s="5" t="s">
        <v>14</v>
      </c>
      <c r="E6" s="6" t="s">
        <v>15</v>
      </c>
      <c r="F6" s="14">
        <v>0.393355848671952</v>
      </c>
      <c r="G6" s="14">
        <v>0.90010695954447495</v>
      </c>
      <c r="H6" s="15">
        <v>0.15880612678851999</v>
      </c>
      <c r="I6" s="14">
        <v>2343</v>
      </c>
      <c r="J6" s="14">
        <v>2544.5516129032299</v>
      </c>
      <c r="K6" s="15">
        <v>2523.9489658697498</v>
      </c>
      <c r="L6" s="14">
        <v>6.9840986138109296</v>
      </c>
      <c r="M6" s="29">
        <v>0.99731242583434399</v>
      </c>
      <c r="Q6" s="17" t="s">
        <v>271</v>
      </c>
      <c r="R6" s="18" t="s">
        <v>272</v>
      </c>
      <c r="S6" s="5"/>
      <c r="T6" s="5"/>
      <c r="U6" s="5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5" t="s">
        <v>6</v>
      </c>
      <c r="B7" s="5" t="s">
        <v>69</v>
      </c>
      <c r="C7" s="5" t="s">
        <v>13</v>
      </c>
      <c r="D7" s="5" t="s">
        <v>14</v>
      </c>
      <c r="E7" s="6" t="s">
        <v>16</v>
      </c>
      <c r="F7" s="14">
        <v>0.39256703509070701</v>
      </c>
      <c r="G7" s="14">
        <v>0.90031039919266698</v>
      </c>
      <c r="H7" s="15">
        <v>0.17787347401318901</v>
      </c>
      <c r="I7" s="14">
        <v>2300</v>
      </c>
      <c r="J7" s="14">
        <v>2502.0073529411802</v>
      </c>
      <c r="K7" s="15">
        <v>2460.1010232716999</v>
      </c>
      <c r="L7" s="14">
        <v>6.9690006577065802</v>
      </c>
      <c r="M7" s="29">
        <v>0.99755566359116898</v>
      </c>
      <c r="Q7" s="4"/>
    </row>
    <row r="8" spans="1:31" x14ac:dyDescent="0.25">
      <c r="A8" s="5" t="s">
        <v>6</v>
      </c>
      <c r="B8" s="5" t="s">
        <v>69</v>
      </c>
      <c r="C8" s="5" t="s">
        <v>18</v>
      </c>
      <c r="D8" s="5" t="s">
        <v>11</v>
      </c>
      <c r="E8" s="6" t="s">
        <v>19</v>
      </c>
      <c r="F8" s="14">
        <v>0.37579292720812602</v>
      </c>
      <c r="G8" s="14">
        <v>0.87233758838187303</v>
      </c>
      <c r="H8" s="15">
        <v>6.6064711473945895E-2</v>
      </c>
      <c r="I8" s="14">
        <v>2154</v>
      </c>
      <c r="J8" s="14">
        <v>2319.4705882352901</v>
      </c>
      <c r="K8" s="15">
        <v>2289.08887086389</v>
      </c>
      <c r="L8" s="14">
        <v>6.6952623983937301</v>
      </c>
      <c r="M8" s="29">
        <v>0.992972760449092</v>
      </c>
    </row>
    <row r="9" spans="1:31" x14ac:dyDescent="0.25">
      <c r="A9" s="5" t="s">
        <v>6</v>
      </c>
      <c r="B9" s="5" t="s">
        <v>69</v>
      </c>
      <c r="C9" s="5" t="s">
        <v>17</v>
      </c>
      <c r="D9" s="5" t="s">
        <v>14</v>
      </c>
      <c r="E9" s="6" t="s">
        <v>280</v>
      </c>
      <c r="F9" s="14">
        <v>0.37561414346003902</v>
      </c>
      <c r="G9" s="14">
        <v>0.87567041452128103</v>
      </c>
      <c r="H9" s="15">
        <v>5.6859425246552499E-2</v>
      </c>
      <c r="I9" s="14">
        <v>2596</v>
      </c>
      <c r="J9" s="14">
        <v>2821.7488151658799</v>
      </c>
      <c r="K9" s="15">
        <v>2830.2615153158999</v>
      </c>
      <c r="L9" s="14">
        <v>6.88428180909131</v>
      </c>
      <c r="M9" s="29">
        <v>0.99322525666314199</v>
      </c>
    </row>
    <row r="10" spans="1:31" x14ac:dyDescent="0.25">
      <c r="A10" s="5" t="s">
        <v>6</v>
      </c>
      <c r="B10" s="5" t="s">
        <v>69</v>
      </c>
      <c r="C10" s="5" t="s">
        <v>20</v>
      </c>
      <c r="D10" s="5" t="s">
        <v>14</v>
      </c>
      <c r="E10" s="6" t="s">
        <v>21</v>
      </c>
      <c r="F10" s="14">
        <v>0.162253047111661</v>
      </c>
      <c r="G10" s="14">
        <v>0.60824672955985704</v>
      </c>
      <c r="H10" s="15">
        <v>1.25912695866472E-2</v>
      </c>
      <c r="I10" s="14">
        <v>1038</v>
      </c>
      <c r="J10" s="14">
        <v>1205.7789473684199</v>
      </c>
      <c r="K10" s="15">
        <v>1239.3925929402801</v>
      </c>
      <c r="L10" s="14">
        <v>4.2243045961374497</v>
      </c>
      <c r="M10" s="29">
        <v>0.92348737113664803</v>
      </c>
    </row>
    <row r="11" spans="1:31" x14ac:dyDescent="0.25">
      <c r="A11" s="5" t="s">
        <v>6</v>
      </c>
      <c r="B11" s="5" t="s">
        <v>70</v>
      </c>
      <c r="C11" s="5" t="s">
        <v>7</v>
      </c>
      <c r="D11" s="5" t="s">
        <v>8</v>
      </c>
      <c r="E11" s="6" t="s">
        <v>22</v>
      </c>
      <c r="F11" s="14">
        <v>0.387746535755641</v>
      </c>
      <c r="G11" s="14">
        <v>0.90633295135176195</v>
      </c>
      <c r="H11" s="15">
        <v>0.18794036678251499</v>
      </c>
      <c r="I11" s="14">
        <v>2615</v>
      </c>
      <c r="J11" s="14">
        <v>2869.1578947368398</v>
      </c>
      <c r="K11" s="15">
        <v>2855.9847634685598</v>
      </c>
      <c r="L11" s="14">
        <v>7.1319515557465598</v>
      </c>
      <c r="M11" s="29">
        <v>0.99796526321424694</v>
      </c>
    </row>
    <row r="12" spans="1:31" x14ac:dyDescent="0.25">
      <c r="A12" s="5" t="s">
        <v>6</v>
      </c>
      <c r="B12" s="5" t="s">
        <v>70</v>
      </c>
      <c r="C12" s="5" t="s">
        <v>7</v>
      </c>
      <c r="D12" s="5" t="s">
        <v>11</v>
      </c>
      <c r="E12" s="6" t="s">
        <v>23</v>
      </c>
      <c r="F12" s="14">
        <v>0.353222626244247</v>
      </c>
      <c r="G12" s="14">
        <v>0.87081516373030099</v>
      </c>
      <c r="H12" s="15">
        <v>0.111860249154676</v>
      </c>
      <c r="I12" s="14">
        <v>1714</v>
      </c>
      <c r="J12" s="14">
        <v>1811.7102803738301</v>
      </c>
      <c r="K12" s="15">
        <v>1813.0961890307999</v>
      </c>
      <c r="L12" s="14">
        <v>6.4845992223546496</v>
      </c>
      <c r="M12" s="29">
        <v>0.99478429043229499</v>
      </c>
    </row>
    <row r="13" spans="1:31" x14ac:dyDescent="0.25">
      <c r="A13" s="5" t="s">
        <v>6</v>
      </c>
      <c r="B13" s="5" t="s">
        <v>70</v>
      </c>
      <c r="C13" s="5" t="s">
        <v>7</v>
      </c>
      <c r="D13" s="5" t="s">
        <v>11</v>
      </c>
      <c r="E13" s="6" t="s">
        <v>24</v>
      </c>
      <c r="F13" s="14">
        <v>0.37747332860886701</v>
      </c>
      <c r="G13" s="14">
        <v>0.88588124555660597</v>
      </c>
      <c r="H13" s="15">
        <v>0.13475353365849899</v>
      </c>
      <c r="I13" s="14">
        <v>1845</v>
      </c>
      <c r="J13" s="14">
        <v>1972.7638190954799</v>
      </c>
      <c r="K13" s="15">
        <v>1951.0728083736101</v>
      </c>
      <c r="L13" s="14">
        <v>6.6620347557675696</v>
      </c>
      <c r="M13" s="29">
        <v>0.99597780180349305</v>
      </c>
    </row>
    <row r="14" spans="1:31" x14ac:dyDescent="0.25">
      <c r="A14" s="5" t="s">
        <v>6</v>
      </c>
      <c r="B14" s="5" t="s">
        <v>70</v>
      </c>
      <c r="C14" s="5" t="s">
        <v>7</v>
      </c>
      <c r="D14" s="5" t="s">
        <v>11</v>
      </c>
      <c r="E14" s="6" t="s">
        <v>25</v>
      </c>
      <c r="F14" s="14">
        <v>0.37951818050880998</v>
      </c>
      <c r="G14" s="14">
        <v>0.89800208643587698</v>
      </c>
      <c r="H14" s="15">
        <v>0.12691058819219</v>
      </c>
      <c r="I14" s="14">
        <v>2601</v>
      </c>
      <c r="J14" s="14">
        <v>2825.8948787062</v>
      </c>
      <c r="K14" s="15">
        <v>2810.9636706749302</v>
      </c>
      <c r="L14" s="14">
        <v>7.0615752433770203</v>
      </c>
      <c r="M14" s="29">
        <v>0.99697056393818795</v>
      </c>
    </row>
    <row r="15" spans="1:31" x14ac:dyDescent="0.25">
      <c r="A15" s="5" t="s">
        <v>6</v>
      </c>
      <c r="B15" s="5" t="s">
        <v>70</v>
      </c>
      <c r="C15" s="5" t="s">
        <v>13</v>
      </c>
      <c r="D15" s="5" t="s">
        <v>14</v>
      </c>
      <c r="E15" s="6" t="s">
        <v>26</v>
      </c>
      <c r="F15" s="14">
        <v>0.38932226038296902</v>
      </c>
      <c r="G15" s="14">
        <v>0.89789889667463996</v>
      </c>
      <c r="H15" s="15">
        <v>0.15583786936288499</v>
      </c>
      <c r="I15" s="14">
        <v>2181</v>
      </c>
      <c r="J15" s="14">
        <v>2260.6694915254202</v>
      </c>
      <c r="K15" s="15">
        <v>2287.3159850820298</v>
      </c>
      <c r="L15" s="14">
        <v>6.9026325763159697</v>
      </c>
      <c r="M15" s="29">
        <v>0.99705780581648595</v>
      </c>
    </row>
    <row r="16" spans="1:31" x14ac:dyDescent="0.25">
      <c r="A16" s="5" t="s">
        <v>6</v>
      </c>
      <c r="B16" s="5" t="s">
        <v>70</v>
      </c>
      <c r="C16" s="5" t="s">
        <v>18</v>
      </c>
      <c r="D16" s="5" t="s">
        <v>8</v>
      </c>
      <c r="E16" s="6" t="s">
        <v>27</v>
      </c>
      <c r="F16" s="14">
        <v>0.39246704557808698</v>
      </c>
      <c r="G16" s="14">
        <v>0.90541846492340505</v>
      </c>
      <c r="H16" s="15">
        <v>0.184907346143039</v>
      </c>
      <c r="I16" s="14">
        <v>2531</v>
      </c>
      <c r="J16" s="14">
        <v>2726.1212938005401</v>
      </c>
      <c r="K16" s="15">
        <v>2722.8444210244402</v>
      </c>
      <c r="L16" s="14">
        <v>7.0951938791649596</v>
      </c>
      <c r="M16" s="29">
        <v>0.99786325011454202</v>
      </c>
    </row>
    <row r="17" spans="1:13" x14ac:dyDescent="0.25">
      <c r="A17" s="5" t="s">
        <v>6</v>
      </c>
      <c r="B17" s="5" t="s">
        <v>70</v>
      </c>
      <c r="C17" s="5" t="s">
        <v>18</v>
      </c>
      <c r="D17" s="5" t="s">
        <v>11</v>
      </c>
      <c r="E17" s="6" t="s">
        <v>28</v>
      </c>
      <c r="F17" s="14">
        <v>0.35115356496339001</v>
      </c>
      <c r="G17" s="14">
        <v>0.88747381719161</v>
      </c>
      <c r="H17" s="15">
        <v>0.14135678646391001</v>
      </c>
      <c r="I17" s="14">
        <v>2435</v>
      </c>
      <c r="J17" s="14">
        <v>2694.8545994065298</v>
      </c>
      <c r="K17" s="15">
        <v>2665.1467413290302</v>
      </c>
      <c r="L17" s="14">
        <v>6.9202563907827903</v>
      </c>
      <c r="M17" s="29">
        <v>0.997094744240138</v>
      </c>
    </row>
    <row r="18" spans="1:13" x14ac:dyDescent="0.25">
      <c r="A18" s="5" t="s">
        <v>6</v>
      </c>
      <c r="B18" s="5" t="s">
        <v>70</v>
      </c>
      <c r="C18" s="5" t="s">
        <v>17</v>
      </c>
      <c r="D18" s="5" t="s">
        <v>14</v>
      </c>
      <c r="E18" s="6" t="s">
        <v>281</v>
      </c>
      <c r="F18" s="14">
        <v>0.30420036176446702</v>
      </c>
      <c r="G18" s="14">
        <v>0.79805441081870299</v>
      </c>
      <c r="H18" s="15">
        <v>4.3093900112896502E-2</v>
      </c>
      <c r="I18" s="14">
        <v>1490</v>
      </c>
      <c r="J18" s="14">
        <v>1610.09574468085</v>
      </c>
      <c r="K18" s="15">
        <v>1598.11601920411</v>
      </c>
      <c r="L18" s="14">
        <v>5.8310096107090201</v>
      </c>
      <c r="M18" s="29">
        <v>0.98442608030744305</v>
      </c>
    </row>
    <row r="19" spans="1:13" x14ac:dyDescent="0.25">
      <c r="A19" s="5" t="s">
        <v>29</v>
      </c>
      <c r="B19" s="5" t="s">
        <v>69</v>
      </c>
      <c r="C19" s="5" t="s">
        <v>7</v>
      </c>
      <c r="D19" s="5" t="s">
        <v>8</v>
      </c>
      <c r="E19" s="6" t="s">
        <v>30</v>
      </c>
      <c r="F19" s="14">
        <v>0.336236595438485</v>
      </c>
      <c r="G19" s="14">
        <v>0.85984519254700897</v>
      </c>
      <c r="H19" s="15">
        <v>6.0523873213711797E-2</v>
      </c>
      <c r="I19" s="14">
        <v>2441</v>
      </c>
      <c r="J19" s="14">
        <v>2637.5025252525302</v>
      </c>
      <c r="K19" s="15">
        <v>2644.1833622407898</v>
      </c>
      <c r="L19" s="14">
        <v>6.7069327171601003</v>
      </c>
      <c r="M19" s="29">
        <v>0.99323129623022099</v>
      </c>
    </row>
    <row r="20" spans="1:13" x14ac:dyDescent="0.25">
      <c r="A20" s="5" t="s">
        <v>29</v>
      </c>
      <c r="B20" s="5" t="s">
        <v>69</v>
      </c>
      <c r="C20" s="5" t="s">
        <v>7</v>
      </c>
      <c r="D20" s="5" t="s">
        <v>8</v>
      </c>
      <c r="E20" s="6" t="s">
        <v>31</v>
      </c>
      <c r="F20" s="14">
        <v>0.21344100647160399</v>
      </c>
      <c r="G20" s="14">
        <v>0.67856611502222697</v>
      </c>
      <c r="H20" s="15">
        <v>1.1235443315578301E-2</v>
      </c>
      <c r="I20" s="14">
        <v>1353</v>
      </c>
      <c r="J20" s="14">
        <v>1450.3452380952399</v>
      </c>
      <c r="K20" s="15">
        <v>1478.94967122408</v>
      </c>
      <c r="L20" s="14">
        <v>4.8925157222887599</v>
      </c>
      <c r="M20" s="29">
        <v>0.93421725522399901</v>
      </c>
    </row>
    <row r="21" spans="1:13" x14ac:dyDescent="0.25">
      <c r="A21" s="5" t="s">
        <v>29</v>
      </c>
      <c r="B21" s="5" t="s">
        <v>69</v>
      </c>
      <c r="C21" s="5" t="s">
        <v>7</v>
      </c>
      <c r="D21" s="5" t="s">
        <v>8</v>
      </c>
      <c r="E21" s="6" t="s">
        <v>32</v>
      </c>
      <c r="F21" s="14">
        <v>0.209225642728465</v>
      </c>
      <c r="G21" s="14">
        <v>0.58301558575564805</v>
      </c>
      <c r="H21" s="15">
        <v>7.4340898867871E-3</v>
      </c>
      <c r="I21" s="14">
        <v>917</v>
      </c>
      <c r="J21" s="14">
        <v>977.34682080924904</v>
      </c>
      <c r="K21" s="15">
        <v>992.90717708890895</v>
      </c>
      <c r="L21" s="14">
        <v>3.9768119684398302</v>
      </c>
      <c r="M21" s="29">
        <v>0.853309206977382</v>
      </c>
    </row>
    <row r="22" spans="1:13" x14ac:dyDescent="0.25">
      <c r="A22" s="5" t="s">
        <v>29</v>
      </c>
      <c r="B22" s="5" t="s">
        <v>69</v>
      </c>
      <c r="C22" s="5" t="s">
        <v>7</v>
      </c>
      <c r="D22" s="5" t="s">
        <v>11</v>
      </c>
      <c r="E22" s="6" t="s">
        <v>33</v>
      </c>
      <c r="F22" s="14">
        <v>0.236188483937984</v>
      </c>
      <c r="G22" s="14">
        <v>0.75633143206280495</v>
      </c>
      <c r="H22" s="15">
        <v>3.2414269364563902E-2</v>
      </c>
      <c r="I22" s="14">
        <v>1676</v>
      </c>
      <c r="J22" s="14">
        <v>1807.5416666666699</v>
      </c>
      <c r="K22" s="15">
        <v>1836.43969679573</v>
      </c>
      <c r="L22" s="14">
        <v>5.6151295588814696</v>
      </c>
      <c r="M22" s="29">
        <v>0.98159271447687002</v>
      </c>
    </row>
    <row r="23" spans="1:13" x14ac:dyDescent="0.25">
      <c r="A23" s="5" t="s">
        <v>29</v>
      </c>
      <c r="B23" s="5" t="s">
        <v>69</v>
      </c>
      <c r="C23" s="5" t="s">
        <v>7</v>
      </c>
      <c r="D23" s="5" t="s">
        <v>11</v>
      </c>
      <c r="E23" s="6" t="s">
        <v>34</v>
      </c>
      <c r="F23" s="14">
        <v>0.24161005746657699</v>
      </c>
      <c r="G23" s="14">
        <v>0.64084034509062704</v>
      </c>
      <c r="H23" s="15">
        <v>1.7711493783115099E-2</v>
      </c>
      <c r="I23" s="14">
        <v>994</v>
      </c>
      <c r="J23" s="14">
        <v>1066.11046511628</v>
      </c>
      <c r="K23" s="15">
        <v>1082.3528648743199</v>
      </c>
      <c r="L23" s="14">
        <v>4.4229116532386197</v>
      </c>
      <c r="M23" s="29">
        <v>0.94319868049396804</v>
      </c>
    </row>
    <row r="24" spans="1:13" x14ac:dyDescent="0.25">
      <c r="A24" s="5" t="s">
        <v>29</v>
      </c>
      <c r="B24" s="5" t="s">
        <v>69</v>
      </c>
      <c r="C24" s="5" t="s">
        <v>7</v>
      </c>
      <c r="D24" s="5" t="s">
        <v>11</v>
      </c>
      <c r="E24" s="6" t="s">
        <v>35</v>
      </c>
      <c r="F24" s="14">
        <v>0.13964764146973299</v>
      </c>
      <c r="G24" s="14">
        <v>0.42472902526779799</v>
      </c>
      <c r="H24" s="15">
        <v>4.8367907218889996E-3</v>
      </c>
      <c r="I24" s="14">
        <v>632</v>
      </c>
      <c r="J24" s="14">
        <v>783.67567567567596</v>
      </c>
      <c r="K24" s="15">
        <v>802.92691390708399</v>
      </c>
      <c r="L24" s="14">
        <v>2.7390305064358298</v>
      </c>
      <c r="M24" s="29">
        <v>0.67286604445133003</v>
      </c>
    </row>
    <row r="25" spans="1:13" x14ac:dyDescent="0.25">
      <c r="A25" s="5" t="s">
        <v>29</v>
      </c>
      <c r="B25" s="5" t="s">
        <v>69</v>
      </c>
      <c r="C25" s="5" t="s">
        <v>13</v>
      </c>
      <c r="D25" s="5" t="s">
        <v>14</v>
      </c>
      <c r="E25" s="6" t="s">
        <v>36</v>
      </c>
      <c r="F25" s="14">
        <v>0.23335233532883601</v>
      </c>
      <c r="G25" s="14">
        <v>0.76601805656656397</v>
      </c>
      <c r="H25" s="15">
        <v>5.2240676289827898E-2</v>
      </c>
      <c r="I25" s="14">
        <v>1295</v>
      </c>
      <c r="J25" s="14">
        <v>1389.4210526315801</v>
      </c>
      <c r="K25" s="15">
        <v>1410.24861429727</v>
      </c>
      <c r="L25" s="14">
        <v>5.4894891343449403</v>
      </c>
      <c r="M25" s="29">
        <v>0.98521840016165496</v>
      </c>
    </row>
    <row r="26" spans="1:13" x14ac:dyDescent="0.25">
      <c r="A26" s="5" t="s">
        <v>29</v>
      </c>
      <c r="B26" s="5" t="s">
        <v>69</v>
      </c>
      <c r="C26" s="5" t="s">
        <v>13</v>
      </c>
      <c r="D26" s="5" t="s">
        <v>14</v>
      </c>
      <c r="E26" s="6" t="s">
        <v>37</v>
      </c>
      <c r="F26" s="14">
        <v>0.197760750786067</v>
      </c>
      <c r="G26" s="14">
        <v>0.69017053119318705</v>
      </c>
      <c r="H26" s="15">
        <v>2.3277452055434099E-2</v>
      </c>
      <c r="I26" s="14">
        <v>1361</v>
      </c>
      <c r="J26" s="14">
        <v>1511.40234375</v>
      </c>
      <c r="K26" s="15">
        <v>1532.5097775076599</v>
      </c>
      <c r="L26" s="14">
        <v>4.9802533006567202</v>
      </c>
      <c r="M26" s="29">
        <v>0.96843495346019903</v>
      </c>
    </row>
    <row r="27" spans="1:13" x14ac:dyDescent="0.25">
      <c r="A27" s="5" t="s">
        <v>29</v>
      </c>
      <c r="B27" s="5" t="s">
        <v>69</v>
      </c>
      <c r="C27" s="5" t="s">
        <v>13</v>
      </c>
      <c r="D27" s="5" t="s">
        <v>14</v>
      </c>
      <c r="E27" s="6" t="s">
        <v>38</v>
      </c>
      <c r="F27" s="14">
        <v>0.25086842090022599</v>
      </c>
      <c r="G27" s="14">
        <v>0.62511285696617802</v>
      </c>
      <c r="H27" s="15">
        <v>1.0750643991045901E-2</v>
      </c>
      <c r="I27" s="14">
        <v>865</v>
      </c>
      <c r="J27" s="14">
        <v>912.030303030303</v>
      </c>
      <c r="K27" s="15">
        <v>906.95568568635599</v>
      </c>
      <c r="L27" s="14">
        <v>4.22746916296766</v>
      </c>
      <c r="M27" s="29">
        <v>0.89246510579973404</v>
      </c>
    </row>
    <row r="28" spans="1:13" x14ac:dyDescent="0.25">
      <c r="A28" s="5" t="s">
        <v>29</v>
      </c>
      <c r="B28" s="5" t="s">
        <v>69</v>
      </c>
      <c r="C28" s="5" t="s">
        <v>45</v>
      </c>
      <c r="D28" s="5" t="s">
        <v>14</v>
      </c>
      <c r="E28" s="6" t="s">
        <v>287</v>
      </c>
      <c r="F28" s="14">
        <v>0.17888318351041099</v>
      </c>
      <c r="G28" s="14">
        <v>0.58614840020398795</v>
      </c>
      <c r="H28" s="15">
        <v>1.8041946061442299E-2</v>
      </c>
      <c r="I28" s="14">
        <v>602</v>
      </c>
      <c r="J28" s="14">
        <v>755.07500000000005</v>
      </c>
      <c r="K28" s="15">
        <v>742.57552728288704</v>
      </c>
      <c r="L28" s="14">
        <v>3.7515006624614302</v>
      </c>
      <c r="M28" s="29">
        <v>0.90792957907925798</v>
      </c>
    </row>
    <row r="29" spans="1:13" x14ac:dyDescent="0.25">
      <c r="A29" s="5" t="s">
        <v>29</v>
      </c>
      <c r="B29" s="5" t="s">
        <v>69</v>
      </c>
      <c r="C29" s="5" t="s">
        <v>45</v>
      </c>
      <c r="D29" s="5" t="s">
        <v>14</v>
      </c>
      <c r="E29" s="6" t="s">
        <v>288</v>
      </c>
      <c r="F29" s="14">
        <v>0.334868396134409</v>
      </c>
      <c r="G29" s="14">
        <v>0.84788039951190197</v>
      </c>
      <c r="H29" s="15">
        <v>5.8765610834063002E-2</v>
      </c>
      <c r="I29" s="14">
        <v>2311</v>
      </c>
      <c r="J29" s="14">
        <v>2559.61559888579</v>
      </c>
      <c r="K29" s="15">
        <v>2550.4129039836498</v>
      </c>
      <c r="L29" s="14">
        <v>6.56720303963316</v>
      </c>
      <c r="M29" s="29">
        <v>0.99263662701594102</v>
      </c>
    </row>
    <row r="30" spans="1:13" x14ac:dyDescent="0.25">
      <c r="A30" s="5" t="s">
        <v>29</v>
      </c>
      <c r="B30" s="5" t="s">
        <v>69</v>
      </c>
      <c r="C30" s="5" t="s">
        <v>45</v>
      </c>
      <c r="D30" s="5" t="s">
        <v>14</v>
      </c>
      <c r="E30" s="6" t="s">
        <v>289</v>
      </c>
      <c r="F30" s="14">
        <v>0.20537276552668399</v>
      </c>
      <c r="G30" s="14">
        <v>0.73183064207037496</v>
      </c>
      <c r="H30" s="15">
        <v>3.8535737136301498E-2</v>
      </c>
      <c r="I30" s="14">
        <v>1483</v>
      </c>
      <c r="J30" s="14">
        <v>1659.4893617021301</v>
      </c>
      <c r="K30" s="15">
        <v>1687.5835987508201</v>
      </c>
      <c r="L30" s="14">
        <v>5.3436973329306099</v>
      </c>
      <c r="M30" s="29">
        <v>0.98250172739499797</v>
      </c>
    </row>
    <row r="31" spans="1:13" x14ac:dyDescent="0.25">
      <c r="A31" s="5" t="s">
        <v>29</v>
      </c>
      <c r="B31" s="5" t="s">
        <v>69</v>
      </c>
      <c r="C31" s="5" t="s">
        <v>18</v>
      </c>
      <c r="D31" s="5" t="s">
        <v>8</v>
      </c>
      <c r="E31" s="6" t="s">
        <v>39</v>
      </c>
      <c r="F31" s="14">
        <v>0.121602655018722</v>
      </c>
      <c r="G31" s="14">
        <v>0.48351304866627498</v>
      </c>
      <c r="H31" s="15">
        <v>6.5155722813202803E-3</v>
      </c>
      <c r="I31" s="14">
        <v>728</v>
      </c>
      <c r="J31" s="14">
        <v>826.90551181102398</v>
      </c>
      <c r="K31" s="15">
        <v>833.80828386305404</v>
      </c>
      <c r="L31" s="14">
        <v>3.1864965514421302</v>
      </c>
      <c r="M31" s="29">
        <v>0.789177939508941</v>
      </c>
    </row>
    <row r="32" spans="1:13" x14ac:dyDescent="0.25">
      <c r="A32" s="5" t="s">
        <v>29</v>
      </c>
      <c r="B32" s="5" t="s">
        <v>69</v>
      </c>
      <c r="C32" s="5" t="s">
        <v>18</v>
      </c>
      <c r="D32" s="5" t="s">
        <v>8</v>
      </c>
      <c r="E32" s="6" t="s">
        <v>40</v>
      </c>
      <c r="F32" s="14">
        <v>0.15425502531386201</v>
      </c>
      <c r="G32" s="14">
        <v>0.54692671291092898</v>
      </c>
      <c r="H32" s="15">
        <v>1.5899276203762299E-2</v>
      </c>
      <c r="I32" s="14">
        <v>493</v>
      </c>
      <c r="J32" s="14">
        <v>552.22077922077904</v>
      </c>
      <c r="K32" s="15">
        <v>557.05445674441103</v>
      </c>
      <c r="L32" s="14">
        <v>3.39122410093323</v>
      </c>
      <c r="M32" s="29">
        <v>0.87242201846629197</v>
      </c>
    </row>
    <row r="33" spans="1:13" x14ac:dyDescent="0.25">
      <c r="A33" s="5" t="s">
        <v>29</v>
      </c>
      <c r="B33" s="5" t="s">
        <v>69</v>
      </c>
      <c r="C33" s="5" t="s">
        <v>18</v>
      </c>
      <c r="D33" s="5" t="s">
        <v>8</v>
      </c>
      <c r="E33" s="6" t="s">
        <v>41</v>
      </c>
      <c r="F33" s="14">
        <v>0.135321714313624</v>
      </c>
      <c r="G33" s="14">
        <v>0.59360331717243997</v>
      </c>
      <c r="H33" s="15">
        <v>2.4912104539767901E-2</v>
      </c>
      <c r="I33" s="14">
        <v>690</v>
      </c>
      <c r="J33" s="14">
        <v>795.70909090909095</v>
      </c>
      <c r="K33" s="15">
        <v>794.35543259718304</v>
      </c>
      <c r="L33" s="14">
        <v>3.8802018156634102</v>
      </c>
      <c r="M33" s="29">
        <v>0.94182445084054101</v>
      </c>
    </row>
    <row r="34" spans="1:13" x14ac:dyDescent="0.25">
      <c r="A34" s="5" t="s">
        <v>29</v>
      </c>
      <c r="B34" s="5" t="s">
        <v>69</v>
      </c>
      <c r="C34" s="5" t="s">
        <v>18</v>
      </c>
      <c r="D34" s="5" t="s">
        <v>11</v>
      </c>
      <c r="E34" s="6" t="s">
        <v>42</v>
      </c>
      <c r="F34" s="14">
        <v>0.25167743647337898</v>
      </c>
      <c r="G34" s="14">
        <v>0.68265706962151196</v>
      </c>
      <c r="H34" s="15">
        <v>8.9021392387936705E-3</v>
      </c>
      <c r="I34" s="14">
        <v>1819</v>
      </c>
      <c r="J34" s="14">
        <v>1946.6385869565199</v>
      </c>
      <c r="K34" s="15">
        <v>1983.21041584874</v>
      </c>
      <c r="L34" s="14">
        <v>5.1240527580426498</v>
      </c>
      <c r="M34" s="29">
        <v>0.93824488737165601</v>
      </c>
    </row>
    <row r="35" spans="1:13" x14ac:dyDescent="0.25">
      <c r="A35" s="5" t="s">
        <v>29</v>
      </c>
      <c r="B35" s="5" t="s">
        <v>69</v>
      </c>
      <c r="C35" s="5" t="s">
        <v>18</v>
      </c>
      <c r="D35" s="5" t="s">
        <v>11</v>
      </c>
      <c r="E35" s="6" t="s">
        <v>43</v>
      </c>
      <c r="F35" s="14">
        <v>0.26071838462542501</v>
      </c>
      <c r="G35" s="14">
        <v>0.70492383114360202</v>
      </c>
      <c r="H35" s="15">
        <v>5.6917010179153996E-3</v>
      </c>
      <c r="I35" s="14">
        <v>2203</v>
      </c>
      <c r="J35" s="14">
        <v>2418.6617647058802</v>
      </c>
      <c r="K35" s="15">
        <v>2441.1826176269001</v>
      </c>
      <c r="L35" s="14">
        <v>5.4262043039844503</v>
      </c>
      <c r="M35" s="29">
        <v>0.92024766190563201</v>
      </c>
    </row>
    <row r="36" spans="1:13" x14ac:dyDescent="0.25">
      <c r="A36" s="5" t="s">
        <v>29</v>
      </c>
      <c r="B36" s="5" t="s">
        <v>69</v>
      </c>
      <c r="C36" s="5" t="s">
        <v>18</v>
      </c>
      <c r="D36" s="5" t="s">
        <v>11</v>
      </c>
      <c r="E36" s="6" t="s">
        <v>44</v>
      </c>
      <c r="F36" s="14">
        <v>0.220182081706609</v>
      </c>
      <c r="G36" s="14">
        <v>0.65160080736862303</v>
      </c>
      <c r="H36" s="15">
        <v>1.3648368315346399E-2</v>
      </c>
      <c r="I36" s="14">
        <v>1319</v>
      </c>
      <c r="J36" s="14">
        <v>1462.0769230769199</v>
      </c>
      <c r="K36" s="15">
        <v>1501.0187009793799</v>
      </c>
      <c r="L36" s="14">
        <v>4.6815101565547499</v>
      </c>
      <c r="M36" s="29">
        <v>0.94445122697413997</v>
      </c>
    </row>
    <row r="37" spans="1:13" x14ac:dyDescent="0.25">
      <c r="A37" s="5" t="s">
        <v>29</v>
      </c>
      <c r="B37" s="5" t="s">
        <v>69</v>
      </c>
      <c r="C37" s="5" t="s">
        <v>17</v>
      </c>
      <c r="D37" s="5" t="s">
        <v>14</v>
      </c>
      <c r="E37" s="6" t="s">
        <v>282</v>
      </c>
      <c r="F37" s="14">
        <v>0.35828524771647402</v>
      </c>
      <c r="G37" s="14">
        <v>0.87237365034039105</v>
      </c>
      <c r="H37" s="15">
        <v>7.4487467839292304E-2</v>
      </c>
      <c r="I37" s="14">
        <v>2774</v>
      </c>
      <c r="J37" s="14">
        <v>3090.6857798165101</v>
      </c>
      <c r="K37" s="15">
        <v>3073.40203101421</v>
      </c>
      <c r="L37" s="14">
        <v>6.9162180809002098</v>
      </c>
      <c r="M37" s="29">
        <v>0.99516039036874504</v>
      </c>
    </row>
    <row r="38" spans="1:13" x14ac:dyDescent="0.25">
      <c r="A38" s="5" t="s">
        <v>29</v>
      </c>
      <c r="B38" s="5" t="s">
        <v>69</v>
      </c>
      <c r="C38" s="5" t="s">
        <v>17</v>
      </c>
      <c r="D38" s="5" t="s">
        <v>14</v>
      </c>
      <c r="E38" s="6" t="s">
        <v>283</v>
      </c>
      <c r="F38" s="14">
        <v>0.22431537493769199</v>
      </c>
      <c r="G38" s="14">
        <v>0.68399126702464297</v>
      </c>
      <c r="H38" s="15">
        <v>1.0023332714452E-2</v>
      </c>
      <c r="I38" s="14">
        <v>1735</v>
      </c>
      <c r="J38" s="14">
        <v>1907.12396694215</v>
      </c>
      <c r="K38" s="15">
        <v>1960.27088254664</v>
      </c>
      <c r="L38" s="14">
        <v>5.1017285443977904</v>
      </c>
      <c r="M38" s="29">
        <v>0.94249728184223003</v>
      </c>
    </row>
    <row r="39" spans="1:13" x14ac:dyDescent="0.25">
      <c r="A39" s="5" t="s">
        <v>29</v>
      </c>
      <c r="B39" s="5" t="s">
        <v>69</v>
      </c>
      <c r="C39" s="5" t="s">
        <v>17</v>
      </c>
      <c r="D39" s="5" t="s">
        <v>14</v>
      </c>
      <c r="E39" s="6" t="s">
        <v>284</v>
      </c>
      <c r="F39" s="14">
        <v>0.27742245465954202</v>
      </c>
      <c r="G39" s="14">
        <v>0.78847172990190395</v>
      </c>
      <c r="H39" s="15">
        <v>4.1526249811661899E-2</v>
      </c>
      <c r="I39" s="14">
        <v>1912</v>
      </c>
      <c r="J39" s="14">
        <v>2215.58139534884</v>
      </c>
      <c r="K39" s="15">
        <v>2196.1403048405</v>
      </c>
      <c r="L39" s="14">
        <v>5.9576175601343504</v>
      </c>
      <c r="M39" s="29">
        <v>0.98740525439515203</v>
      </c>
    </row>
    <row r="40" spans="1:13" x14ac:dyDescent="0.25">
      <c r="A40" s="5" t="s">
        <v>29</v>
      </c>
      <c r="B40" s="5" t="s">
        <v>69</v>
      </c>
      <c r="C40" s="5" t="s">
        <v>20</v>
      </c>
      <c r="D40" s="5" t="s">
        <v>14</v>
      </c>
      <c r="E40" s="6" t="s">
        <v>46</v>
      </c>
      <c r="F40" s="14">
        <v>0.23542497459599099</v>
      </c>
      <c r="G40" s="14">
        <v>0.73314737346272596</v>
      </c>
      <c r="H40" s="15">
        <v>3.39130374564727E-2</v>
      </c>
      <c r="I40" s="14">
        <v>1432</v>
      </c>
      <c r="J40" s="14">
        <v>1621.87148594378</v>
      </c>
      <c r="K40" s="15">
        <v>1635.2264318029199</v>
      </c>
      <c r="L40" s="14">
        <v>5.3276553832418303</v>
      </c>
      <c r="M40" s="29">
        <v>0.97940839055650297</v>
      </c>
    </row>
    <row r="41" spans="1:13" x14ac:dyDescent="0.25">
      <c r="A41" s="5" t="s">
        <v>29</v>
      </c>
      <c r="B41" s="5" t="s">
        <v>69</v>
      </c>
      <c r="C41" s="5" t="s">
        <v>20</v>
      </c>
      <c r="D41" s="5" t="s">
        <v>14</v>
      </c>
      <c r="E41" s="6" t="s">
        <v>47</v>
      </c>
      <c r="F41" s="14">
        <v>0.256620986460044</v>
      </c>
      <c r="G41" s="14">
        <v>0.69034725760513904</v>
      </c>
      <c r="H41" s="15">
        <v>8.0734904125603201E-3</v>
      </c>
      <c r="I41" s="14">
        <v>1624</v>
      </c>
      <c r="J41" s="14">
        <v>1882.38325991189</v>
      </c>
      <c r="K41" s="15">
        <v>1833.32609127723</v>
      </c>
      <c r="L41" s="14">
        <v>5.1034939423715997</v>
      </c>
      <c r="M41" s="29">
        <v>0.92373019408804202</v>
      </c>
    </row>
    <row r="42" spans="1:13" x14ac:dyDescent="0.25">
      <c r="A42" s="5" t="s">
        <v>29</v>
      </c>
      <c r="B42" s="5" t="s">
        <v>70</v>
      </c>
      <c r="C42" s="5" t="s">
        <v>7</v>
      </c>
      <c r="D42" s="5" t="s">
        <v>8</v>
      </c>
      <c r="E42" s="6" t="s">
        <v>48</v>
      </c>
      <c r="F42" s="14">
        <v>0.33418853666599402</v>
      </c>
      <c r="G42" s="14">
        <v>0.73686046434210795</v>
      </c>
      <c r="H42" s="15">
        <v>5.7197466808256499E-2</v>
      </c>
      <c r="I42" s="14">
        <v>572</v>
      </c>
      <c r="J42" s="14">
        <v>587.53571428571399</v>
      </c>
      <c r="K42" s="15">
        <v>581.77684985298004</v>
      </c>
      <c r="L42" s="14">
        <v>4.6784295053607003</v>
      </c>
      <c r="M42" s="29">
        <v>0.96943480461971498</v>
      </c>
    </row>
    <row r="43" spans="1:13" x14ac:dyDescent="0.25">
      <c r="A43" s="5" t="s">
        <v>29</v>
      </c>
      <c r="B43" s="5" t="s">
        <v>70</v>
      </c>
      <c r="C43" s="5" t="s">
        <v>7</v>
      </c>
      <c r="D43" s="5" t="s">
        <v>8</v>
      </c>
      <c r="E43" s="6" t="s">
        <v>49</v>
      </c>
      <c r="F43" s="14">
        <v>0.21167826501883499</v>
      </c>
      <c r="G43" s="14">
        <v>0.67806820844924098</v>
      </c>
      <c r="H43" s="15">
        <v>4.4305104546466897E-2</v>
      </c>
      <c r="I43" s="14">
        <v>670</v>
      </c>
      <c r="J43" s="14">
        <v>712.02884615384596</v>
      </c>
      <c r="K43" s="15">
        <v>721.61993403494</v>
      </c>
      <c r="L43" s="14">
        <v>4.4123781403185802</v>
      </c>
      <c r="M43" s="29">
        <v>0.96631229451524103</v>
      </c>
    </row>
    <row r="44" spans="1:13" x14ac:dyDescent="0.25">
      <c r="A44" s="5" t="s">
        <v>29</v>
      </c>
      <c r="B44" s="5" t="s">
        <v>70</v>
      </c>
      <c r="C44" s="5" t="s">
        <v>7</v>
      </c>
      <c r="D44" s="5" t="s">
        <v>8</v>
      </c>
      <c r="E44" s="6" t="s">
        <v>50</v>
      </c>
      <c r="F44" s="14">
        <v>0.246597236674789</v>
      </c>
      <c r="G44" s="14">
        <v>0.69020566867253497</v>
      </c>
      <c r="H44" s="15">
        <v>1.9805993121771399E-2</v>
      </c>
      <c r="I44" s="14">
        <v>1074</v>
      </c>
      <c r="J44" s="14">
        <v>1156.88194444444</v>
      </c>
      <c r="K44" s="15">
        <v>1153.81406490526</v>
      </c>
      <c r="L44" s="14">
        <v>4.8170456313416299</v>
      </c>
      <c r="M44" s="29">
        <v>0.95298904272372298</v>
      </c>
    </row>
    <row r="45" spans="1:13" x14ac:dyDescent="0.25">
      <c r="A45" s="5" t="s">
        <v>29</v>
      </c>
      <c r="B45" s="5" t="s">
        <v>70</v>
      </c>
      <c r="C45" s="5" t="s">
        <v>7</v>
      </c>
      <c r="D45" s="5" t="s">
        <v>11</v>
      </c>
      <c r="E45" s="6" t="s">
        <v>51</v>
      </c>
      <c r="F45" s="14">
        <v>0.132873149417811</v>
      </c>
      <c r="G45" s="14">
        <v>0.52325824408275601</v>
      </c>
      <c r="H45" s="15">
        <v>1.0424416141505801E-2</v>
      </c>
      <c r="I45" s="14">
        <v>657</v>
      </c>
      <c r="J45" s="14">
        <v>790.16666666666697</v>
      </c>
      <c r="K45" s="15">
        <v>816.58955518431003</v>
      </c>
      <c r="L45" s="14">
        <v>3.3947341476760098</v>
      </c>
      <c r="M45" s="29">
        <v>0.85398990269004704</v>
      </c>
    </row>
    <row r="46" spans="1:13" x14ac:dyDescent="0.25">
      <c r="A46" s="5" t="s">
        <v>29</v>
      </c>
      <c r="B46" s="5" t="s">
        <v>70</v>
      </c>
      <c r="C46" s="5" t="s">
        <v>7</v>
      </c>
      <c r="D46" s="5" t="s">
        <v>11</v>
      </c>
      <c r="E46" s="6" t="s">
        <v>52</v>
      </c>
      <c r="F46" s="14">
        <v>0.121586836427098</v>
      </c>
      <c r="G46" s="14">
        <v>0.49823322142919002</v>
      </c>
      <c r="H46" s="15">
        <v>1.1556441909703501E-2</v>
      </c>
      <c r="I46" s="14">
        <v>586</v>
      </c>
      <c r="J46" s="14">
        <v>630</v>
      </c>
      <c r="K46" s="15">
        <v>630.91123360640802</v>
      </c>
      <c r="L46" s="14">
        <v>3.1753996499593602</v>
      </c>
      <c r="M46" s="29">
        <v>0.85233477094663901</v>
      </c>
    </row>
    <row r="47" spans="1:13" x14ac:dyDescent="0.25">
      <c r="A47" s="5" t="s">
        <v>29</v>
      </c>
      <c r="B47" s="5" t="s">
        <v>70</v>
      </c>
      <c r="C47" s="5" t="s">
        <v>7</v>
      </c>
      <c r="D47" s="5" t="s">
        <v>11</v>
      </c>
      <c r="E47" s="6" t="s">
        <v>53</v>
      </c>
      <c r="F47" s="14">
        <v>0.15056326861857999</v>
      </c>
      <c r="G47" s="14">
        <v>0.53191980259682303</v>
      </c>
      <c r="H47" s="15">
        <v>7.57776997008636E-3</v>
      </c>
      <c r="I47" s="14">
        <v>967</v>
      </c>
      <c r="J47" s="14">
        <v>1122.8</v>
      </c>
      <c r="K47" s="15">
        <v>1151.5821285500101</v>
      </c>
      <c r="L47" s="14">
        <v>3.65652230671289</v>
      </c>
      <c r="M47" s="29">
        <v>0.86353159735988305</v>
      </c>
    </row>
    <row r="48" spans="1:13" x14ac:dyDescent="0.25">
      <c r="A48" s="5" t="s">
        <v>29</v>
      </c>
      <c r="B48" s="5" t="s">
        <v>70</v>
      </c>
      <c r="C48" s="5" t="s">
        <v>13</v>
      </c>
      <c r="D48" s="5" t="s">
        <v>14</v>
      </c>
      <c r="E48" s="6" t="s">
        <v>54</v>
      </c>
      <c r="F48" s="14">
        <v>0.26341278154398701</v>
      </c>
      <c r="G48" s="14">
        <v>0.76821490566403905</v>
      </c>
      <c r="H48" s="15">
        <v>2.9445795273320099E-2</v>
      </c>
      <c r="I48" s="14">
        <v>2184</v>
      </c>
      <c r="J48" s="14">
        <v>2492.77577319588</v>
      </c>
      <c r="K48" s="15">
        <v>2498.9781232862401</v>
      </c>
      <c r="L48" s="14">
        <v>5.9067378337385597</v>
      </c>
      <c r="M48" s="29">
        <v>0.98445022613159605</v>
      </c>
    </row>
    <row r="49" spans="1:13" x14ac:dyDescent="0.25">
      <c r="A49" s="5" t="s">
        <v>29</v>
      </c>
      <c r="B49" s="5" t="s">
        <v>70</v>
      </c>
      <c r="C49" s="5" t="s">
        <v>13</v>
      </c>
      <c r="D49" s="5" t="s">
        <v>14</v>
      </c>
      <c r="E49" s="6" t="s">
        <v>55</v>
      </c>
      <c r="F49" s="14">
        <v>0.25364543375964099</v>
      </c>
      <c r="G49" s="14">
        <v>0.75792905737188698</v>
      </c>
      <c r="H49" s="15">
        <v>4.8933000281786501E-2</v>
      </c>
      <c r="I49" s="14">
        <v>1206</v>
      </c>
      <c r="J49" s="14">
        <v>1286.12138728324</v>
      </c>
      <c r="K49" s="15">
        <v>1290.09543685116</v>
      </c>
      <c r="L49" s="14">
        <v>5.3775554554700902</v>
      </c>
      <c r="M49" s="29">
        <v>0.98305463814651495</v>
      </c>
    </row>
    <row r="50" spans="1:13" x14ac:dyDescent="0.25">
      <c r="A50" s="5" t="s">
        <v>29</v>
      </c>
      <c r="B50" s="5" t="s">
        <v>70</v>
      </c>
      <c r="C50" s="5" t="s">
        <v>13</v>
      </c>
      <c r="D50" s="5" t="s">
        <v>14</v>
      </c>
      <c r="E50" s="6" t="s">
        <v>56</v>
      </c>
      <c r="F50" s="14">
        <v>0.19283288610861499</v>
      </c>
      <c r="G50" s="14">
        <v>0.63793942200669396</v>
      </c>
      <c r="H50" s="15">
        <v>2.5920138177807601E-2</v>
      </c>
      <c r="I50" s="14">
        <v>873</v>
      </c>
      <c r="J50" s="14">
        <v>1002.53987730061</v>
      </c>
      <c r="K50" s="15">
        <v>1020.50093355374</v>
      </c>
      <c r="L50" s="14">
        <v>4.3200846543588902</v>
      </c>
      <c r="M50" s="29">
        <v>0.95580751289126098</v>
      </c>
    </row>
    <row r="51" spans="1:13" x14ac:dyDescent="0.25">
      <c r="A51" s="5" t="s">
        <v>29</v>
      </c>
      <c r="B51" s="5" t="s">
        <v>70</v>
      </c>
      <c r="C51" s="5" t="s">
        <v>45</v>
      </c>
      <c r="D51" s="5" t="s">
        <v>14</v>
      </c>
      <c r="E51" s="6" t="s">
        <v>290</v>
      </c>
      <c r="F51" s="14">
        <v>0.252231182607355</v>
      </c>
      <c r="G51" s="14">
        <v>0.70965963608025895</v>
      </c>
      <c r="H51" s="15">
        <v>2.5364827837955201E-2</v>
      </c>
      <c r="I51" s="14">
        <v>1170</v>
      </c>
      <c r="J51" s="14">
        <v>1250.5</v>
      </c>
      <c r="K51" s="15">
        <v>1249.3982210189699</v>
      </c>
      <c r="L51" s="14">
        <v>5.0135743206574501</v>
      </c>
      <c r="M51" s="29">
        <v>0.96630369974670605</v>
      </c>
    </row>
    <row r="52" spans="1:13" x14ac:dyDescent="0.25">
      <c r="A52" s="5" t="s">
        <v>29</v>
      </c>
      <c r="B52" s="5" t="s">
        <v>70</v>
      </c>
      <c r="C52" s="5" t="s">
        <v>45</v>
      </c>
      <c r="D52" s="5" t="s">
        <v>14</v>
      </c>
      <c r="E52" s="6" t="s">
        <v>291</v>
      </c>
      <c r="F52" s="14">
        <v>0.309234216243435</v>
      </c>
      <c r="G52" s="14">
        <v>0.80440212409757705</v>
      </c>
      <c r="H52" s="15">
        <v>3.1671746193100897E-2</v>
      </c>
      <c r="I52" s="14">
        <v>2195</v>
      </c>
      <c r="J52" s="14">
        <v>2396.1443569553799</v>
      </c>
      <c r="K52" s="15">
        <v>2415.8631381279301</v>
      </c>
      <c r="L52" s="14">
        <v>6.18901952731329</v>
      </c>
      <c r="M52" s="29">
        <v>0.985615543177632</v>
      </c>
    </row>
    <row r="53" spans="1:13" x14ac:dyDescent="0.25">
      <c r="A53" s="5" t="s">
        <v>29</v>
      </c>
      <c r="B53" s="5" t="s">
        <v>70</v>
      </c>
      <c r="C53" s="5" t="s">
        <v>45</v>
      </c>
      <c r="D53" s="5" t="s">
        <v>14</v>
      </c>
      <c r="E53" s="6" t="s">
        <v>292</v>
      </c>
      <c r="F53" s="14">
        <v>0.23979597535996799</v>
      </c>
      <c r="G53" s="14">
        <v>0.74705919468970206</v>
      </c>
      <c r="H53" s="15">
        <v>3.4254130795688002E-2</v>
      </c>
      <c r="I53" s="14">
        <v>1484</v>
      </c>
      <c r="J53" s="14">
        <v>1622.63846153846</v>
      </c>
      <c r="K53" s="15">
        <v>1645.7543955828301</v>
      </c>
      <c r="L53" s="14">
        <v>5.4553970975341599</v>
      </c>
      <c r="M53" s="29">
        <v>0.98032779020262895</v>
      </c>
    </row>
    <row r="54" spans="1:13" x14ac:dyDescent="0.25">
      <c r="A54" s="5" t="s">
        <v>29</v>
      </c>
      <c r="B54" s="5" t="s">
        <v>70</v>
      </c>
      <c r="C54" s="5" t="s">
        <v>18</v>
      </c>
      <c r="D54" s="5" t="s">
        <v>8</v>
      </c>
      <c r="E54" s="6" t="s">
        <v>57</v>
      </c>
      <c r="F54" s="14">
        <v>0.26422470121617703</v>
      </c>
      <c r="G54" s="14">
        <v>0.76406579875867298</v>
      </c>
      <c r="H54" s="15">
        <v>6.4702697365217499E-2</v>
      </c>
      <c r="I54" s="14">
        <v>935</v>
      </c>
      <c r="J54" s="14">
        <v>1001.72897196262</v>
      </c>
      <c r="K54" s="15">
        <v>994.53189051345305</v>
      </c>
      <c r="L54" s="14">
        <v>5.2266276478468301</v>
      </c>
      <c r="M54" s="29">
        <v>0.98347026074445398</v>
      </c>
    </row>
    <row r="55" spans="1:13" x14ac:dyDescent="0.25">
      <c r="A55" s="5" t="s">
        <v>29</v>
      </c>
      <c r="B55" s="5" t="s">
        <v>70</v>
      </c>
      <c r="C55" s="5" t="s">
        <v>18</v>
      </c>
      <c r="D55" s="5" t="s">
        <v>8</v>
      </c>
      <c r="E55" s="6" t="s">
        <v>58</v>
      </c>
      <c r="F55" s="14">
        <v>0.23672192848601101</v>
      </c>
      <c r="G55" s="14">
        <v>0.74747449377943498</v>
      </c>
      <c r="H55" s="15">
        <v>2.7998513171456001E-2</v>
      </c>
      <c r="I55" s="14">
        <v>1703</v>
      </c>
      <c r="J55" s="14">
        <v>1908.5856164383599</v>
      </c>
      <c r="K55" s="15">
        <v>1918.7564207386199</v>
      </c>
      <c r="L55" s="14">
        <v>5.5613198737730896</v>
      </c>
      <c r="M55" s="29">
        <v>0.97902749132121303</v>
      </c>
    </row>
    <row r="56" spans="1:13" x14ac:dyDescent="0.25">
      <c r="A56" s="5" t="s">
        <v>29</v>
      </c>
      <c r="B56" s="5" t="s">
        <v>70</v>
      </c>
      <c r="C56" s="5" t="s">
        <v>18</v>
      </c>
      <c r="D56" s="5" t="s">
        <v>11</v>
      </c>
      <c r="E56" s="6" t="s">
        <v>59</v>
      </c>
      <c r="F56" s="14">
        <v>0.198785936713756</v>
      </c>
      <c r="G56" s="14">
        <v>0.59021028354340299</v>
      </c>
      <c r="H56" s="15">
        <v>6.7241143594931703E-3</v>
      </c>
      <c r="I56" s="14">
        <v>976</v>
      </c>
      <c r="J56" s="14">
        <v>1035.3284671532799</v>
      </c>
      <c r="K56" s="15">
        <v>1036.2905297116499</v>
      </c>
      <c r="L56" s="14">
        <v>4.0626904048872801</v>
      </c>
      <c r="M56" s="29">
        <v>0.84762451838911701</v>
      </c>
    </row>
    <row r="57" spans="1:13" x14ac:dyDescent="0.25">
      <c r="A57" s="5" t="s">
        <v>29</v>
      </c>
      <c r="B57" s="5" t="s">
        <v>70</v>
      </c>
      <c r="C57" s="5" t="s">
        <v>18</v>
      </c>
      <c r="D57" s="5" t="s">
        <v>11</v>
      </c>
      <c r="E57" s="6" t="s">
        <v>60</v>
      </c>
      <c r="F57" s="14">
        <v>0.24749186825771799</v>
      </c>
      <c r="G57" s="14">
        <v>0.63184084968093901</v>
      </c>
      <c r="H57" s="15">
        <v>6.4636309439228198E-3</v>
      </c>
      <c r="I57" s="14">
        <v>1074</v>
      </c>
      <c r="J57" s="14">
        <v>1123.1891891891901</v>
      </c>
      <c r="K57" s="15">
        <v>1116.5771728933</v>
      </c>
      <c r="L57" s="14">
        <v>4.4097090806461896</v>
      </c>
      <c r="M57" s="29">
        <v>0.85594804150486703</v>
      </c>
    </row>
    <row r="58" spans="1:13" x14ac:dyDescent="0.25">
      <c r="A58" s="5" t="s">
        <v>29</v>
      </c>
      <c r="B58" s="5" t="s">
        <v>70</v>
      </c>
      <c r="C58" s="5" t="s">
        <v>17</v>
      </c>
      <c r="D58" s="5" t="s">
        <v>14</v>
      </c>
      <c r="E58" s="6" t="s">
        <v>285</v>
      </c>
      <c r="F58" s="14">
        <v>0.241470797112491</v>
      </c>
      <c r="G58" s="14">
        <v>0.76411676129670503</v>
      </c>
      <c r="H58" s="15">
        <v>2.8106788930426299E-2</v>
      </c>
      <c r="I58" s="14">
        <v>1789</v>
      </c>
      <c r="J58" s="14">
        <v>2023.12413793103</v>
      </c>
      <c r="K58" s="15">
        <v>2017.48994098342</v>
      </c>
      <c r="L58" s="14">
        <v>5.7227853052670898</v>
      </c>
      <c r="M58" s="29">
        <v>0.98011258084879305</v>
      </c>
    </row>
    <row r="59" spans="1:13" x14ac:dyDescent="0.25">
      <c r="A59" s="5" t="s">
        <v>29</v>
      </c>
      <c r="B59" s="5" t="s">
        <v>70</v>
      </c>
      <c r="C59" s="5" t="s">
        <v>17</v>
      </c>
      <c r="D59" s="5" t="s">
        <v>14</v>
      </c>
      <c r="E59" s="6" t="s">
        <v>286</v>
      </c>
      <c r="F59" s="14">
        <v>0.207511825284077</v>
      </c>
      <c r="G59" s="14">
        <v>0.68836909660303502</v>
      </c>
      <c r="H59" s="15">
        <v>1.9893088023091199E-2</v>
      </c>
      <c r="I59" s="14">
        <v>1601</v>
      </c>
      <c r="J59" s="14">
        <v>1817.3670033670001</v>
      </c>
      <c r="K59" s="15">
        <v>1837.3374168755799</v>
      </c>
      <c r="L59" s="14">
        <v>5.0790513309060996</v>
      </c>
      <c r="M59" s="29">
        <v>0.96860167620717796</v>
      </c>
    </row>
    <row r="60" spans="1:13" x14ac:dyDescent="0.25">
      <c r="A60" s="5" t="s">
        <v>29</v>
      </c>
      <c r="B60" s="5" t="s">
        <v>70</v>
      </c>
      <c r="C60" s="5" t="s">
        <v>20</v>
      </c>
      <c r="D60" s="5" t="s">
        <v>14</v>
      </c>
      <c r="E60" s="6" t="s">
        <v>61</v>
      </c>
      <c r="F60" s="14">
        <v>0.21312662591773199</v>
      </c>
      <c r="G60" s="14">
        <v>0.66006222404939696</v>
      </c>
      <c r="H60" s="15">
        <v>2.3460767022803902E-2</v>
      </c>
      <c r="I60" s="14">
        <v>894</v>
      </c>
      <c r="J60" s="14">
        <v>988.87741935483905</v>
      </c>
      <c r="K60" s="15">
        <v>1005.42489737371</v>
      </c>
      <c r="L60" s="14">
        <v>4.4855886679463604</v>
      </c>
      <c r="M60" s="29">
        <v>0.95232175352259596</v>
      </c>
    </row>
  </sheetData>
  <mergeCells count="3">
    <mergeCell ref="F1:H1"/>
    <mergeCell ref="I1:K1"/>
    <mergeCell ref="L1:M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78181-31D3-4F58-8E56-880717427431}">
  <dimension ref="A1:K377"/>
  <sheetViews>
    <sheetView showGridLines="0" zoomScaleNormal="100" workbookViewId="0">
      <selection activeCell="B245" sqref="B245:B377"/>
    </sheetView>
  </sheetViews>
  <sheetFormatPr baseColWidth="10" defaultRowHeight="15" x14ac:dyDescent="0.25"/>
  <cols>
    <col min="1" max="1" width="11.42578125" customWidth="1"/>
    <col min="2" max="2" width="13.140625" customWidth="1"/>
    <col min="3" max="3" width="15.42578125" customWidth="1"/>
    <col min="6" max="6" width="17.5703125" customWidth="1"/>
    <col min="10" max="10" width="16" customWidth="1"/>
  </cols>
  <sheetData>
    <row r="1" spans="1:11" ht="15.75" thickBot="1" x14ac:dyDescent="0.3">
      <c r="A1" s="10" t="s">
        <v>73</v>
      </c>
      <c r="B1" s="10" t="s">
        <v>71</v>
      </c>
      <c r="C1" s="10" t="s">
        <v>68</v>
      </c>
      <c r="D1" s="10" t="s">
        <v>223</v>
      </c>
      <c r="E1" s="10" t="s">
        <v>215</v>
      </c>
      <c r="F1" s="11" t="s">
        <v>214</v>
      </c>
      <c r="G1" s="10" t="s">
        <v>266</v>
      </c>
    </row>
    <row r="2" spans="1:11" x14ac:dyDescent="0.25">
      <c r="A2" s="5" t="s">
        <v>74</v>
      </c>
      <c r="B2" s="5" t="s">
        <v>7</v>
      </c>
      <c r="C2" s="5" t="s">
        <v>273</v>
      </c>
      <c r="D2" s="5" t="s">
        <v>75</v>
      </c>
      <c r="E2" s="5">
        <v>0</v>
      </c>
      <c r="F2" s="6" t="s">
        <v>216</v>
      </c>
      <c r="G2" s="5">
        <v>8.0000000000000002E-3</v>
      </c>
    </row>
    <row r="3" spans="1:11" x14ac:dyDescent="0.25">
      <c r="A3" s="5" t="s">
        <v>76</v>
      </c>
      <c r="B3" s="5" t="s">
        <v>7</v>
      </c>
      <c r="C3" s="5" t="s">
        <v>273</v>
      </c>
      <c r="D3" s="5" t="s">
        <v>75</v>
      </c>
      <c r="E3" s="5">
        <v>0</v>
      </c>
      <c r="F3" s="6" t="s">
        <v>216</v>
      </c>
      <c r="G3" s="5">
        <v>6.0000000000000001E-3</v>
      </c>
      <c r="J3" s="16" t="s">
        <v>267</v>
      </c>
      <c r="K3" s="5"/>
    </row>
    <row r="4" spans="1:11" x14ac:dyDescent="0.25">
      <c r="A4" s="5" t="s">
        <v>77</v>
      </c>
      <c r="B4" s="5" t="s">
        <v>7</v>
      </c>
      <c r="C4" s="5" t="s">
        <v>273</v>
      </c>
      <c r="D4" s="5" t="s">
        <v>75</v>
      </c>
      <c r="E4" s="5">
        <v>0</v>
      </c>
      <c r="F4" s="6" t="s">
        <v>216</v>
      </c>
      <c r="G4" s="5">
        <v>5.0000000000000001E-3</v>
      </c>
      <c r="J4" s="17" t="s">
        <v>68</v>
      </c>
      <c r="K4" s="18" t="s">
        <v>268</v>
      </c>
    </row>
    <row r="5" spans="1:11" x14ac:dyDescent="0.25">
      <c r="A5" s="5" t="s">
        <v>78</v>
      </c>
      <c r="B5" s="5" t="s">
        <v>18</v>
      </c>
      <c r="C5" s="5" t="s">
        <v>273</v>
      </c>
      <c r="D5" s="5" t="s">
        <v>75</v>
      </c>
      <c r="E5" s="5">
        <v>0</v>
      </c>
      <c r="F5" s="6" t="s">
        <v>216</v>
      </c>
      <c r="G5" s="5">
        <v>7.0000000000000001E-3</v>
      </c>
      <c r="J5" s="17" t="s">
        <v>71</v>
      </c>
      <c r="K5" s="18" t="s">
        <v>269</v>
      </c>
    </row>
    <row r="6" spans="1:11" x14ac:dyDescent="0.25">
      <c r="A6" s="5" t="s">
        <v>79</v>
      </c>
      <c r="B6" s="5" t="s">
        <v>18</v>
      </c>
      <c r="C6" s="5" t="s">
        <v>273</v>
      </c>
      <c r="D6" s="5" t="s">
        <v>75</v>
      </c>
      <c r="E6" s="5">
        <v>0</v>
      </c>
      <c r="F6" s="6" t="s">
        <v>216</v>
      </c>
      <c r="G6" s="5">
        <v>7.0000000000000001E-3</v>
      </c>
      <c r="J6" s="17" t="s">
        <v>223</v>
      </c>
      <c r="K6" s="18" t="s">
        <v>275</v>
      </c>
    </row>
    <row r="7" spans="1:11" x14ac:dyDescent="0.25">
      <c r="A7" s="5" t="s">
        <v>80</v>
      </c>
      <c r="B7" s="5" t="s">
        <v>18</v>
      </c>
      <c r="C7" s="5" t="s">
        <v>273</v>
      </c>
      <c r="D7" s="5" t="s">
        <v>75</v>
      </c>
      <c r="E7" s="5">
        <v>0</v>
      </c>
      <c r="F7" s="6" t="s">
        <v>216</v>
      </c>
      <c r="G7" s="5">
        <v>1.0999999999999999E-2</v>
      </c>
      <c r="J7" s="17" t="s">
        <v>214</v>
      </c>
      <c r="K7" s="18" t="s">
        <v>274</v>
      </c>
    </row>
    <row r="8" spans="1:11" x14ac:dyDescent="0.25">
      <c r="A8" s="5" t="s">
        <v>81</v>
      </c>
      <c r="B8" s="5" t="s">
        <v>7</v>
      </c>
      <c r="C8" s="5" t="s">
        <v>70</v>
      </c>
      <c r="D8" s="5" t="s">
        <v>82</v>
      </c>
      <c r="E8" s="5">
        <v>0</v>
      </c>
      <c r="F8" s="6" t="s">
        <v>216</v>
      </c>
      <c r="G8" s="5">
        <v>0.22800000000000001</v>
      </c>
    </row>
    <row r="9" spans="1:11" x14ac:dyDescent="0.25">
      <c r="A9" s="5" t="s">
        <v>83</v>
      </c>
      <c r="B9" s="5" t="s">
        <v>7</v>
      </c>
      <c r="C9" s="5" t="s">
        <v>70</v>
      </c>
      <c r="D9" s="5" t="s">
        <v>82</v>
      </c>
      <c r="E9" s="5">
        <v>0</v>
      </c>
      <c r="F9" s="6" t="s">
        <v>216</v>
      </c>
      <c r="G9" s="5">
        <v>0.25600000000000001</v>
      </c>
    </row>
    <row r="10" spans="1:11" x14ac:dyDescent="0.25">
      <c r="A10" s="5" t="s">
        <v>84</v>
      </c>
      <c r="B10" s="5" t="s">
        <v>7</v>
      </c>
      <c r="C10" s="5" t="s">
        <v>70</v>
      </c>
      <c r="D10" s="5" t="s">
        <v>82</v>
      </c>
      <c r="E10" s="5">
        <v>0</v>
      </c>
      <c r="F10" s="6" t="s">
        <v>216</v>
      </c>
      <c r="G10" s="5">
        <v>0.253</v>
      </c>
    </row>
    <row r="11" spans="1:11" x14ac:dyDescent="0.25">
      <c r="A11" s="5" t="s">
        <v>85</v>
      </c>
      <c r="B11" s="5" t="s">
        <v>18</v>
      </c>
      <c r="C11" s="5" t="s">
        <v>70</v>
      </c>
      <c r="D11" s="5" t="s">
        <v>82</v>
      </c>
      <c r="E11" s="5">
        <v>0</v>
      </c>
      <c r="F11" s="6" t="s">
        <v>216</v>
      </c>
      <c r="G11" s="5">
        <v>0.219</v>
      </c>
    </row>
    <row r="12" spans="1:11" x14ac:dyDescent="0.25">
      <c r="A12" s="5" t="s">
        <v>86</v>
      </c>
      <c r="B12" s="5" t="s">
        <v>18</v>
      </c>
      <c r="C12" s="5" t="s">
        <v>70</v>
      </c>
      <c r="D12" s="5" t="s">
        <v>82</v>
      </c>
      <c r="E12" s="5">
        <v>0</v>
      </c>
      <c r="F12" s="6" t="s">
        <v>216</v>
      </c>
      <c r="G12" s="5">
        <v>0.246</v>
      </c>
    </row>
    <row r="13" spans="1:11" x14ac:dyDescent="0.25">
      <c r="A13" s="5" t="s">
        <v>87</v>
      </c>
      <c r="B13" s="5" t="s">
        <v>18</v>
      </c>
      <c r="C13" s="5" t="s">
        <v>70</v>
      </c>
      <c r="D13" s="5" t="s">
        <v>82</v>
      </c>
      <c r="E13" s="5">
        <v>0</v>
      </c>
      <c r="F13" s="6" t="s">
        <v>216</v>
      </c>
      <c r="G13" s="5">
        <v>0.247</v>
      </c>
    </row>
    <row r="14" spans="1:11" x14ac:dyDescent="0.25">
      <c r="A14" s="5" t="s">
        <v>88</v>
      </c>
      <c r="B14" s="5" t="s">
        <v>7</v>
      </c>
      <c r="C14" s="5" t="s">
        <v>69</v>
      </c>
      <c r="D14" s="5" t="s">
        <v>82</v>
      </c>
      <c r="E14" s="5">
        <v>0</v>
      </c>
      <c r="F14" s="6" t="s">
        <v>216</v>
      </c>
      <c r="G14" s="5">
        <v>0.219</v>
      </c>
    </row>
    <row r="15" spans="1:11" x14ac:dyDescent="0.25">
      <c r="A15" s="5" t="s">
        <v>89</v>
      </c>
      <c r="B15" s="5" t="s">
        <v>7</v>
      </c>
      <c r="C15" s="5" t="s">
        <v>69</v>
      </c>
      <c r="D15" s="5" t="s">
        <v>82</v>
      </c>
      <c r="E15" s="5">
        <v>0</v>
      </c>
      <c r="F15" s="6" t="s">
        <v>216</v>
      </c>
      <c r="G15" s="5">
        <v>0.22700000000000001</v>
      </c>
    </row>
    <row r="16" spans="1:11" x14ac:dyDescent="0.25">
      <c r="A16" s="5" t="s">
        <v>90</v>
      </c>
      <c r="B16" s="5" t="s">
        <v>7</v>
      </c>
      <c r="C16" s="5" t="s">
        <v>69</v>
      </c>
      <c r="D16" s="5" t="s">
        <v>82</v>
      </c>
      <c r="E16" s="5">
        <v>0</v>
      </c>
      <c r="F16" s="6" t="s">
        <v>216</v>
      </c>
      <c r="G16" s="5">
        <v>0.249</v>
      </c>
    </row>
    <row r="17" spans="1:7" x14ac:dyDescent="0.25">
      <c r="A17" s="5" t="s">
        <v>91</v>
      </c>
      <c r="B17" s="5" t="s">
        <v>18</v>
      </c>
      <c r="C17" s="5" t="s">
        <v>69</v>
      </c>
      <c r="D17" s="5" t="s">
        <v>82</v>
      </c>
      <c r="E17" s="5">
        <v>0</v>
      </c>
      <c r="F17" s="6" t="s">
        <v>216</v>
      </c>
      <c r="G17" s="5">
        <v>0.217</v>
      </c>
    </row>
    <row r="18" spans="1:7" x14ac:dyDescent="0.25">
      <c r="A18" s="5" t="s">
        <v>92</v>
      </c>
      <c r="B18" s="5" t="s">
        <v>18</v>
      </c>
      <c r="C18" s="5" t="s">
        <v>69</v>
      </c>
      <c r="D18" s="5" t="s">
        <v>82</v>
      </c>
      <c r="E18" s="5">
        <v>0</v>
      </c>
      <c r="F18" s="6" t="s">
        <v>216</v>
      </c>
      <c r="G18" s="5">
        <v>0.19600000000000001</v>
      </c>
    </row>
    <row r="19" spans="1:7" x14ac:dyDescent="0.25">
      <c r="A19" s="5" t="s">
        <v>93</v>
      </c>
      <c r="B19" s="5" t="s">
        <v>18</v>
      </c>
      <c r="C19" s="5" t="s">
        <v>69</v>
      </c>
      <c r="D19" s="5" t="s">
        <v>82</v>
      </c>
      <c r="E19" s="5">
        <v>0</v>
      </c>
      <c r="F19" s="6" t="s">
        <v>216</v>
      </c>
      <c r="G19" s="5">
        <v>0.20300000000000001</v>
      </c>
    </row>
    <row r="20" spans="1:7" x14ac:dyDescent="0.25">
      <c r="A20" s="5" t="s">
        <v>94</v>
      </c>
      <c r="B20" s="5" t="s">
        <v>7</v>
      </c>
      <c r="C20" s="5" t="s">
        <v>273</v>
      </c>
      <c r="D20" s="5" t="s">
        <v>75</v>
      </c>
      <c r="E20" s="5">
        <v>7</v>
      </c>
      <c r="F20" s="6" t="s">
        <v>216</v>
      </c>
      <c r="G20" s="5">
        <v>1.4999999999999999E-2</v>
      </c>
    </row>
    <row r="21" spans="1:7" x14ac:dyDescent="0.25">
      <c r="A21" s="5" t="s">
        <v>95</v>
      </c>
      <c r="B21" s="5" t="s">
        <v>7</v>
      </c>
      <c r="C21" s="5" t="s">
        <v>273</v>
      </c>
      <c r="D21" s="5" t="s">
        <v>75</v>
      </c>
      <c r="E21" s="5">
        <v>7</v>
      </c>
      <c r="F21" s="6" t="s">
        <v>216</v>
      </c>
      <c r="G21" s="5">
        <v>1.7999999999999999E-2</v>
      </c>
    </row>
    <row r="22" spans="1:7" x14ac:dyDescent="0.25">
      <c r="A22" s="5" t="s">
        <v>96</v>
      </c>
      <c r="B22" s="5" t="s">
        <v>7</v>
      </c>
      <c r="C22" s="5" t="s">
        <v>273</v>
      </c>
      <c r="D22" s="5" t="s">
        <v>75</v>
      </c>
      <c r="E22" s="5">
        <v>7</v>
      </c>
      <c r="F22" s="6" t="s">
        <v>216</v>
      </c>
      <c r="G22" s="5">
        <v>1.0999999999999999E-2</v>
      </c>
    </row>
    <row r="23" spans="1:7" x14ac:dyDescent="0.25">
      <c r="A23" s="5" t="s">
        <v>97</v>
      </c>
      <c r="B23" s="5" t="s">
        <v>18</v>
      </c>
      <c r="C23" s="5" t="s">
        <v>273</v>
      </c>
      <c r="D23" s="5" t="s">
        <v>75</v>
      </c>
      <c r="E23" s="5">
        <v>7</v>
      </c>
      <c r="F23" s="6" t="s">
        <v>216</v>
      </c>
      <c r="G23" s="5">
        <v>1.4999999999999999E-2</v>
      </c>
    </row>
    <row r="24" spans="1:7" x14ac:dyDescent="0.25">
      <c r="A24" s="5" t="s">
        <v>98</v>
      </c>
      <c r="B24" s="5" t="s">
        <v>18</v>
      </c>
      <c r="C24" s="5" t="s">
        <v>273</v>
      </c>
      <c r="D24" s="5" t="s">
        <v>75</v>
      </c>
      <c r="E24" s="5">
        <v>7</v>
      </c>
      <c r="F24" s="6" t="s">
        <v>216</v>
      </c>
      <c r="G24" s="5">
        <v>6.0999999999999999E-2</v>
      </c>
    </row>
    <row r="25" spans="1:7" x14ac:dyDescent="0.25">
      <c r="A25" s="5" t="s">
        <v>99</v>
      </c>
      <c r="B25" s="5" t="s">
        <v>18</v>
      </c>
      <c r="C25" s="5" t="s">
        <v>273</v>
      </c>
      <c r="D25" s="5" t="s">
        <v>75</v>
      </c>
      <c r="E25" s="5">
        <v>7</v>
      </c>
      <c r="F25" s="6" t="s">
        <v>216</v>
      </c>
      <c r="G25" s="5">
        <v>1.2E-2</v>
      </c>
    </row>
    <row r="26" spans="1:7" x14ac:dyDescent="0.25">
      <c r="A26" s="5" t="s">
        <v>100</v>
      </c>
      <c r="B26" s="5" t="s">
        <v>7</v>
      </c>
      <c r="C26" s="5" t="s">
        <v>70</v>
      </c>
      <c r="D26" s="5" t="s">
        <v>82</v>
      </c>
      <c r="E26" s="5">
        <v>7</v>
      </c>
      <c r="F26" s="6" t="s">
        <v>216</v>
      </c>
      <c r="G26" s="5">
        <v>0.24099999999999999</v>
      </c>
    </row>
    <row r="27" spans="1:7" x14ac:dyDescent="0.25">
      <c r="A27" s="5" t="s">
        <v>101</v>
      </c>
      <c r="B27" s="5" t="s">
        <v>7</v>
      </c>
      <c r="C27" s="5" t="s">
        <v>70</v>
      </c>
      <c r="D27" s="5" t="s">
        <v>82</v>
      </c>
      <c r="E27" s="5">
        <v>7</v>
      </c>
      <c r="F27" s="6" t="s">
        <v>216</v>
      </c>
      <c r="G27" s="5">
        <v>0.21299999999999999</v>
      </c>
    </row>
    <row r="28" spans="1:7" x14ac:dyDescent="0.25">
      <c r="A28" s="5" t="s">
        <v>102</v>
      </c>
      <c r="B28" s="5" t="s">
        <v>7</v>
      </c>
      <c r="C28" s="5" t="s">
        <v>70</v>
      </c>
      <c r="D28" s="5" t="s">
        <v>82</v>
      </c>
      <c r="E28" s="5">
        <v>7</v>
      </c>
      <c r="F28" s="6" t="s">
        <v>216</v>
      </c>
      <c r="G28" s="5">
        <v>0.221</v>
      </c>
    </row>
    <row r="29" spans="1:7" x14ac:dyDescent="0.25">
      <c r="A29" s="5" t="s">
        <v>103</v>
      </c>
      <c r="B29" s="5" t="s">
        <v>18</v>
      </c>
      <c r="C29" s="5" t="s">
        <v>70</v>
      </c>
      <c r="D29" s="5" t="s">
        <v>82</v>
      </c>
      <c r="E29" s="5">
        <v>7</v>
      </c>
      <c r="F29" s="6" t="s">
        <v>216</v>
      </c>
      <c r="G29" s="5">
        <v>0.23</v>
      </c>
    </row>
    <row r="30" spans="1:7" x14ac:dyDescent="0.25">
      <c r="A30" s="5" t="s">
        <v>104</v>
      </c>
      <c r="B30" s="5" t="s">
        <v>18</v>
      </c>
      <c r="C30" s="5" t="s">
        <v>70</v>
      </c>
      <c r="D30" s="5" t="s">
        <v>82</v>
      </c>
      <c r="E30" s="5">
        <v>7</v>
      </c>
      <c r="F30" s="6" t="s">
        <v>216</v>
      </c>
      <c r="G30" s="5">
        <v>0.23200000000000001</v>
      </c>
    </row>
    <row r="31" spans="1:7" x14ac:dyDescent="0.25">
      <c r="A31" s="5" t="s">
        <v>105</v>
      </c>
      <c r="B31" s="5" t="s">
        <v>18</v>
      </c>
      <c r="C31" s="5" t="s">
        <v>70</v>
      </c>
      <c r="D31" s="5" t="s">
        <v>82</v>
      </c>
      <c r="E31" s="5">
        <v>7</v>
      </c>
      <c r="F31" s="6" t="s">
        <v>216</v>
      </c>
      <c r="G31" s="5">
        <v>0.20899999999999999</v>
      </c>
    </row>
    <row r="32" spans="1:7" x14ac:dyDescent="0.25">
      <c r="A32" s="5" t="s">
        <v>106</v>
      </c>
      <c r="B32" s="5" t="s">
        <v>7</v>
      </c>
      <c r="C32" s="5" t="s">
        <v>69</v>
      </c>
      <c r="D32" s="5" t="s">
        <v>82</v>
      </c>
      <c r="E32" s="5">
        <v>7</v>
      </c>
      <c r="F32" s="6" t="s">
        <v>216</v>
      </c>
      <c r="G32" s="5">
        <v>0.19500000000000001</v>
      </c>
    </row>
    <row r="33" spans="1:7" x14ac:dyDescent="0.25">
      <c r="A33" s="5" t="s">
        <v>107</v>
      </c>
      <c r="B33" s="5" t="s">
        <v>7</v>
      </c>
      <c r="C33" s="5" t="s">
        <v>69</v>
      </c>
      <c r="D33" s="5" t="s">
        <v>82</v>
      </c>
      <c r="E33" s="5">
        <v>7</v>
      </c>
      <c r="F33" s="6" t="s">
        <v>216</v>
      </c>
      <c r="G33" s="5">
        <v>0.20399999999999999</v>
      </c>
    </row>
    <row r="34" spans="1:7" x14ac:dyDescent="0.25">
      <c r="A34" s="5" t="s">
        <v>108</v>
      </c>
      <c r="B34" s="5" t="s">
        <v>7</v>
      </c>
      <c r="C34" s="5" t="s">
        <v>69</v>
      </c>
      <c r="D34" s="5" t="s">
        <v>82</v>
      </c>
      <c r="E34" s="5">
        <v>7</v>
      </c>
      <c r="F34" s="6" t="s">
        <v>216</v>
      </c>
      <c r="G34" s="5">
        <v>0.19500000000000001</v>
      </c>
    </row>
    <row r="35" spans="1:7" x14ac:dyDescent="0.25">
      <c r="A35" s="5" t="s">
        <v>109</v>
      </c>
      <c r="B35" s="5" t="s">
        <v>18</v>
      </c>
      <c r="C35" s="5" t="s">
        <v>69</v>
      </c>
      <c r="D35" s="5" t="s">
        <v>82</v>
      </c>
      <c r="E35" s="5">
        <v>7</v>
      </c>
      <c r="F35" s="6" t="s">
        <v>216</v>
      </c>
      <c r="G35" s="5">
        <v>0.192</v>
      </c>
    </row>
    <row r="36" spans="1:7" x14ac:dyDescent="0.25">
      <c r="A36" s="5" t="s">
        <v>110</v>
      </c>
      <c r="B36" s="5" t="s">
        <v>18</v>
      </c>
      <c r="C36" s="5" t="s">
        <v>69</v>
      </c>
      <c r="D36" s="5" t="s">
        <v>82</v>
      </c>
      <c r="E36" s="5">
        <v>7</v>
      </c>
      <c r="F36" s="6" t="s">
        <v>216</v>
      </c>
      <c r="G36" s="5">
        <v>0.19400000000000001</v>
      </c>
    </row>
    <row r="37" spans="1:7" x14ac:dyDescent="0.25">
      <c r="A37" s="5" t="s">
        <v>111</v>
      </c>
      <c r="B37" s="5" t="s">
        <v>18</v>
      </c>
      <c r="C37" s="5" t="s">
        <v>69</v>
      </c>
      <c r="D37" s="5" t="s">
        <v>82</v>
      </c>
      <c r="E37" s="5">
        <v>7</v>
      </c>
      <c r="F37" s="6" t="s">
        <v>216</v>
      </c>
      <c r="G37" s="5">
        <v>0.17799999999999999</v>
      </c>
    </row>
    <row r="38" spans="1:7" x14ac:dyDescent="0.25">
      <c r="A38" s="5" t="s">
        <v>112</v>
      </c>
      <c r="B38" s="5" t="s">
        <v>7</v>
      </c>
      <c r="C38" s="5" t="s">
        <v>273</v>
      </c>
      <c r="D38" s="5" t="s">
        <v>75</v>
      </c>
      <c r="E38" s="5">
        <v>15</v>
      </c>
      <c r="F38" s="6" t="s">
        <v>216</v>
      </c>
      <c r="G38" s="5">
        <v>1.2999999999999999E-2</v>
      </c>
    </row>
    <row r="39" spans="1:7" x14ac:dyDescent="0.25">
      <c r="A39" s="5" t="s">
        <v>113</v>
      </c>
      <c r="B39" s="5" t="s">
        <v>7</v>
      </c>
      <c r="C39" s="5" t="s">
        <v>273</v>
      </c>
      <c r="D39" s="5" t="s">
        <v>75</v>
      </c>
      <c r="E39" s="5">
        <v>15</v>
      </c>
      <c r="F39" s="6" t="s">
        <v>216</v>
      </c>
      <c r="G39" s="5">
        <v>1.7000000000000001E-2</v>
      </c>
    </row>
    <row r="40" spans="1:7" x14ac:dyDescent="0.25">
      <c r="A40" s="5" t="s">
        <v>114</v>
      </c>
      <c r="B40" s="5" t="s">
        <v>7</v>
      </c>
      <c r="C40" s="5" t="s">
        <v>273</v>
      </c>
      <c r="D40" s="5" t="s">
        <v>75</v>
      </c>
      <c r="E40" s="5">
        <v>15</v>
      </c>
      <c r="F40" s="6" t="s">
        <v>216</v>
      </c>
      <c r="G40" s="5">
        <v>1.6E-2</v>
      </c>
    </row>
    <row r="41" spans="1:7" x14ac:dyDescent="0.25">
      <c r="A41" s="5" t="s">
        <v>115</v>
      </c>
      <c r="B41" s="5" t="s">
        <v>18</v>
      </c>
      <c r="C41" s="5" t="s">
        <v>273</v>
      </c>
      <c r="D41" s="5" t="s">
        <v>75</v>
      </c>
      <c r="E41" s="5">
        <v>15</v>
      </c>
      <c r="F41" s="6" t="s">
        <v>216</v>
      </c>
      <c r="G41" s="5">
        <v>1.2999999999999999E-2</v>
      </c>
    </row>
    <row r="42" spans="1:7" x14ac:dyDescent="0.25">
      <c r="A42" s="5" t="s">
        <v>116</v>
      </c>
      <c r="B42" s="5" t="s">
        <v>18</v>
      </c>
      <c r="C42" s="5" t="s">
        <v>273</v>
      </c>
      <c r="D42" s="5" t="s">
        <v>75</v>
      </c>
      <c r="E42" s="5">
        <v>15</v>
      </c>
      <c r="F42" s="6" t="s">
        <v>216</v>
      </c>
      <c r="G42" s="5">
        <v>1.4E-2</v>
      </c>
    </row>
    <row r="43" spans="1:7" x14ac:dyDescent="0.25">
      <c r="A43" s="5" t="s">
        <v>117</v>
      </c>
      <c r="B43" s="5" t="s">
        <v>18</v>
      </c>
      <c r="C43" s="5" t="s">
        <v>273</v>
      </c>
      <c r="D43" s="5" t="s">
        <v>75</v>
      </c>
      <c r="E43" s="5">
        <v>15</v>
      </c>
      <c r="F43" s="6" t="s">
        <v>216</v>
      </c>
      <c r="G43" s="5">
        <v>1.2999999999999999E-2</v>
      </c>
    </row>
    <row r="44" spans="1:7" x14ac:dyDescent="0.25">
      <c r="A44" s="5" t="s">
        <v>118</v>
      </c>
      <c r="B44" s="5" t="s">
        <v>7</v>
      </c>
      <c r="C44" s="5" t="s">
        <v>70</v>
      </c>
      <c r="D44" s="5" t="s">
        <v>82</v>
      </c>
      <c r="E44" s="5">
        <v>15</v>
      </c>
      <c r="F44" s="6" t="s">
        <v>216</v>
      </c>
      <c r="G44" s="5">
        <v>0.17299999999999999</v>
      </c>
    </row>
    <row r="45" spans="1:7" x14ac:dyDescent="0.25">
      <c r="A45" s="5" t="s">
        <v>119</v>
      </c>
      <c r="B45" s="5" t="s">
        <v>7</v>
      </c>
      <c r="C45" s="5" t="s">
        <v>70</v>
      </c>
      <c r="D45" s="5" t="s">
        <v>82</v>
      </c>
      <c r="E45" s="5">
        <v>15</v>
      </c>
      <c r="F45" s="6" t="s">
        <v>216</v>
      </c>
      <c r="G45" s="5">
        <v>0.17599999999999999</v>
      </c>
    </row>
    <row r="46" spans="1:7" x14ac:dyDescent="0.25">
      <c r="A46" s="5" t="s">
        <v>120</v>
      </c>
      <c r="B46" s="5" t="s">
        <v>7</v>
      </c>
      <c r="C46" s="5" t="s">
        <v>70</v>
      </c>
      <c r="D46" s="5" t="s">
        <v>82</v>
      </c>
      <c r="E46" s="5">
        <v>15</v>
      </c>
      <c r="F46" s="6" t="s">
        <v>216</v>
      </c>
      <c r="G46" s="5">
        <v>0.191</v>
      </c>
    </row>
    <row r="47" spans="1:7" x14ac:dyDescent="0.25">
      <c r="A47" s="5" t="s">
        <v>121</v>
      </c>
      <c r="B47" s="5" t="s">
        <v>18</v>
      </c>
      <c r="C47" s="5" t="s">
        <v>70</v>
      </c>
      <c r="D47" s="5" t="s">
        <v>82</v>
      </c>
      <c r="E47" s="5">
        <v>15</v>
      </c>
      <c r="F47" s="6" t="s">
        <v>216</v>
      </c>
      <c r="G47" s="5">
        <v>0.16200000000000001</v>
      </c>
    </row>
    <row r="48" spans="1:7" x14ac:dyDescent="0.25">
      <c r="A48" s="5" t="s">
        <v>122</v>
      </c>
      <c r="B48" s="5" t="s">
        <v>18</v>
      </c>
      <c r="C48" s="5" t="s">
        <v>70</v>
      </c>
      <c r="D48" s="5" t="s">
        <v>82</v>
      </c>
      <c r="E48" s="5">
        <v>15</v>
      </c>
      <c r="F48" s="6" t="s">
        <v>216</v>
      </c>
      <c r="G48" s="5">
        <v>0.17599999999999999</v>
      </c>
    </row>
    <row r="49" spans="1:7" x14ac:dyDescent="0.25">
      <c r="A49" s="5" t="s">
        <v>123</v>
      </c>
      <c r="B49" s="5" t="s">
        <v>18</v>
      </c>
      <c r="C49" s="5" t="s">
        <v>70</v>
      </c>
      <c r="D49" s="5" t="s">
        <v>82</v>
      </c>
      <c r="E49" s="5">
        <v>15</v>
      </c>
      <c r="F49" s="6" t="s">
        <v>216</v>
      </c>
      <c r="G49" s="5">
        <v>0.221</v>
      </c>
    </row>
    <row r="50" spans="1:7" x14ac:dyDescent="0.25">
      <c r="A50" s="5" t="s">
        <v>124</v>
      </c>
      <c r="B50" s="5" t="s">
        <v>7</v>
      </c>
      <c r="C50" s="5" t="s">
        <v>69</v>
      </c>
      <c r="D50" s="5" t="s">
        <v>82</v>
      </c>
      <c r="E50" s="5">
        <v>15</v>
      </c>
      <c r="F50" s="6" t="s">
        <v>216</v>
      </c>
      <c r="G50" s="5">
        <v>0.19700000000000001</v>
      </c>
    </row>
    <row r="51" spans="1:7" x14ac:dyDescent="0.25">
      <c r="A51" s="5" t="s">
        <v>125</v>
      </c>
      <c r="B51" s="5" t="s">
        <v>7</v>
      </c>
      <c r="C51" s="5" t="s">
        <v>69</v>
      </c>
      <c r="D51" s="5" t="s">
        <v>82</v>
      </c>
      <c r="E51" s="5">
        <v>15</v>
      </c>
      <c r="F51" s="6" t="s">
        <v>216</v>
      </c>
      <c r="G51" s="5">
        <v>0.19400000000000001</v>
      </c>
    </row>
    <row r="52" spans="1:7" x14ac:dyDescent="0.25">
      <c r="A52" s="5" t="s">
        <v>126</v>
      </c>
      <c r="B52" s="5" t="s">
        <v>7</v>
      </c>
      <c r="C52" s="5" t="s">
        <v>69</v>
      </c>
      <c r="D52" s="5" t="s">
        <v>82</v>
      </c>
      <c r="E52" s="5">
        <v>15</v>
      </c>
      <c r="F52" s="6" t="s">
        <v>216</v>
      </c>
      <c r="G52" s="5">
        <v>0.184</v>
      </c>
    </row>
    <row r="53" spans="1:7" x14ac:dyDescent="0.25">
      <c r="A53" s="5" t="s">
        <v>127</v>
      </c>
      <c r="B53" s="5" t="s">
        <v>18</v>
      </c>
      <c r="C53" s="5" t="s">
        <v>69</v>
      </c>
      <c r="D53" s="5" t="s">
        <v>82</v>
      </c>
      <c r="E53" s="5">
        <v>15</v>
      </c>
      <c r="F53" s="6" t="s">
        <v>216</v>
      </c>
      <c r="G53" s="5">
        <v>0.24299999999999999</v>
      </c>
    </row>
    <row r="54" spans="1:7" x14ac:dyDescent="0.25">
      <c r="A54" s="5" t="s">
        <v>128</v>
      </c>
      <c r="B54" s="5" t="s">
        <v>18</v>
      </c>
      <c r="C54" s="5" t="s">
        <v>69</v>
      </c>
      <c r="D54" s="5" t="s">
        <v>82</v>
      </c>
      <c r="E54" s="5">
        <v>15</v>
      </c>
      <c r="F54" s="6" t="s">
        <v>216</v>
      </c>
      <c r="G54" s="5">
        <v>0.20300000000000001</v>
      </c>
    </row>
    <row r="55" spans="1:7" x14ac:dyDescent="0.25">
      <c r="A55" s="5" t="s">
        <v>129</v>
      </c>
      <c r="B55" s="5" t="s">
        <v>18</v>
      </c>
      <c r="C55" s="5" t="s">
        <v>69</v>
      </c>
      <c r="D55" s="5" t="s">
        <v>82</v>
      </c>
      <c r="E55" s="5">
        <v>15</v>
      </c>
      <c r="F55" s="6" t="s">
        <v>216</v>
      </c>
      <c r="G55" s="5">
        <v>0.20799999999999999</v>
      </c>
    </row>
    <row r="56" spans="1:7" x14ac:dyDescent="0.25">
      <c r="A56" s="5" t="s">
        <v>130</v>
      </c>
      <c r="B56" s="5" t="s">
        <v>7</v>
      </c>
      <c r="C56" s="5" t="s">
        <v>273</v>
      </c>
      <c r="D56" s="5" t="s">
        <v>75</v>
      </c>
      <c r="E56" s="5">
        <v>21</v>
      </c>
      <c r="F56" s="6" t="s">
        <v>216</v>
      </c>
      <c r="G56" s="5">
        <v>8.0000000000000002E-3</v>
      </c>
    </row>
    <row r="57" spans="1:7" x14ac:dyDescent="0.25">
      <c r="A57" s="5" t="s">
        <v>131</v>
      </c>
      <c r="B57" s="5" t="s">
        <v>7</v>
      </c>
      <c r="C57" s="5" t="s">
        <v>273</v>
      </c>
      <c r="D57" s="5" t="s">
        <v>75</v>
      </c>
      <c r="E57" s="5">
        <v>21</v>
      </c>
      <c r="F57" s="6" t="s">
        <v>216</v>
      </c>
      <c r="G57" s="5">
        <v>8.0000000000000002E-3</v>
      </c>
    </row>
    <row r="58" spans="1:7" x14ac:dyDescent="0.25">
      <c r="A58" s="5" t="s">
        <v>132</v>
      </c>
      <c r="B58" s="5" t="s">
        <v>7</v>
      </c>
      <c r="C58" s="5" t="s">
        <v>273</v>
      </c>
      <c r="D58" s="5" t="s">
        <v>75</v>
      </c>
      <c r="E58" s="5">
        <v>21</v>
      </c>
      <c r="F58" s="6" t="s">
        <v>216</v>
      </c>
      <c r="G58" s="5">
        <v>0.01</v>
      </c>
    </row>
    <row r="59" spans="1:7" x14ac:dyDescent="0.25">
      <c r="A59" s="5" t="s">
        <v>133</v>
      </c>
      <c r="B59" s="5" t="s">
        <v>18</v>
      </c>
      <c r="C59" s="5" t="s">
        <v>273</v>
      </c>
      <c r="D59" s="5" t="s">
        <v>75</v>
      </c>
      <c r="E59" s="5">
        <v>21</v>
      </c>
      <c r="F59" s="6" t="s">
        <v>216</v>
      </c>
      <c r="G59" s="5">
        <v>1.2E-2</v>
      </c>
    </row>
    <row r="60" spans="1:7" x14ac:dyDescent="0.25">
      <c r="A60" s="5" t="s">
        <v>134</v>
      </c>
      <c r="B60" s="5" t="s">
        <v>18</v>
      </c>
      <c r="C60" s="5" t="s">
        <v>273</v>
      </c>
      <c r="D60" s="5" t="s">
        <v>75</v>
      </c>
      <c r="E60" s="5">
        <v>21</v>
      </c>
      <c r="F60" s="6" t="s">
        <v>216</v>
      </c>
      <c r="G60" s="5">
        <v>2.1000000000000001E-2</v>
      </c>
    </row>
    <row r="61" spans="1:7" x14ac:dyDescent="0.25">
      <c r="A61" s="5" t="s">
        <v>135</v>
      </c>
      <c r="B61" s="5" t="s">
        <v>18</v>
      </c>
      <c r="C61" s="5" t="s">
        <v>273</v>
      </c>
      <c r="D61" s="5" t="s">
        <v>75</v>
      </c>
      <c r="E61" s="5">
        <v>21</v>
      </c>
      <c r="F61" s="6" t="s">
        <v>216</v>
      </c>
      <c r="G61" s="5">
        <v>1.6E-2</v>
      </c>
    </row>
    <row r="62" spans="1:7" x14ac:dyDescent="0.25">
      <c r="A62" s="5" t="s">
        <v>136</v>
      </c>
      <c r="B62" s="5" t="s">
        <v>7</v>
      </c>
      <c r="C62" s="5" t="s">
        <v>70</v>
      </c>
      <c r="D62" s="5" t="s">
        <v>82</v>
      </c>
      <c r="E62" s="5">
        <v>21</v>
      </c>
      <c r="F62" s="6" t="s">
        <v>216</v>
      </c>
      <c r="G62" s="5">
        <v>0.27900000000000003</v>
      </c>
    </row>
    <row r="63" spans="1:7" x14ac:dyDescent="0.25">
      <c r="A63" s="5" t="s">
        <v>137</v>
      </c>
      <c r="B63" s="5" t="s">
        <v>7</v>
      </c>
      <c r="C63" s="5" t="s">
        <v>70</v>
      </c>
      <c r="D63" s="5" t="s">
        <v>82</v>
      </c>
      <c r="E63" s="5">
        <v>21</v>
      </c>
      <c r="F63" s="6" t="s">
        <v>216</v>
      </c>
      <c r="G63" s="5">
        <v>0.29099999999999998</v>
      </c>
    </row>
    <row r="64" spans="1:7" x14ac:dyDescent="0.25">
      <c r="A64" s="5" t="s">
        <v>138</v>
      </c>
      <c r="B64" s="5" t="s">
        <v>7</v>
      </c>
      <c r="C64" s="5" t="s">
        <v>70</v>
      </c>
      <c r="D64" s="5" t="s">
        <v>82</v>
      </c>
      <c r="E64" s="5">
        <v>21</v>
      </c>
      <c r="F64" s="6" t="s">
        <v>216</v>
      </c>
      <c r="G64" s="5">
        <v>0.253</v>
      </c>
    </row>
    <row r="65" spans="1:7" x14ac:dyDescent="0.25">
      <c r="A65" s="5" t="s">
        <v>139</v>
      </c>
      <c r="B65" s="5" t="s">
        <v>18</v>
      </c>
      <c r="C65" s="5" t="s">
        <v>70</v>
      </c>
      <c r="D65" s="5" t="s">
        <v>82</v>
      </c>
      <c r="E65" s="5">
        <v>21</v>
      </c>
      <c r="F65" s="6" t="s">
        <v>216</v>
      </c>
      <c r="G65" s="5">
        <v>0.221</v>
      </c>
    </row>
    <row r="66" spans="1:7" x14ac:dyDescent="0.25">
      <c r="A66" s="5" t="s">
        <v>140</v>
      </c>
      <c r="B66" s="5" t="s">
        <v>18</v>
      </c>
      <c r="C66" s="5" t="s">
        <v>70</v>
      </c>
      <c r="D66" s="5" t="s">
        <v>82</v>
      </c>
      <c r="E66" s="5">
        <v>21</v>
      </c>
      <c r="F66" s="6" t="s">
        <v>216</v>
      </c>
      <c r="G66" s="5">
        <v>0.23300000000000001</v>
      </c>
    </row>
    <row r="67" spans="1:7" x14ac:dyDescent="0.25">
      <c r="A67" s="5" t="s">
        <v>141</v>
      </c>
      <c r="B67" s="5" t="s">
        <v>18</v>
      </c>
      <c r="C67" s="5" t="s">
        <v>70</v>
      </c>
      <c r="D67" s="5" t="s">
        <v>82</v>
      </c>
      <c r="E67" s="5">
        <v>21</v>
      </c>
      <c r="F67" s="6" t="s">
        <v>216</v>
      </c>
      <c r="G67" s="5">
        <v>0.27600000000000002</v>
      </c>
    </row>
    <row r="68" spans="1:7" x14ac:dyDescent="0.25">
      <c r="A68" s="5" t="s">
        <v>142</v>
      </c>
      <c r="B68" s="5" t="s">
        <v>7</v>
      </c>
      <c r="C68" s="5" t="s">
        <v>69</v>
      </c>
      <c r="D68" s="5" t="s">
        <v>82</v>
      </c>
      <c r="E68" s="5">
        <v>21</v>
      </c>
      <c r="F68" s="6" t="s">
        <v>216</v>
      </c>
      <c r="G68" s="5">
        <v>0.214</v>
      </c>
    </row>
    <row r="69" spans="1:7" x14ac:dyDescent="0.25">
      <c r="A69" s="5" t="s">
        <v>143</v>
      </c>
      <c r="B69" s="5" t="s">
        <v>7</v>
      </c>
      <c r="C69" s="5" t="s">
        <v>69</v>
      </c>
      <c r="D69" s="5" t="s">
        <v>82</v>
      </c>
      <c r="E69" s="5">
        <v>21</v>
      </c>
      <c r="F69" s="6" t="s">
        <v>216</v>
      </c>
      <c r="G69" s="5">
        <v>0.311</v>
      </c>
    </row>
    <row r="70" spans="1:7" x14ac:dyDescent="0.25">
      <c r="A70" s="5" t="s">
        <v>144</v>
      </c>
      <c r="B70" s="5" t="s">
        <v>7</v>
      </c>
      <c r="C70" s="5" t="s">
        <v>69</v>
      </c>
      <c r="D70" s="5" t="s">
        <v>82</v>
      </c>
      <c r="E70" s="5">
        <v>21</v>
      </c>
      <c r="F70" s="6" t="s">
        <v>216</v>
      </c>
      <c r="G70" s="5">
        <v>0.28100000000000003</v>
      </c>
    </row>
    <row r="71" spans="1:7" x14ac:dyDescent="0.25">
      <c r="A71" s="5" t="s">
        <v>145</v>
      </c>
      <c r="B71" s="5" t="s">
        <v>18</v>
      </c>
      <c r="C71" s="5" t="s">
        <v>69</v>
      </c>
      <c r="D71" s="5" t="s">
        <v>82</v>
      </c>
      <c r="E71" s="5">
        <v>21</v>
      </c>
      <c r="F71" s="6" t="s">
        <v>216</v>
      </c>
      <c r="G71" s="5">
        <v>0.27800000000000002</v>
      </c>
    </row>
    <row r="72" spans="1:7" x14ac:dyDescent="0.25">
      <c r="A72" s="5" t="s">
        <v>146</v>
      </c>
      <c r="B72" s="5" t="s">
        <v>18</v>
      </c>
      <c r="C72" s="5" t="s">
        <v>69</v>
      </c>
      <c r="D72" s="5" t="s">
        <v>82</v>
      </c>
      <c r="E72" s="5">
        <v>21</v>
      </c>
      <c r="F72" s="6" t="s">
        <v>216</v>
      </c>
      <c r="G72" s="5">
        <v>0.28899999999999998</v>
      </c>
    </row>
    <row r="73" spans="1:7" x14ac:dyDescent="0.25">
      <c r="A73" s="5" t="s">
        <v>147</v>
      </c>
      <c r="B73" s="5" t="s">
        <v>18</v>
      </c>
      <c r="C73" s="5" t="s">
        <v>69</v>
      </c>
      <c r="D73" s="5" t="s">
        <v>82</v>
      </c>
      <c r="E73" s="5">
        <v>21</v>
      </c>
      <c r="F73" s="6" t="s">
        <v>216</v>
      </c>
      <c r="G73" s="5">
        <v>0.25800000000000001</v>
      </c>
    </row>
    <row r="74" spans="1:7" x14ac:dyDescent="0.25">
      <c r="A74" s="5" t="s">
        <v>148</v>
      </c>
      <c r="B74" s="5" t="s">
        <v>7</v>
      </c>
      <c r="C74" s="5" t="s">
        <v>273</v>
      </c>
      <c r="D74" s="5" t="s">
        <v>75</v>
      </c>
      <c r="E74" s="5">
        <v>28</v>
      </c>
      <c r="F74" s="6" t="s">
        <v>216</v>
      </c>
      <c r="G74" s="5">
        <v>8.9999999999999993E-3</v>
      </c>
    </row>
    <row r="75" spans="1:7" x14ac:dyDescent="0.25">
      <c r="A75" s="5" t="s">
        <v>149</v>
      </c>
      <c r="B75" s="5" t="s">
        <v>7</v>
      </c>
      <c r="C75" s="5" t="s">
        <v>273</v>
      </c>
      <c r="D75" s="5" t="s">
        <v>75</v>
      </c>
      <c r="E75" s="5">
        <v>28</v>
      </c>
      <c r="F75" s="6" t="s">
        <v>216</v>
      </c>
      <c r="G75" s="5">
        <v>1.6E-2</v>
      </c>
    </row>
    <row r="76" spans="1:7" x14ac:dyDescent="0.25">
      <c r="A76" s="5" t="s">
        <v>150</v>
      </c>
      <c r="B76" s="5" t="s">
        <v>7</v>
      </c>
      <c r="C76" s="5" t="s">
        <v>273</v>
      </c>
      <c r="D76" s="5" t="s">
        <v>75</v>
      </c>
      <c r="E76" s="5">
        <v>28</v>
      </c>
      <c r="F76" s="6" t="s">
        <v>216</v>
      </c>
      <c r="G76" s="5">
        <v>0.01</v>
      </c>
    </row>
    <row r="77" spans="1:7" x14ac:dyDescent="0.25">
      <c r="A77" s="5" t="s">
        <v>151</v>
      </c>
      <c r="B77" s="5" t="s">
        <v>18</v>
      </c>
      <c r="C77" s="5" t="s">
        <v>273</v>
      </c>
      <c r="D77" s="5" t="s">
        <v>75</v>
      </c>
      <c r="E77" s="5">
        <v>28</v>
      </c>
      <c r="F77" s="6" t="s">
        <v>216</v>
      </c>
      <c r="G77" s="5">
        <v>1.0999999999999999E-2</v>
      </c>
    </row>
    <row r="78" spans="1:7" x14ac:dyDescent="0.25">
      <c r="A78" s="5" t="s">
        <v>152</v>
      </c>
      <c r="B78" s="5" t="s">
        <v>18</v>
      </c>
      <c r="C78" s="5" t="s">
        <v>273</v>
      </c>
      <c r="D78" s="5" t="s">
        <v>75</v>
      </c>
      <c r="E78" s="5">
        <v>28</v>
      </c>
      <c r="F78" s="6" t="s">
        <v>216</v>
      </c>
      <c r="G78" s="5">
        <v>8.9999999999999993E-3</v>
      </c>
    </row>
    <row r="79" spans="1:7" x14ac:dyDescent="0.25">
      <c r="A79" s="5" t="s">
        <v>153</v>
      </c>
      <c r="B79" s="5" t="s">
        <v>18</v>
      </c>
      <c r="C79" s="5" t="s">
        <v>273</v>
      </c>
      <c r="D79" s="5" t="s">
        <v>75</v>
      </c>
      <c r="E79" s="5">
        <v>28</v>
      </c>
      <c r="F79" s="6" t="s">
        <v>216</v>
      </c>
      <c r="G79" s="5">
        <v>1.4999999999999999E-2</v>
      </c>
    </row>
    <row r="80" spans="1:7" x14ac:dyDescent="0.25">
      <c r="A80" s="5" t="s">
        <v>154</v>
      </c>
      <c r="B80" s="5" t="s">
        <v>7</v>
      </c>
      <c r="C80" s="5" t="s">
        <v>70</v>
      </c>
      <c r="D80" s="5" t="s">
        <v>82</v>
      </c>
      <c r="E80" s="5">
        <v>28</v>
      </c>
      <c r="F80" s="6" t="s">
        <v>216</v>
      </c>
      <c r="G80" s="5">
        <v>0.24299999999999999</v>
      </c>
    </row>
    <row r="81" spans="1:7" x14ac:dyDescent="0.25">
      <c r="A81" s="5" t="s">
        <v>155</v>
      </c>
      <c r="B81" s="5" t="s">
        <v>7</v>
      </c>
      <c r="C81" s="5" t="s">
        <v>70</v>
      </c>
      <c r="D81" s="5" t="s">
        <v>82</v>
      </c>
      <c r="E81" s="5">
        <v>28</v>
      </c>
      <c r="F81" s="6" t="s">
        <v>216</v>
      </c>
      <c r="G81" s="5">
        <v>0.21</v>
      </c>
    </row>
    <row r="82" spans="1:7" x14ac:dyDescent="0.25">
      <c r="A82" s="5" t="s">
        <v>156</v>
      </c>
      <c r="B82" s="5" t="s">
        <v>7</v>
      </c>
      <c r="C82" s="5" t="s">
        <v>70</v>
      </c>
      <c r="D82" s="5" t="s">
        <v>82</v>
      </c>
      <c r="E82" s="5">
        <v>28</v>
      </c>
      <c r="F82" s="6" t="s">
        <v>216</v>
      </c>
      <c r="G82" s="5">
        <v>0.182</v>
      </c>
    </row>
    <row r="83" spans="1:7" x14ac:dyDescent="0.25">
      <c r="A83" s="5" t="s">
        <v>157</v>
      </c>
      <c r="B83" s="5" t="s">
        <v>18</v>
      </c>
      <c r="C83" s="5" t="s">
        <v>70</v>
      </c>
      <c r="D83" s="5" t="s">
        <v>82</v>
      </c>
      <c r="E83" s="5">
        <v>28</v>
      </c>
      <c r="F83" s="6" t="s">
        <v>216</v>
      </c>
      <c r="G83" s="5">
        <v>0.22500000000000001</v>
      </c>
    </row>
    <row r="84" spans="1:7" x14ac:dyDescent="0.25">
      <c r="A84" s="5" t="s">
        <v>158</v>
      </c>
      <c r="B84" s="5" t="s">
        <v>18</v>
      </c>
      <c r="C84" s="5" t="s">
        <v>70</v>
      </c>
      <c r="D84" s="5" t="s">
        <v>82</v>
      </c>
      <c r="E84" s="5">
        <v>28</v>
      </c>
      <c r="F84" s="6" t="s">
        <v>216</v>
      </c>
      <c r="G84" s="5">
        <v>0.34200000000000003</v>
      </c>
    </row>
    <row r="85" spans="1:7" x14ac:dyDescent="0.25">
      <c r="A85" s="5" t="s">
        <v>159</v>
      </c>
      <c r="B85" s="5" t="s">
        <v>18</v>
      </c>
      <c r="C85" s="5" t="s">
        <v>70</v>
      </c>
      <c r="D85" s="5" t="s">
        <v>82</v>
      </c>
      <c r="E85" s="5">
        <v>28</v>
      </c>
      <c r="F85" s="6" t="s">
        <v>216</v>
      </c>
      <c r="G85" s="5">
        <v>0.29399999999999998</v>
      </c>
    </row>
    <row r="86" spans="1:7" x14ac:dyDescent="0.25">
      <c r="A86" s="5" t="s">
        <v>160</v>
      </c>
      <c r="B86" s="5" t="s">
        <v>7</v>
      </c>
      <c r="C86" s="5" t="s">
        <v>69</v>
      </c>
      <c r="D86" s="5" t="s">
        <v>82</v>
      </c>
      <c r="E86" s="5">
        <v>28</v>
      </c>
      <c r="F86" s="6" t="s">
        <v>216</v>
      </c>
      <c r="G86" s="5">
        <v>0.22500000000000001</v>
      </c>
    </row>
    <row r="87" spans="1:7" x14ac:dyDescent="0.25">
      <c r="A87" s="5" t="s">
        <v>161</v>
      </c>
      <c r="B87" s="5" t="s">
        <v>7</v>
      </c>
      <c r="C87" s="5" t="s">
        <v>69</v>
      </c>
      <c r="D87" s="5" t="s">
        <v>82</v>
      </c>
      <c r="E87" s="5">
        <v>28</v>
      </c>
      <c r="F87" s="6" t="s">
        <v>216</v>
      </c>
      <c r="G87" s="5">
        <v>0.248</v>
      </c>
    </row>
    <row r="88" spans="1:7" x14ac:dyDescent="0.25">
      <c r="A88" s="5" t="s">
        <v>162</v>
      </c>
      <c r="B88" s="5" t="s">
        <v>7</v>
      </c>
      <c r="C88" s="5" t="s">
        <v>69</v>
      </c>
      <c r="D88" s="5" t="s">
        <v>82</v>
      </c>
      <c r="E88" s="5">
        <v>28</v>
      </c>
      <c r="F88" s="6" t="s">
        <v>216</v>
      </c>
      <c r="G88" s="5">
        <v>0.19800000000000001</v>
      </c>
    </row>
    <row r="89" spans="1:7" x14ac:dyDescent="0.25">
      <c r="A89" s="5" t="s">
        <v>163</v>
      </c>
      <c r="B89" s="5" t="s">
        <v>18</v>
      </c>
      <c r="C89" s="5" t="s">
        <v>69</v>
      </c>
      <c r="D89" s="5" t="s">
        <v>82</v>
      </c>
      <c r="E89" s="5">
        <v>28</v>
      </c>
      <c r="F89" s="6" t="s">
        <v>216</v>
      </c>
      <c r="G89" s="5">
        <v>0.20799999999999999</v>
      </c>
    </row>
    <row r="90" spans="1:7" x14ac:dyDescent="0.25">
      <c r="A90" s="5" t="s">
        <v>164</v>
      </c>
      <c r="B90" s="5" t="s">
        <v>18</v>
      </c>
      <c r="C90" s="5" t="s">
        <v>69</v>
      </c>
      <c r="D90" s="5" t="s">
        <v>82</v>
      </c>
      <c r="E90" s="5">
        <v>28</v>
      </c>
      <c r="F90" s="6" t="s">
        <v>216</v>
      </c>
      <c r="G90" s="5">
        <v>0.254</v>
      </c>
    </row>
    <row r="91" spans="1:7" x14ac:dyDescent="0.25">
      <c r="A91" s="5" t="s">
        <v>165</v>
      </c>
      <c r="B91" s="5" t="s">
        <v>18</v>
      </c>
      <c r="C91" s="5" t="s">
        <v>69</v>
      </c>
      <c r="D91" s="5" t="s">
        <v>82</v>
      </c>
      <c r="E91" s="5">
        <v>28</v>
      </c>
      <c r="F91" s="6" t="s">
        <v>216</v>
      </c>
      <c r="G91" s="5">
        <v>0.26</v>
      </c>
    </row>
    <row r="92" spans="1:7" x14ac:dyDescent="0.25">
      <c r="A92" s="5" t="s">
        <v>166</v>
      </c>
      <c r="B92" s="5" t="s">
        <v>7</v>
      </c>
      <c r="C92" s="5" t="s">
        <v>273</v>
      </c>
      <c r="D92" s="5" t="s">
        <v>75</v>
      </c>
      <c r="E92" s="5">
        <v>34</v>
      </c>
      <c r="F92" s="6" t="s">
        <v>216</v>
      </c>
      <c r="G92" s="5">
        <v>1.9E-2</v>
      </c>
    </row>
    <row r="93" spans="1:7" x14ac:dyDescent="0.25">
      <c r="A93" s="5" t="s">
        <v>167</v>
      </c>
      <c r="B93" s="5" t="s">
        <v>7</v>
      </c>
      <c r="C93" s="5" t="s">
        <v>273</v>
      </c>
      <c r="D93" s="5" t="s">
        <v>75</v>
      </c>
      <c r="E93" s="5">
        <v>34</v>
      </c>
      <c r="F93" s="6" t="s">
        <v>216</v>
      </c>
      <c r="G93" s="5">
        <v>1.7000000000000001E-2</v>
      </c>
    </row>
    <row r="94" spans="1:7" x14ac:dyDescent="0.25">
      <c r="A94" s="5" t="s">
        <v>168</v>
      </c>
      <c r="B94" s="5" t="s">
        <v>7</v>
      </c>
      <c r="C94" s="5" t="s">
        <v>273</v>
      </c>
      <c r="D94" s="5" t="s">
        <v>75</v>
      </c>
      <c r="E94" s="5">
        <v>34</v>
      </c>
      <c r="F94" s="6" t="s">
        <v>216</v>
      </c>
      <c r="G94" s="5">
        <v>1.4E-2</v>
      </c>
    </row>
    <row r="95" spans="1:7" x14ac:dyDescent="0.25">
      <c r="A95" s="5" t="s">
        <v>169</v>
      </c>
      <c r="B95" s="5" t="s">
        <v>18</v>
      </c>
      <c r="C95" s="5" t="s">
        <v>273</v>
      </c>
      <c r="D95" s="5" t="s">
        <v>75</v>
      </c>
      <c r="E95" s="5">
        <v>34</v>
      </c>
      <c r="F95" s="6" t="s">
        <v>216</v>
      </c>
      <c r="G95" s="5">
        <v>1.7000000000000001E-2</v>
      </c>
    </row>
    <row r="96" spans="1:7" x14ac:dyDescent="0.25">
      <c r="A96" s="5" t="s">
        <v>170</v>
      </c>
      <c r="B96" s="5" t="s">
        <v>18</v>
      </c>
      <c r="C96" s="5" t="s">
        <v>273</v>
      </c>
      <c r="D96" s="5" t="s">
        <v>75</v>
      </c>
      <c r="E96" s="5">
        <v>34</v>
      </c>
      <c r="F96" s="6" t="s">
        <v>216</v>
      </c>
      <c r="G96" s="5">
        <v>1.4E-2</v>
      </c>
    </row>
    <row r="97" spans="1:7" x14ac:dyDescent="0.25">
      <c r="A97" s="5" t="s">
        <v>171</v>
      </c>
      <c r="B97" s="5" t="s">
        <v>18</v>
      </c>
      <c r="C97" s="5" t="s">
        <v>273</v>
      </c>
      <c r="D97" s="5" t="s">
        <v>75</v>
      </c>
      <c r="E97" s="5">
        <v>34</v>
      </c>
      <c r="F97" s="6" t="s">
        <v>216</v>
      </c>
      <c r="G97" s="5">
        <v>3.5999999999999997E-2</v>
      </c>
    </row>
    <row r="98" spans="1:7" x14ac:dyDescent="0.25">
      <c r="A98" s="5" t="s">
        <v>172</v>
      </c>
      <c r="B98" s="5" t="s">
        <v>7</v>
      </c>
      <c r="C98" s="5" t="s">
        <v>70</v>
      </c>
      <c r="D98" s="5" t="s">
        <v>82</v>
      </c>
      <c r="E98" s="5">
        <v>34</v>
      </c>
      <c r="F98" s="6" t="s">
        <v>216</v>
      </c>
      <c r="G98" s="5">
        <v>0.221</v>
      </c>
    </row>
    <row r="99" spans="1:7" x14ac:dyDescent="0.25">
      <c r="A99" s="5" t="s">
        <v>173</v>
      </c>
      <c r="B99" s="5" t="s">
        <v>7</v>
      </c>
      <c r="C99" s="5" t="s">
        <v>70</v>
      </c>
      <c r="D99" s="5" t="s">
        <v>82</v>
      </c>
      <c r="E99" s="5">
        <v>34</v>
      </c>
      <c r="F99" s="6" t="s">
        <v>216</v>
      </c>
      <c r="G99" s="5">
        <v>0.17899999999999999</v>
      </c>
    </row>
    <row r="100" spans="1:7" x14ac:dyDescent="0.25">
      <c r="A100" s="5" t="s">
        <v>174</v>
      </c>
      <c r="B100" s="5" t="s">
        <v>7</v>
      </c>
      <c r="C100" s="5" t="s">
        <v>70</v>
      </c>
      <c r="D100" s="5" t="s">
        <v>82</v>
      </c>
      <c r="E100" s="5">
        <v>34</v>
      </c>
      <c r="F100" s="6" t="s">
        <v>216</v>
      </c>
      <c r="G100" s="5">
        <v>0.17599999999999999</v>
      </c>
    </row>
    <row r="101" spans="1:7" x14ac:dyDescent="0.25">
      <c r="A101" s="5" t="s">
        <v>175</v>
      </c>
      <c r="B101" s="5" t="s">
        <v>18</v>
      </c>
      <c r="C101" s="5" t="s">
        <v>70</v>
      </c>
      <c r="D101" s="5" t="s">
        <v>82</v>
      </c>
      <c r="E101" s="5">
        <v>34</v>
      </c>
      <c r="F101" s="6" t="s">
        <v>216</v>
      </c>
      <c r="G101" s="5">
        <v>0.24299999999999999</v>
      </c>
    </row>
    <row r="102" spans="1:7" x14ac:dyDescent="0.25">
      <c r="A102" s="5" t="s">
        <v>176</v>
      </c>
      <c r="B102" s="5" t="s">
        <v>18</v>
      </c>
      <c r="C102" s="5" t="s">
        <v>70</v>
      </c>
      <c r="D102" s="5" t="s">
        <v>82</v>
      </c>
      <c r="E102" s="5">
        <v>34</v>
      </c>
      <c r="F102" s="6" t="s">
        <v>216</v>
      </c>
      <c r="G102" s="5">
        <v>0.38500000000000001</v>
      </c>
    </row>
    <row r="103" spans="1:7" x14ac:dyDescent="0.25">
      <c r="A103" s="5" t="s">
        <v>177</v>
      </c>
      <c r="B103" s="5" t="s">
        <v>18</v>
      </c>
      <c r="C103" s="5" t="s">
        <v>70</v>
      </c>
      <c r="D103" s="5" t="s">
        <v>82</v>
      </c>
      <c r="E103" s="5">
        <v>34</v>
      </c>
      <c r="F103" s="6" t="s">
        <v>216</v>
      </c>
      <c r="G103" s="5">
        <v>0.17699999999999999</v>
      </c>
    </row>
    <row r="104" spans="1:7" x14ac:dyDescent="0.25">
      <c r="A104" s="5" t="s">
        <v>178</v>
      </c>
      <c r="B104" s="5" t="s">
        <v>7</v>
      </c>
      <c r="C104" s="5" t="s">
        <v>69</v>
      </c>
      <c r="D104" s="5" t="s">
        <v>82</v>
      </c>
      <c r="E104" s="5">
        <v>34</v>
      </c>
      <c r="F104" s="6" t="s">
        <v>216</v>
      </c>
      <c r="G104" s="5">
        <v>0.217</v>
      </c>
    </row>
    <row r="105" spans="1:7" x14ac:dyDescent="0.25">
      <c r="A105" s="5" t="s">
        <v>179</v>
      </c>
      <c r="B105" s="5" t="s">
        <v>7</v>
      </c>
      <c r="C105" s="5" t="s">
        <v>69</v>
      </c>
      <c r="D105" s="5" t="s">
        <v>82</v>
      </c>
      <c r="E105" s="5">
        <v>34</v>
      </c>
      <c r="F105" s="6" t="s">
        <v>216</v>
      </c>
      <c r="G105" s="5">
        <v>0.23400000000000001</v>
      </c>
    </row>
    <row r="106" spans="1:7" x14ac:dyDescent="0.25">
      <c r="A106" s="5" t="s">
        <v>180</v>
      </c>
      <c r="B106" s="5" t="s">
        <v>7</v>
      </c>
      <c r="C106" s="5" t="s">
        <v>69</v>
      </c>
      <c r="D106" s="5" t="s">
        <v>82</v>
      </c>
      <c r="E106" s="5">
        <v>34</v>
      </c>
      <c r="F106" s="6" t="s">
        <v>216</v>
      </c>
      <c r="G106" s="5">
        <v>0.253</v>
      </c>
    </row>
    <row r="107" spans="1:7" x14ac:dyDescent="0.25">
      <c r="A107" s="5" t="s">
        <v>181</v>
      </c>
      <c r="B107" s="5" t="s">
        <v>18</v>
      </c>
      <c r="C107" s="5" t="s">
        <v>69</v>
      </c>
      <c r="D107" s="5" t="s">
        <v>82</v>
      </c>
      <c r="E107" s="5">
        <v>34</v>
      </c>
      <c r="F107" s="6" t="s">
        <v>216</v>
      </c>
      <c r="G107" s="5">
        <v>0.20599999999999999</v>
      </c>
    </row>
    <row r="108" spans="1:7" x14ac:dyDescent="0.25">
      <c r="A108" s="5" t="s">
        <v>182</v>
      </c>
      <c r="B108" s="5" t="s">
        <v>18</v>
      </c>
      <c r="C108" s="5" t="s">
        <v>69</v>
      </c>
      <c r="D108" s="5" t="s">
        <v>82</v>
      </c>
      <c r="E108" s="5">
        <v>34</v>
      </c>
      <c r="F108" s="6" t="s">
        <v>216</v>
      </c>
      <c r="G108" s="5">
        <v>0.19500000000000001</v>
      </c>
    </row>
    <row r="109" spans="1:7" x14ac:dyDescent="0.25">
      <c r="A109" s="5" t="s">
        <v>183</v>
      </c>
      <c r="B109" s="5" t="s">
        <v>18</v>
      </c>
      <c r="C109" s="5" t="s">
        <v>69</v>
      </c>
      <c r="D109" s="5" t="s">
        <v>82</v>
      </c>
      <c r="E109" s="5">
        <v>34</v>
      </c>
      <c r="F109" s="6" t="s">
        <v>216</v>
      </c>
      <c r="G109" s="5">
        <v>0.255</v>
      </c>
    </row>
    <row r="110" spans="1:7" x14ac:dyDescent="0.25">
      <c r="A110" s="5" t="s">
        <v>184</v>
      </c>
      <c r="B110" s="5" t="s">
        <v>7</v>
      </c>
      <c r="C110" s="5" t="s">
        <v>273</v>
      </c>
      <c r="D110" s="5" t="s">
        <v>75</v>
      </c>
      <c r="E110" s="5">
        <v>41</v>
      </c>
      <c r="F110" s="6" t="s">
        <v>216</v>
      </c>
      <c r="G110" s="5">
        <v>1.4999999999999999E-2</v>
      </c>
    </row>
    <row r="111" spans="1:7" x14ac:dyDescent="0.25">
      <c r="A111" s="5" t="s">
        <v>185</v>
      </c>
      <c r="B111" s="5" t="s">
        <v>7</v>
      </c>
      <c r="C111" s="5" t="s">
        <v>273</v>
      </c>
      <c r="D111" s="5" t="s">
        <v>75</v>
      </c>
      <c r="E111" s="5">
        <v>41</v>
      </c>
      <c r="F111" s="6" t="s">
        <v>216</v>
      </c>
      <c r="G111" s="5">
        <v>1.4E-2</v>
      </c>
    </row>
    <row r="112" spans="1:7" x14ac:dyDescent="0.25">
      <c r="A112" s="5" t="s">
        <v>186</v>
      </c>
      <c r="B112" s="5" t="s">
        <v>7</v>
      </c>
      <c r="C112" s="5" t="s">
        <v>273</v>
      </c>
      <c r="D112" s="5" t="s">
        <v>75</v>
      </c>
      <c r="E112" s="5">
        <v>41</v>
      </c>
      <c r="F112" s="6" t="s">
        <v>216</v>
      </c>
      <c r="G112" s="5">
        <v>1.2E-2</v>
      </c>
    </row>
    <row r="113" spans="1:7" x14ac:dyDescent="0.25">
      <c r="A113" s="5" t="s">
        <v>187</v>
      </c>
      <c r="B113" s="5" t="s">
        <v>18</v>
      </c>
      <c r="C113" s="5" t="s">
        <v>273</v>
      </c>
      <c r="D113" s="5" t="s">
        <v>75</v>
      </c>
      <c r="E113" s="5">
        <v>41</v>
      </c>
      <c r="F113" s="6" t="s">
        <v>216</v>
      </c>
      <c r="G113" s="5">
        <v>1.6E-2</v>
      </c>
    </row>
    <row r="114" spans="1:7" x14ac:dyDescent="0.25">
      <c r="A114" s="5" t="s">
        <v>188</v>
      </c>
      <c r="B114" s="5" t="s">
        <v>18</v>
      </c>
      <c r="C114" s="5" t="s">
        <v>273</v>
      </c>
      <c r="D114" s="5" t="s">
        <v>75</v>
      </c>
      <c r="E114" s="5">
        <v>41</v>
      </c>
      <c r="F114" s="6" t="s">
        <v>216</v>
      </c>
      <c r="G114" s="5">
        <v>1.9E-2</v>
      </c>
    </row>
    <row r="115" spans="1:7" x14ac:dyDescent="0.25">
      <c r="A115" s="5" t="s">
        <v>189</v>
      </c>
      <c r="B115" s="5" t="s">
        <v>18</v>
      </c>
      <c r="C115" s="5" t="s">
        <v>273</v>
      </c>
      <c r="D115" s="5" t="s">
        <v>75</v>
      </c>
      <c r="E115" s="5">
        <v>41</v>
      </c>
      <c r="F115" s="6" t="s">
        <v>216</v>
      </c>
      <c r="G115" s="5">
        <v>0.01</v>
      </c>
    </row>
    <row r="116" spans="1:7" x14ac:dyDescent="0.25">
      <c r="A116" s="5" t="s">
        <v>190</v>
      </c>
      <c r="B116" s="5" t="s">
        <v>7</v>
      </c>
      <c r="C116" s="5" t="s">
        <v>70</v>
      </c>
      <c r="D116" s="5" t="s">
        <v>82</v>
      </c>
      <c r="E116" s="5">
        <v>41</v>
      </c>
      <c r="F116" s="6" t="s">
        <v>216</v>
      </c>
      <c r="G116" s="5">
        <v>0.29499999999999998</v>
      </c>
    </row>
    <row r="117" spans="1:7" x14ac:dyDescent="0.25">
      <c r="A117" s="5" t="s">
        <v>191</v>
      </c>
      <c r="B117" s="5" t="s">
        <v>7</v>
      </c>
      <c r="C117" s="5" t="s">
        <v>70</v>
      </c>
      <c r="D117" s="5" t="s">
        <v>82</v>
      </c>
      <c r="E117" s="5">
        <v>41</v>
      </c>
      <c r="F117" s="6" t="s">
        <v>216</v>
      </c>
      <c r="G117" s="5">
        <v>0.23300000000000001</v>
      </c>
    </row>
    <row r="118" spans="1:7" x14ac:dyDescent="0.25">
      <c r="A118" s="5" t="s">
        <v>192</v>
      </c>
      <c r="B118" s="5" t="s">
        <v>7</v>
      </c>
      <c r="C118" s="5" t="s">
        <v>70</v>
      </c>
      <c r="D118" s="5" t="s">
        <v>82</v>
      </c>
      <c r="E118" s="5">
        <v>41</v>
      </c>
      <c r="F118" s="6" t="s">
        <v>216</v>
      </c>
      <c r="G118" s="5">
        <v>0.27800000000000002</v>
      </c>
    </row>
    <row r="119" spans="1:7" x14ac:dyDescent="0.25">
      <c r="A119" s="5" t="s">
        <v>193</v>
      </c>
      <c r="B119" s="5" t="s">
        <v>18</v>
      </c>
      <c r="C119" s="5" t="s">
        <v>70</v>
      </c>
      <c r="D119" s="5" t="s">
        <v>82</v>
      </c>
      <c r="E119" s="5">
        <v>41</v>
      </c>
      <c r="F119" s="6" t="s">
        <v>216</v>
      </c>
      <c r="G119" s="5">
        <v>0.223</v>
      </c>
    </row>
    <row r="120" spans="1:7" x14ac:dyDescent="0.25">
      <c r="A120" s="5" t="s">
        <v>194</v>
      </c>
      <c r="B120" s="5" t="s">
        <v>18</v>
      </c>
      <c r="C120" s="5" t="s">
        <v>70</v>
      </c>
      <c r="D120" s="5" t="s">
        <v>82</v>
      </c>
      <c r="E120" s="5">
        <v>41</v>
      </c>
      <c r="F120" s="6" t="s">
        <v>216</v>
      </c>
      <c r="G120" s="5">
        <v>0.32800000000000001</v>
      </c>
    </row>
    <row r="121" spans="1:7" x14ac:dyDescent="0.25">
      <c r="A121" s="5" t="s">
        <v>195</v>
      </c>
      <c r="B121" s="5" t="s">
        <v>18</v>
      </c>
      <c r="C121" s="5" t="s">
        <v>70</v>
      </c>
      <c r="D121" s="5" t="s">
        <v>82</v>
      </c>
      <c r="E121" s="5">
        <v>41</v>
      </c>
      <c r="F121" s="6" t="s">
        <v>216</v>
      </c>
      <c r="G121" s="5">
        <v>0.22</v>
      </c>
    </row>
    <row r="122" spans="1:7" x14ac:dyDescent="0.25">
      <c r="A122" s="5" t="s">
        <v>196</v>
      </c>
      <c r="B122" s="5" t="s">
        <v>7</v>
      </c>
      <c r="C122" s="5" t="s">
        <v>69</v>
      </c>
      <c r="D122" s="5" t="s">
        <v>82</v>
      </c>
      <c r="E122" s="5">
        <v>41</v>
      </c>
      <c r="F122" s="6" t="s">
        <v>216</v>
      </c>
      <c r="G122" s="5">
        <v>0.20699999999999999</v>
      </c>
    </row>
    <row r="123" spans="1:7" x14ac:dyDescent="0.25">
      <c r="A123" s="5" t="s">
        <v>197</v>
      </c>
      <c r="B123" s="5" t="s">
        <v>7</v>
      </c>
      <c r="C123" s="5" t="s">
        <v>69</v>
      </c>
      <c r="D123" s="5" t="s">
        <v>82</v>
      </c>
      <c r="E123" s="5">
        <v>41</v>
      </c>
      <c r="F123" s="6" t="s">
        <v>216</v>
      </c>
      <c r="G123" s="5">
        <v>0.17499999999999999</v>
      </c>
    </row>
    <row r="124" spans="1:7" x14ac:dyDescent="0.25">
      <c r="A124" s="5" t="s">
        <v>198</v>
      </c>
      <c r="B124" s="5" t="s">
        <v>7</v>
      </c>
      <c r="C124" s="5" t="s">
        <v>69</v>
      </c>
      <c r="D124" s="5" t="s">
        <v>82</v>
      </c>
      <c r="E124" s="5">
        <v>41</v>
      </c>
      <c r="F124" s="6" t="s">
        <v>216</v>
      </c>
      <c r="G124" s="5">
        <v>0.26600000000000001</v>
      </c>
    </row>
    <row r="125" spans="1:7" x14ac:dyDescent="0.25">
      <c r="A125" s="5" t="s">
        <v>199</v>
      </c>
      <c r="B125" s="5" t="s">
        <v>18</v>
      </c>
      <c r="C125" s="5" t="s">
        <v>69</v>
      </c>
      <c r="D125" s="5" t="s">
        <v>82</v>
      </c>
      <c r="E125" s="5">
        <v>41</v>
      </c>
      <c r="F125" s="6" t="s">
        <v>216</v>
      </c>
      <c r="G125" s="5">
        <v>0.24099999999999999</v>
      </c>
    </row>
    <row r="126" spans="1:7" x14ac:dyDescent="0.25">
      <c r="A126" s="5" t="s">
        <v>200</v>
      </c>
      <c r="B126" s="5" t="s">
        <v>18</v>
      </c>
      <c r="C126" s="5" t="s">
        <v>69</v>
      </c>
      <c r="D126" s="5" t="s">
        <v>82</v>
      </c>
      <c r="E126" s="5">
        <v>41</v>
      </c>
      <c r="F126" s="6" t="s">
        <v>216</v>
      </c>
      <c r="G126" s="5">
        <v>0.24299999999999999</v>
      </c>
    </row>
    <row r="127" spans="1:7" x14ac:dyDescent="0.25">
      <c r="A127" s="5" t="s">
        <v>201</v>
      </c>
      <c r="B127" s="5" t="s">
        <v>18</v>
      </c>
      <c r="C127" s="5" t="s">
        <v>69</v>
      </c>
      <c r="D127" s="5" t="s">
        <v>82</v>
      </c>
      <c r="E127" s="5">
        <v>41</v>
      </c>
      <c r="F127" s="6" t="s">
        <v>216</v>
      </c>
      <c r="G127" s="5">
        <v>0.247</v>
      </c>
    </row>
    <row r="128" spans="1:7" x14ac:dyDescent="0.25">
      <c r="A128" s="5" t="s">
        <v>202</v>
      </c>
      <c r="B128" s="5" t="s">
        <v>45</v>
      </c>
      <c r="C128" s="5" t="s">
        <v>70</v>
      </c>
      <c r="D128" s="5" t="s">
        <v>82</v>
      </c>
      <c r="E128" s="5">
        <v>0</v>
      </c>
      <c r="F128" s="6" t="s">
        <v>217</v>
      </c>
      <c r="G128" s="5">
        <v>0.22125</v>
      </c>
    </row>
    <row r="129" spans="1:7" x14ac:dyDescent="0.25">
      <c r="A129" s="5" t="s">
        <v>203</v>
      </c>
      <c r="B129" s="5" t="s">
        <v>45</v>
      </c>
      <c r="C129" s="5" t="s">
        <v>70</v>
      </c>
      <c r="D129" s="5" t="s">
        <v>82</v>
      </c>
      <c r="E129" s="5">
        <v>0</v>
      </c>
      <c r="F129" s="6" t="s">
        <v>217</v>
      </c>
      <c r="G129" s="5">
        <v>0.22</v>
      </c>
    </row>
    <row r="130" spans="1:7" x14ac:dyDescent="0.25">
      <c r="A130" s="5" t="s">
        <v>204</v>
      </c>
      <c r="B130" s="5" t="s">
        <v>45</v>
      </c>
      <c r="C130" s="5" t="s">
        <v>70</v>
      </c>
      <c r="D130" s="5" t="s">
        <v>82</v>
      </c>
      <c r="E130" s="5">
        <v>0</v>
      </c>
      <c r="F130" s="6" t="s">
        <v>217</v>
      </c>
      <c r="G130" s="5">
        <v>0.23350000000000001</v>
      </c>
    </row>
    <row r="131" spans="1:7" x14ac:dyDescent="0.25">
      <c r="A131" s="5" t="s">
        <v>205</v>
      </c>
      <c r="B131" s="5" t="s">
        <v>13</v>
      </c>
      <c r="C131" s="5" t="s">
        <v>70</v>
      </c>
      <c r="D131" s="5" t="s">
        <v>82</v>
      </c>
      <c r="E131" s="5">
        <v>0</v>
      </c>
      <c r="F131" s="6" t="s">
        <v>217</v>
      </c>
      <c r="G131" s="5">
        <v>0.23924999999999999</v>
      </c>
    </row>
    <row r="132" spans="1:7" x14ac:dyDescent="0.25">
      <c r="A132" s="5" t="s">
        <v>206</v>
      </c>
      <c r="B132" s="5" t="s">
        <v>13</v>
      </c>
      <c r="C132" s="5" t="s">
        <v>70</v>
      </c>
      <c r="D132" s="5" t="s">
        <v>82</v>
      </c>
      <c r="E132" s="5">
        <v>0</v>
      </c>
      <c r="F132" s="6" t="s">
        <v>217</v>
      </c>
      <c r="G132" s="5">
        <v>0.23225000000000001</v>
      </c>
    </row>
    <row r="133" spans="1:7" x14ac:dyDescent="0.25">
      <c r="A133" s="5" t="s">
        <v>207</v>
      </c>
      <c r="B133" s="5" t="s">
        <v>13</v>
      </c>
      <c r="C133" s="5" t="s">
        <v>70</v>
      </c>
      <c r="D133" s="5" t="s">
        <v>82</v>
      </c>
      <c r="E133" s="5">
        <v>0</v>
      </c>
      <c r="F133" s="6" t="s">
        <v>217</v>
      </c>
      <c r="G133" s="5">
        <v>0.23699999999999999</v>
      </c>
    </row>
    <row r="134" spans="1:7" x14ac:dyDescent="0.25">
      <c r="A134" s="5" t="s">
        <v>208</v>
      </c>
      <c r="B134" s="5" t="s">
        <v>17</v>
      </c>
      <c r="C134" s="5" t="s">
        <v>70</v>
      </c>
      <c r="D134" s="5" t="s">
        <v>82</v>
      </c>
      <c r="E134" s="5">
        <v>0</v>
      </c>
      <c r="F134" s="6" t="s">
        <v>217</v>
      </c>
      <c r="G134" s="5">
        <v>0.24925</v>
      </c>
    </row>
    <row r="135" spans="1:7" x14ac:dyDescent="0.25">
      <c r="A135" s="5" t="s">
        <v>209</v>
      </c>
      <c r="B135" s="5" t="s">
        <v>17</v>
      </c>
      <c r="C135" s="5" t="s">
        <v>70</v>
      </c>
      <c r="D135" s="5" t="s">
        <v>82</v>
      </c>
      <c r="E135" s="5">
        <v>0</v>
      </c>
      <c r="F135" s="6" t="s">
        <v>217</v>
      </c>
      <c r="G135" s="5">
        <v>0.24374999999999999</v>
      </c>
    </row>
    <row r="136" spans="1:7" x14ac:dyDescent="0.25">
      <c r="A136" s="5" t="s">
        <v>210</v>
      </c>
      <c r="B136" s="5" t="s">
        <v>17</v>
      </c>
      <c r="C136" s="5" t="s">
        <v>70</v>
      </c>
      <c r="D136" s="5" t="s">
        <v>82</v>
      </c>
      <c r="E136" s="5">
        <v>0</v>
      </c>
      <c r="F136" s="6" t="s">
        <v>217</v>
      </c>
      <c r="G136" s="5">
        <v>0.28125</v>
      </c>
    </row>
    <row r="137" spans="1:7" x14ac:dyDescent="0.25">
      <c r="A137" s="5" t="s">
        <v>211</v>
      </c>
      <c r="B137" s="5" t="s">
        <v>20</v>
      </c>
      <c r="C137" s="5" t="s">
        <v>70</v>
      </c>
      <c r="D137" s="5" t="s">
        <v>82</v>
      </c>
      <c r="E137" s="5">
        <v>0</v>
      </c>
      <c r="F137" s="6" t="s">
        <v>217</v>
      </c>
      <c r="G137" s="5">
        <v>0.25874999999999998</v>
      </c>
    </row>
    <row r="138" spans="1:7" x14ac:dyDescent="0.25">
      <c r="A138" s="5" t="s">
        <v>212</v>
      </c>
      <c r="B138" s="5" t="s">
        <v>20</v>
      </c>
      <c r="C138" s="5" t="s">
        <v>70</v>
      </c>
      <c r="D138" s="5" t="s">
        <v>82</v>
      </c>
      <c r="E138" s="5">
        <v>0</v>
      </c>
      <c r="F138" s="6" t="s">
        <v>217</v>
      </c>
      <c r="G138" s="5">
        <v>0.17324999999999999</v>
      </c>
    </row>
    <row r="139" spans="1:7" x14ac:dyDescent="0.25">
      <c r="A139" s="5" t="s">
        <v>213</v>
      </c>
      <c r="B139" s="5" t="s">
        <v>20</v>
      </c>
      <c r="C139" s="5" t="s">
        <v>70</v>
      </c>
      <c r="D139" s="5" t="s">
        <v>82</v>
      </c>
      <c r="E139" s="5">
        <v>0</v>
      </c>
      <c r="F139" s="6" t="s">
        <v>217</v>
      </c>
      <c r="G139" s="5">
        <v>0.36325000000000002</v>
      </c>
    </row>
    <row r="140" spans="1:7" x14ac:dyDescent="0.25">
      <c r="A140" s="5" t="s">
        <v>202</v>
      </c>
      <c r="B140" s="5" t="s">
        <v>45</v>
      </c>
      <c r="C140" s="5" t="s">
        <v>70</v>
      </c>
      <c r="D140" s="5" t="s">
        <v>75</v>
      </c>
      <c r="E140" s="5">
        <v>0</v>
      </c>
      <c r="F140" s="6" t="s">
        <v>217</v>
      </c>
      <c r="G140" s="5">
        <v>2.2499999999999999E-2</v>
      </c>
    </row>
    <row r="141" spans="1:7" x14ac:dyDescent="0.25">
      <c r="A141" s="5" t="s">
        <v>203</v>
      </c>
      <c r="B141" s="5" t="s">
        <v>45</v>
      </c>
      <c r="C141" s="5" t="s">
        <v>70</v>
      </c>
      <c r="D141" s="5" t="s">
        <v>75</v>
      </c>
      <c r="E141" s="5">
        <v>0</v>
      </c>
      <c r="F141" s="6" t="s">
        <v>217</v>
      </c>
      <c r="G141" s="5">
        <v>1.175E-2</v>
      </c>
    </row>
    <row r="142" spans="1:7" x14ac:dyDescent="0.25">
      <c r="A142" s="5" t="s">
        <v>204</v>
      </c>
      <c r="B142" s="5" t="s">
        <v>45</v>
      </c>
      <c r="C142" s="5" t="s">
        <v>70</v>
      </c>
      <c r="D142" s="5" t="s">
        <v>75</v>
      </c>
      <c r="E142" s="5">
        <v>0</v>
      </c>
      <c r="F142" s="6" t="s">
        <v>217</v>
      </c>
      <c r="G142" s="5">
        <v>1.975E-2</v>
      </c>
    </row>
    <row r="143" spans="1:7" x14ac:dyDescent="0.25">
      <c r="A143" s="5" t="s">
        <v>205</v>
      </c>
      <c r="B143" s="5" t="s">
        <v>13</v>
      </c>
      <c r="C143" s="5" t="s">
        <v>70</v>
      </c>
      <c r="D143" s="5" t="s">
        <v>75</v>
      </c>
      <c r="E143" s="5">
        <v>0</v>
      </c>
      <c r="F143" s="6" t="s">
        <v>217</v>
      </c>
      <c r="G143" s="5">
        <v>7.4999999999999997E-3</v>
      </c>
    </row>
    <row r="144" spans="1:7" x14ac:dyDescent="0.25">
      <c r="A144" s="5" t="s">
        <v>206</v>
      </c>
      <c r="B144" s="5" t="s">
        <v>13</v>
      </c>
      <c r="C144" s="5" t="s">
        <v>70</v>
      </c>
      <c r="D144" s="5" t="s">
        <v>75</v>
      </c>
      <c r="E144" s="5">
        <v>0</v>
      </c>
      <c r="F144" s="6" t="s">
        <v>217</v>
      </c>
      <c r="G144" s="5">
        <v>1.0749999999999999E-2</v>
      </c>
    </row>
    <row r="145" spans="1:7" x14ac:dyDescent="0.25">
      <c r="A145" s="5" t="s">
        <v>207</v>
      </c>
      <c r="B145" s="5" t="s">
        <v>13</v>
      </c>
      <c r="C145" s="5" t="s">
        <v>70</v>
      </c>
      <c r="D145" s="5" t="s">
        <v>75</v>
      </c>
      <c r="E145" s="5">
        <v>0</v>
      </c>
      <c r="F145" s="6" t="s">
        <v>217</v>
      </c>
      <c r="G145" s="5">
        <v>2.5000000000000001E-3</v>
      </c>
    </row>
    <row r="146" spans="1:7" x14ac:dyDescent="0.25">
      <c r="A146" s="5" t="s">
        <v>208</v>
      </c>
      <c r="B146" s="5" t="s">
        <v>17</v>
      </c>
      <c r="C146" s="5" t="s">
        <v>70</v>
      </c>
      <c r="D146" s="5" t="s">
        <v>75</v>
      </c>
      <c r="E146" s="5">
        <v>0</v>
      </c>
      <c r="F146" s="6" t="s">
        <v>217</v>
      </c>
      <c r="G146" s="5">
        <v>3.5999999999999997E-2</v>
      </c>
    </row>
    <row r="147" spans="1:7" x14ac:dyDescent="0.25">
      <c r="A147" s="5" t="s">
        <v>209</v>
      </c>
      <c r="B147" s="5" t="s">
        <v>17</v>
      </c>
      <c r="C147" s="5" t="s">
        <v>70</v>
      </c>
      <c r="D147" s="5" t="s">
        <v>75</v>
      </c>
      <c r="E147" s="5">
        <v>0</v>
      </c>
      <c r="F147" s="6" t="s">
        <v>217</v>
      </c>
      <c r="G147" s="5">
        <v>1.4500000000000001E-2</v>
      </c>
    </row>
    <row r="148" spans="1:7" x14ac:dyDescent="0.25">
      <c r="A148" s="5" t="s">
        <v>210</v>
      </c>
      <c r="B148" s="5" t="s">
        <v>17</v>
      </c>
      <c r="C148" s="5" t="s">
        <v>70</v>
      </c>
      <c r="D148" s="5" t="s">
        <v>75</v>
      </c>
      <c r="E148" s="5">
        <v>0</v>
      </c>
      <c r="F148" s="6" t="s">
        <v>217</v>
      </c>
      <c r="G148" s="5">
        <v>2.0250000000000001E-2</v>
      </c>
    </row>
    <row r="149" spans="1:7" x14ac:dyDescent="0.25">
      <c r="A149" s="5" t="s">
        <v>211</v>
      </c>
      <c r="B149" s="5" t="s">
        <v>20</v>
      </c>
      <c r="C149" s="5" t="s">
        <v>70</v>
      </c>
      <c r="D149" s="5" t="s">
        <v>75</v>
      </c>
      <c r="E149" s="5">
        <v>0</v>
      </c>
      <c r="F149" s="6" t="s">
        <v>217</v>
      </c>
      <c r="G149" s="5">
        <v>1.4749999999999999E-2</v>
      </c>
    </row>
    <row r="150" spans="1:7" x14ac:dyDescent="0.25">
      <c r="A150" s="5" t="s">
        <v>212</v>
      </c>
      <c r="B150" s="5" t="s">
        <v>20</v>
      </c>
      <c r="C150" s="5" t="s">
        <v>70</v>
      </c>
      <c r="D150" s="5" t="s">
        <v>75</v>
      </c>
      <c r="E150" s="5">
        <v>0</v>
      </c>
      <c r="F150" s="6" t="s">
        <v>217</v>
      </c>
      <c r="G150" s="5">
        <v>1.525E-2</v>
      </c>
    </row>
    <row r="151" spans="1:7" x14ac:dyDescent="0.25">
      <c r="A151" s="5" t="s">
        <v>213</v>
      </c>
      <c r="B151" s="5" t="s">
        <v>20</v>
      </c>
      <c r="C151" s="5" t="s">
        <v>70</v>
      </c>
      <c r="D151" s="5" t="s">
        <v>75</v>
      </c>
      <c r="E151" s="5">
        <v>0</v>
      </c>
      <c r="F151" s="6" t="s">
        <v>217</v>
      </c>
      <c r="G151" s="5">
        <v>1.15E-2</v>
      </c>
    </row>
    <row r="152" spans="1:7" x14ac:dyDescent="0.25">
      <c r="A152" s="5" t="s">
        <v>202</v>
      </c>
      <c r="B152" s="5" t="s">
        <v>45</v>
      </c>
      <c r="C152" s="5" t="s">
        <v>69</v>
      </c>
      <c r="D152" s="5" t="s">
        <v>82</v>
      </c>
      <c r="E152" s="5">
        <v>0</v>
      </c>
      <c r="F152" s="6" t="s">
        <v>217</v>
      </c>
      <c r="G152" s="5">
        <v>0.14724999999999999</v>
      </c>
    </row>
    <row r="153" spans="1:7" x14ac:dyDescent="0.25">
      <c r="A153" s="5" t="s">
        <v>203</v>
      </c>
      <c r="B153" s="5" t="s">
        <v>45</v>
      </c>
      <c r="C153" s="5" t="s">
        <v>69</v>
      </c>
      <c r="D153" s="5" t="s">
        <v>82</v>
      </c>
      <c r="E153" s="5">
        <v>0</v>
      </c>
      <c r="F153" s="6" t="s">
        <v>217</v>
      </c>
      <c r="G153" s="5">
        <v>0.17349999999999999</v>
      </c>
    </row>
    <row r="154" spans="1:7" x14ac:dyDescent="0.25">
      <c r="A154" s="5" t="s">
        <v>204</v>
      </c>
      <c r="B154" s="5" t="s">
        <v>45</v>
      </c>
      <c r="C154" s="5" t="s">
        <v>69</v>
      </c>
      <c r="D154" s="5" t="s">
        <v>82</v>
      </c>
      <c r="E154" s="5">
        <v>0</v>
      </c>
      <c r="F154" s="6" t="s">
        <v>217</v>
      </c>
      <c r="G154" s="5">
        <v>8.3000000000000004E-2</v>
      </c>
    </row>
    <row r="155" spans="1:7" x14ac:dyDescent="0.25">
      <c r="A155" s="5" t="s">
        <v>205</v>
      </c>
      <c r="B155" s="5" t="s">
        <v>13</v>
      </c>
      <c r="C155" s="5" t="s">
        <v>69</v>
      </c>
      <c r="D155" s="5" t="s">
        <v>82</v>
      </c>
      <c r="E155" s="5">
        <v>0</v>
      </c>
      <c r="F155" s="6" t="s">
        <v>217</v>
      </c>
      <c r="G155" s="5">
        <v>0.151</v>
      </c>
    </row>
    <row r="156" spans="1:7" x14ac:dyDescent="0.25">
      <c r="A156" s="5" t="s">
        <v>206</v>
      </c>
      <c r="B156" s="5" t="s">
        <v>13</v>
      </c>
      <c r="C156" s="5" t="s">
        <v>69</v>
      </c>
      <c r="D156" s="5" t="s">
        <v>82</v>
      </c>
      <c r="E156" s="5">
        <v>0</v>
      </c>
      <c r="F156" s="6" t="s">
        <v>217</v>
      </c>
      <c r="G156" s="5">
        <v>0.122</v>
      </c>
    </row>
    <row r="157" spans="1:7" x14ac:dyDescent="0.25">
      <c r="A157" s="5" t="s">
        <v>207</v>
      </c>
      <c r="B157" s="5" t="s">
        <v>13</v>
      </c>
      <c r="C157" s="5" t="s">
        <v>69</v>
      </c>
      <c r="D157" s="5" t="s">
        <v>82</v>
      </c>
      <c r="E157" s="5">
        <v>0</v>
      </c>
      <c r="F157" s="6" t="s">
        <v>217</v>
      </c>
      <c r="G157" s="5">
        <v>0.1555</v>
      </c>
    </row>
    <row r="158" spans="1:7" x14ac:dyDescent="0.25">
      <c r="A158" s="5" t="s">
        <v>208</v>
      </c>
      <c r="B158" s="5" t="s">
        <v>17</v>
      </c>
      <c r="C158" s="5" t="s">
        <v>69</v>
      </c>
      <c r="D158" s="5" t="s">
        <v>82</v>
      </c>
      <c r="E158" s="5">
        <v>0</v>
      </c>
      <c r="F158" s="6" t="s">
        <v>217</v>
      </c>
      <c r="G158" s="5">
        <v>0.16675000000000001</v>
      </c>
    </row>
    <row r="159" spans="1:7" x14ac:dyDescent="0.25">
      <c r="A159" s="5" t="s">
        <v>209</v>
      </c>
      <c r="B159" s="5" t="s">
        <v>17</v>
      </c>
      <c r="C159" s="5" t="s">
        <v>69</v>
      </c>
      <c r="D159" s="5" t="s">
        <v>82</v>
      </c>
      <c r="E159" s="5">
        <v>0</v>
      </c>
      <c r="F159" s="6" t="s">
        <v>217</v>
      </c>
      <c r="G159" s="5">
        <v>0.109</v>
      </c>
    </row>
    <row r="160" spans="1:7" x14ac:dyDescent="0.25">
      <c r="A160" s="5" t="s">
        <v>210</v>
      </c>
      <c r="B160" s="5" t="s">
        <v>17</v>
      </c>
      <c r="C160" s="5" t="s">
        <v>69</v>
      </c>
      <c r="D160" s="5" t="s">
        <v>82</v>
      </c>
      <c r="E160" s="5">
        <v>0</v>
      </c>
      <c r="F160" s="6" t="s">
        <v>217</v>
      </c>
      <c r="G160" s="5">
        <v>0.14574999999999999</v>
      </c>
    </row>
    <row r="161" spans="1:7" x14ac:dyDescent="0.25">
      <c r="A161" s="5" t="s">
        <v>211</v>
      </c>
      <c r="B161" s="5" t="s">
        <v>20</v>
      </c>
      <c r="C161" s="5" t="s">
        <v>69</v>
      </c>
      <c r="D161" s="5" t="s">
        <v>82</v>
      </c>
      <c r="E161" s="5">
        <v>0</v>
      </c>
      <c r="F161" s="6" t="s">
        <v>217</v>
      </c>
      <c r="G161" s="5">
        <v>0.14899999999999999</v>
      </c>
    </row>
    <row r="162" spans="1:7" x14ac:dyDescent="0.25">
      <c r="A162" s="5" t="s">
        <v>212</v>
      </c>
      <c r="B162" s="5" t="s">
        <v>20</v>
      </c>
      <c r="C162" s="5" t="s">
        <v>69</v>
      </c>
      <c r="D162" s="5" t="s">
        <v>82</v>
      </c>
      <c r="E162" s="5">
        <v>0</v>
      </c>
      <c r="F162" s="6" t="s">
        <v>217</v>
      </c>
      <c r="G162" s="5">
        <v>0.15775</v>
      </c>
    </row>
    <row r="163" spans="1:7" x14ac:dyDescent="0.25">
      <c r="A163" s="5" t="s">
        <v>213</v>
      </c>
      <c r="B163" s="5" t="s">
        <v>20</v>
      </c>
      <c r="C163" s="5" t="s">
        <v>69</v>
      </c>
      <c r="D163" s="5" t="s">
        <v>82</v>
      </c>
      <c r="E163" s="5">
        <v>0</v>
      </c>
      <c r="F163" s="6" t="s">
        <v>217</v>
      </c>
      <c r="G163" s="5">
        <v>0.15049999999999999</v>
      </c>
    </row>
    <row r="164" spans="1:7" x14ac:dyDescent="0.25">
      <c r="A164" s="5" t="s">
        <v>202</v>
      </c>
      <c r="B164" s="5" t="s">
        <v>45</v>
      </c>
      <c r="C164" s="5" t="s">
        <v>70</v>
      </c>
      <c r="D164" s="5" t="s">
        <v>82</v>
      </c>
      <c r="E164" s="5">
        <v>7</v>
      </c>
      <c r="F164" s="6" t="s">
        <v>217</v>
      </c>
      <c r="G164" s="5">
        <v>0.216</v>
      </c>
    </row>
    <row r="165" spans="1:7" x14ac:dyDescent="0.25">
      <c r="A165" s="5" t="s">
        <v>203</v>
      </c>
      <c r="B165" s="5" t="s">
        <v>45</v>
      </c>
      <c r="C165" s="5" t="s">
        <v>70</v>
      </c>
      <c r="D165" s="5" t="s">
        <v>82</v>
      </c>
      <c r="E165" s="5">
        <v>7</v>
      </c>
      <c r="F165" s="6" t="s">
        <v>217</v>
      </c>
      <c r="G165" s="5">
        <v>0.1615</v>
      </c>
    </row>
    <row r="166" spans="1:7" x14ac:dyDescent="0.25">
      <c r="A166" s="5" t="s">
        <v>204</v>
      </c>
      <c r="B166" s="5" t="s">
        <v>45</v>
      </c>
      <c r="C166" s="5" t="s">
        <v>70</v>
      </c>
      <c r="D166" s="5" t="s">
        <v>82</v>
      </c>
      <c r="E166" s="5">
        <v>7</v>
      </c>
      <c r="F166" s="6" t="s">
        <v>217</v>
      </c>
      <c r="G166" s="5">
        <v>0.16200000000000001</v>
      </c>
    </row>
    <row r="167" spans="1:7" x14ac:dyDescent="0.25">
      <c r="A167" s="5" t="s">
        <v>205</v>
      </c>
      <c r="B167" s="5" t="s">
        <v>13</v>
      </c>
      <c r="C167" s="5" t="s">
        <v>70</v>
      </c>
      <c r="D167" s="5" t="s">
        <v>82</v>
      </c>
      <c r="E167" s="5">
        <v>7</v>
      </c>
      <c r="F167" s="6" t="s">
        <v>217</v>
      </c>
      <c r="G167" s="5">
        <v>0.17974999999999999</v>
      </c>
    </row>
    <row r="168" spans="1:7" x14ac:dyDescent="0.25">
      <c r="A168" s="5" t="s">
        <v>206</v>
      </c>
      <c r="B168" s="5" t="s">
        <v>13</v>
      </c>
      <c r="C168" s="5" t="s">
        <v>70</v>
      </c>
      <c r="D168" s="5" t="s">
        <v>82</v>
      </c>
      <c r="E168" s="5">
        <v>7</v>
      </c>
      <c r="F168" s="6" t="s">
        <v>217</v>
      </c>
      <c r="G168" s="5">
        <v>0.19375000000000001</v>
      </c>
    </row>
    <row r="169" spans="1:7" x14ac:dyDescent="0.25">
      <c r="A169" s="5" t="s">
        <v>207</v>
      </c>
      <c r="B169" s="5" t="s">
        <v>13</v>
      </c>
      <c r="C169" s="5" t="s">
        <v>70</v>
      </c>
      <c r="D169" s="5" t="s">
        <v>82</v>
      </c>
      <c r="E169" s="5">
        <v>7</v>
      </c>
      <c r="F169" s="6" t="s">
        <v>217</v>
      </c>
      <c r="G169" s="5">
        <v>0.21775</v>
      </c>
    </row>
    <row r="170" spans="1:7" x14ac:dyDescent="0.25">
      <c r="A170" s="5" t="s">
        <v>208</v>
      </c>
      <c r="B170" s="5" t="s">
        <v>17</v>
      </c>
      <c r="C170" s="5" t="s">
        <v>70</v>
      </c>
      <c r="D170" s="5" t="s">
        <v>82</v>
      </c>
      <c r="E170" s="5">
        <v>7</v>
      </c>
      <c r="F170" s="6" t="s">
        <v>217</v>
      </c>
      <c r="G170" s="5">
        <v>0.24224999999999999</v>
      </c>
    </row>
    <row r="171" spans="1:7" x14ac:dyDescent="0.25">
      <c r="A171" s="5" t="s">
        <v>209</v>
      </c>
      <c r="B171" s="5" t="s">
        <v>17</v>
      </c>
      <c r="C171" s="5" t="s">
        <v>70</v>
      </c>
      <c r="D171" s="5" t="s">
        <v>82</v>
      </c>
      <c r="E171" s="5">
        <v>7</v>
      </c>
      <c r="F171" s="6" t="s">
        <v>217</v>
      </c>
      <c r="G171" s="5">
        <v>0.25924999999999998</v>
      </c>
    </row>
    <row r="172" spans="1:7" x14ac:dyDescent="0.25">
      <c r="A172" s="5" t="s">
        <v>210</v>
      </c>
      <c r="B172" s="5" t="s">
        <v>17</v>
      </c>
      <c r="C172" s="5" t="s">
        <v>70</v>
      </c>
      <c r="D172" s="5" t="s">
        <v>82</v>
      </c>
      <c r="E172" s="5">
        <v>7</v>
      </c>
      <c r="F172" s="6" t="s">
        <v>217</v>
      </c>
      <c r="G172" s="5">
        <v>0.23075000000000001</v>
      </c>
    </row>
    <row r="173" spans="1:7" x14ac:dyDescent="0.25">
      <c r="A173" s="5" t="s">
        <v>211</v>
      </c>
      <c r="B173" s="5" t="s">
        <v>20</v>
      </c>
      <c r="C173" s="5" t="s">
        <v>70</v>
      </c>
      <c r="D173" s="5" t="s">
        <v>82</v>
      </c>
      <c r="E173" s="5">
        <v>7</v>
      </c>
      <c r="F173" s="6" t="s">
        <v>217</v>
      </c>
      <c r="G173" s="5">
        <v>0.218</v>
      </c>
    </row>
    <row r="174" spans="1:7" x14ac:dyDescent="0.25">
      <c r="A174" s="5" t="s">
        <v>212</v>
      </c>
      <c r="B174" s="5" t="s">
        <v>20</v>
      </c>
      <c r="C174" s="5" t="s">
        <v>70</v>
      </c>
      <c r="D174" s="5" t="s">
        <v>82</v>
      </c>
      <c r="E174" s="5">
        <v>7</v>
      </c>
      <c r="F174" s="6" t="s">
        <v>217</v>
      </c>
      <c r="G174" s="5">
        <v>0.24575</v>
      </c>
    </row>
    <row r="175" spans="1:7" x14ac:dyDescent="0.25">
      <c r="A175" s="5" t="s">
        <v>213</v>
      </c>
      <c r="B175" s="5" t="s">
        <v>20</v>
      </c>
      <c r="C175" s="5" t="s">
        <v>70</v>
      </c>
      <c r="D175" s="5" t="s">
        <v>82</v>
      </c>
      <c r="E175" s="5">
        <v>7</v>
      </c>
      <c r="F175" s="6" t="s">
        <v>217</v>
      </c>
      <c r="G175" s="5">
        <v>0.26700000000000002</v>
      </c>
    </row>
    <row r="176" spans="1:7" x14ac:dyDescent="0.25">
      <c r="A176" s="5" t="s">
        <v>202</v>
      </c>
      <c r="B176" s="5" t="s">
        <v>45</v>
      </c>
      <c r="C176" s="5" t="s">
        <v>70</v>
      </c>
      <c r="D176" s="5" t="s">
        <v>75</v>
      </c>
      <c r="E176" s="5">
        <v>7</v>
      </c>
      <c r="F176" s="6" t="s">
        <v>217</v>
      </c>
      <c r="G176" s="5">
        <v>6.2500000000000003E-3</v>
      </c>
    </row>
    <row r="177" spans="1:7" x14ac:dyDescent="0.25">
      <c r="A177" s="5" t="s">
        <v>203</v>
      </c>
      <c r="B177" s="5" t="s">
        <v>45</v>
      </c>
      <c r="C177" s="5" t="s">
        <v>70</v>
      </c>
      <c r="D177" s="5" t="s">
        <v>75</v>
      </c>
      <c r="E177" s="5">
        <v>7</v>
      </c>
      <c r="F177" s="6" t="s">
        <v>217</v>
      </c>
      <c r="G177" s="5">
        <v>3.5000000000000001E-3</v>
      </c>
    </row>
    <row r="178" spans="1:7" x14ac:dyDescent="0.25">
      <c r="A178" s="5" t="s">
        <v>204</v>
      </c>
      <c r="B178" s="5" t="s">
        <v>45</v>
      </c>
      <c r="C178" s="5" t="s">
        <v>70</v>
      </c>
      <c r="D178" s="5" t="s">
        <v>75</v>
      </c>
      <c r="E178" s="5">
        <v>7</v>
      </c>
      <c r="F178" s="6" t="s">
        <v>217</v>
      </c>
      <c r="G178" s="5">
        <v>3.5000000000000001E-3</v>
      </c>
    </row>
    <row r="179" spans="1:7" x14ac:dyDescent="0.25">
      <c r="A179" s="5" t="s">
        <v>205</v>
      </c>
      <c r="B179" s="5" t="s">
        <v>13</v>
      </c>
      <c r="C179" s="5" t="s">
        <v>70</v>
      </c>
      <c r="D179" s="5" t="s">
        <v>75</v>
      </c>
      <c r="E179" s="5">
        <v>7</v>
      </c>
      <c r="F179" s="6" t="s">
        <v>217</v>
      </c>
      <c r="G179" s="5">
        <v>7.2500000000000004E-3</v>
      </c>
    </row>
    <row r="180" spans="1:7" x14ac:dyDescent="0.25">
      <c r="A180" s="5" t="s">
        <v>206</v>
      </c>
      <c r="B180" s="5" t="s">
        <v>13</v>
      </c>
      <c r="C180" s="5" t="s">
        <v>70</v>
      </c>
      <c r="D180" s="5" t="s">
        <v>75</v>
      </c>
      <c r="E180" s="5">
        <v>7</v>
      </c>
      <c r="F180" s="6" t="s">
        <v>217</v>
      </c>
      <c r="G180" s="5">
        <v>1.025E-2</v>
      </c>
    </row>
    <row r="181" spans="1:7" x14ac:dyDescent="0.25">
      <c r="A181" s="5" t="s">
        <v>207</v>
      </c>
      <c r="B181" s="5" t="s">
        <v>13</v>
      </c>
      <c r="C181" s="5" t="s">
        <v>70</v>
      </c>
      <c r="D181" s="5" t="s">
        <v>75</v>
      </c>
      <c r="E181" s="5">
        <v>7</v>
      </c>
      <c r="F181" s="6" t="s">
        <v>217</v>
      </c>
      <c r="G181" s="5">
        <v>5.0000000000000001E-4</v>
      </c>
    </row>
    <row r="182" spans="1:7" x14ac:dyDescent="0.25">
      <c r="A182" s="5" t="s">
        <v>208</v>
      </c>
      <c r="B182" s="5" t="s">
        <v>17</v>
      </c>
      <c r="C182" s="5" t="s">
        <v>70</v>
      </c>
      <c r="D182" s="5" t="s">
        <v>75</v>
      </c>
      <c r="E182" s="5">
        <v>7</v>
      </c>
      <c r="F182" s="6" t="s">
        <v>217</v>
      </c>
      <c r="G182" s="5">
        <v>2.2499999999999998E-3</v>
      </c>
    </row>
    <row r="183" spans="1:7" x14ac:dyDescent="0.25">
      <c r="A183" s="5" t="s">
        <v>209</v>
      </c>
      <c r="B183" s="5" t="s">
        <v>17</v>
      </c>
      <c r="C183" s="5" t="s">
        <v>70</v>
      </c>
      <c r="D183" s="5" t="s">
        <v>75</v>
      </c>
      <c r="E183" s="5">
        <v>7</v>
      </c>
      <c r="F183" s="6" t="s">
        <v>217</v>
      </c>
      <c r="G183" s="5">
        <v>4.7499999999999999E-3</v>
      </c>
    </row>
    <row r="184" spans="1:7" x14ac:dyDescent="0.25">
      <c r="A184" s="5" t="s">
        <v>210</v>
      </c>
      <c r="B184" s="5" t="s">
        <v>17</v>
      </c>
      <c r="C184" s="5" t="s">
        <v>70</v>
      </c>
      <c r="D184" s="5" t="s">
        <v>75</v>
      </c>
      <c r="E184" s="5">
        <v>7</v>
      </c>
      <c r="F184" s="6" t="s">
        <v>217</v>
      </c>
      <c r="G184" s="5">
        <v>7.2500000000000004E-3</v>
      </c>
    </row>
    <row r="185" spans="1:7" x14ac:dyDescent="0.25">
      <c r="A185" s="5" t="s">
        <v>211</v>
      </c>
      <c r="B185" s="5" t="s">
        <v>20</v>
      </c>
      <c r="C185" s="5" t="s">
        <v>70</v>
      </c>
      <c r="D185" s="5" t="s">
        <v>75</v>
      </c>
      <c r="E185" s="5">
        <v>7</v>
      </c>
      <c r="F185" s="6" t="s">
        <v>217</v>
      </c>
      <c r="G185" s="5">
        <v>1.95E-2</v>
      </c>
    </row>
    <row r="186" spans="1:7" x14ac:dyDescent="0.25">
      <c r="A186" s="5" t="s">
        <v>212</v>
      </c>
      <c r="B186" s="5" t="s">
        <v>20</v>
      </c>
      <c r="C186" s="5" t="s">
        <v>70</v>
      </c>
      <c r="D186" s="5" t="s">
        <v>75</v>
      </c>
      <c r="E186" s="5">
        <v>7</v>
      </c>
      <c r="F186" s="6" t="s">
        <v>217</v>
      </c>
      <c r="G186" s="5">
        <v>1.25E-3</v>
      </c>
    </row>
    <row r="187" spans="1:7" x14ac:dyDescent="0.25">
      <c r="A187" s="5" t="s">
        <v>213</v>
      </c>
      <c r="B187" s="5" t="s">
        <v>20</v>
      </c>
      <c r="C187" s="5" t="s">
        <v>70</v>
      </c>
      <c r="D187" s="5" t="s">
        <v>75</v>
      </c>
      <c r="E187" s="5">
        <v>7</v>
      </c>
      <c r="F187" s="6" t="s">
        <v>217</v>
      </c>
      <c r="G187" s="5">
        <v>2.7499999999999998E-3</v>
      </c>
    </row>
    <row r="188" spans="1:7" x14ac:dyDescent="0.25">
      <c r="A188" s="5" t="s">
        <v>202</v>
      </c>
      <c r="B188" s="5" t="s">
        <v>45</v>
      </c>
      <c r="C188" s="5" t="s">
        <v>69</v>
      </c>
      <c r="D188" s="5" t="s">
        <v>82</v>
      </c>
      <c r="E188" s="5">
        <v>7</v>
      </c>
      <c r="F188" s="6" t="s">
        <v>217</v>
      </c>
      <c r="G188" s="5">
        <v>0.17100000000000001</v>
      </c>
    </row>
    <row r="189" spans="1:7" x14ac:dyDescent="0.25">
      <c r="A189" s="5" t="s">
        <v>203</v>
      </c>
      <c r="B189" s="5" t="s">
        <v>45</v>
      </c>
      <c r="C189" s="5" t="s">
        <v>69</v>
      </c>
      <c r="D189" s="5" t="s">
        <v>82</v>
      </c>
      <c r="E189" s="5">
        <v>7</v>
      </c>
      <c r="F189" s="6" t="s">
        <v>217</v>
      </c>
      <c r="G189" s="5">
        <v>0.19</v>
      </c>
    </row>
    <row r="190" spans="1:7" x14ac:dyDescent="0.25">
      <c r="A190" s="5" t="s">
        <v>204</v>
      </c>
      <c r="B190" s="5" t="s">
        <v>45</v>
      </c>
      <c r="C190" s="5" t="s">
        <v>69</v>
      </c>
      <c r="D190" s="5" t="s">
        <v>82</v>
      </c>
      <c r="E190" s="5">
        <v>7</v>
      </c>
      <c r="F190" s="6" t="s">
        <v>217</v>
      </c>
      <c r="G190" s="5">
        <v>0.21</v>
      </c>
    </row>
    <row r="191" spans="1:7" x14ac:dyDescent="0.25">
      <c r="A191" s="5" t="s">
        <v>205</v>
      </c>
      <c r="B191" s="5" t="s">
        <v>13</v>
      </c>
      <c r="C191" s="5" t="s">
        <v>69</v>
      </c>
      <c r="D191" s="5" t="s">
        <v>82</v>
      </c>
      <c r="E191" s="5">
        <v>7</v>
      </c>
      <c r="F191" s="6" t="s">
        <v>217</v>
      </c>
      <c r="G191" s="5">
        <v>0.216</v>
      </c>
    </row>
    <row r="192" spans="1:7" x14ac:dyDescent="0.25">
      <c r="A192" s="5" t="s">
        <v>206</v>
      </c>
      <c r="B192" s="5" t="s">
        <v>13</v>
      </c>
      <c r="C192" s="5" t="s">
        <v>69</v>
      </c>
      <c r="D192" s="5" t="s">
        <v>82</v>
      </c>
      <c r="E192" s="5">
        <v>7</v>
      </c>
      <c r="F192" s="6" t="s">
        <v>217</v>
      </c>
      <c r="G192" s="5">
        <v>0.16800000000000001</v>
      </c>
    </row>
    <row r="193" spans="1:7" x14ac:dyDescent="0.25">
      <c r="A193" s="5" t="s">
        <v>207</v>
      </c>
      <c r="B193" s="5" t="s">
        <v>13</v>
      </c>
      <c r="C193" s="5" t="s">
        <v>69</v>
      </c>
      <c r="D193" s="5" t="s">
        <v>82</v>
      </c>
      <c r="E193" s="5">
        <v>7</v>
      </c>
      <c r="F193" s="6" t="s">
        <v>217</v>
      </c>
      <c r="G193" s="5">
        <v>0.17199999999999999</v>
      </c>
    </row>
    <row r="194" spans="1:7" x14ac:dyDescent="0.25">
      <c r="A194" s="5" t="s">
        <v>208</v>
      </c>
      <c r="B194" s="5" t="s">
        <v>17</v>
      </c>
      <c r="C194" s="5" t="s">
        <v>69</v>
      </c>
      <c r="D194" s="5" t="s">
        <v>82</v>
      </c>
      <c r="E194" s="5">
        <v>7</v>
      </c>
      <c r="F194" s="6" t="s">
        <v>217</v>
      </c>
      <c r="G194" s="5">
        <v>0.10249999999999999</v>
      </c>
    </row>
    <row r="195" spans="1:7" x14ac:dyDescent="0.25">
      <c r="A195" s="5" t="s">
        <v>209</v>
      </c>
      <c r="B195" s="5" t="s">
        <v>17</v>
      </c>
      <c r="C195" s="5" t="s">
        <v>69</v>
      </c>
      <c r="D195" s="5" t="s">
        <v>82</v>
      </c>
      <c r="E195" s="5">
        <v>7</v>
      </c>
      <c r="F195" s="6" t="s">
        <v>217</v>
      </c>
      <c r="G195" s="5">
        <v>0.20749999999999999</v>
      </c>
    </row>
    <row r="196" spans="1:7" x14ac:dyDescent="0.25">
      <c r="A196" s="5" t="s">
        <v>210</v>
      </c>
      <c r="B196" s="5" t="s">
        <v>17</v>
      </c>
      <c r="C196" s="5" t="s">
        <v>69</v>
      </c>
      <c r="D196" s="5" t="s">
        <v>82</v>
      </c>
      <c r="E196" s="5">
        <v>7</v>
      </c>
      <c r="F196" s="6" t="s">
        <v>217</v>
      </c>
      <c r="G196" s="5">
        <v>0.20200000000000001</v>
      </c>
    </row>
    <row r="197" spans="1:7" x14ac:dyDescent="0.25">
      <c r="A197" s="5" t="s">
        <v>211</v>
      </c>
      <c r="B197" s="5" t="s">
        <v>20</v>
      </c>
      <c r="C197" s="5" t="s">
        <v>69</v>
      </c>
      <c r="D197" s="5" t="s">
        <v>82</v>
      </c>
      <c r="E197" s="5">
        <v>7</v>
      </c>
      <c r="F197" s="6" t="s">
        <v>217</v>
      </c>
      <c r="G197" s="5">
        <v>0.15049999999999999</v>
      </c>
    </row>
    <row r="198" spans="1:7" x14ac:dyDescent="0.25">
      <c r="A198" s="5" t="s">
        <v>212</v>
      </c>
      <c r="B198" s="5" t="s">
        <v>20</v>
      </c>
      <c r="C198" s="5" t="s">
        <v>69</v>
      </c>
      <c r="D198" s="5" t="s">
        <v>82</v>
      </c>
      <c r="E198" s="5">
        <v>7</v>
      </c>
      <c r="F198" s="6" t="s">
        <v>217</v>
      </c>
      <c r="G198" s="5">
        <v>0.18099999999999999</v>
      </c>
    </row>
    <row r="199" spans="1:7" x14ac:dyDescent="0.25">
      <c r="A199" s="5" t="s">
        <v>213</v>
      </c>
      <c r="B199" s="5" t="s">
        <v>20</v>
      </c>
      <c r="C199" s="5" t="s">
        <v>69</v>
      </c>
      <c r="D199" s="5" t="s">
        <v>82</v>
      </c>
      <c r="E199" s="5">
        <v>7</v>
      </c>
      <c r="F199" s="6" t="s">
        <v>217</v>
      </c>
      <c r="G199" s="5">
        <v>0.20649999999999999</v>
      </c>
    </row>
    <row r="200" spans="1:7" x14ac:dyDescent="0.25">
      <c r="A200" s="5" t="s">
        <v>202</v>
      </c>
      <c r="B200" s="5" t="s">
        <v>45</v>
      </c>
      <c r="C200" s="5" t="s">
        <v>70</v>
      </c>
      <c r="D200" s="5" t="s">
        <v>82</v>
      </c>
      <c r="E200" s="5">
        <v>15</v>
      </c>
      <c r="F200" s="6" t="s">
        <v>217</v>
      </c>
      <c r="G200" s="5">
        <v>0.245</v>
      </c>
    </row>
    <row r="201" spans="1:7" x14ac:dyDescent="0.25">
      <c r="A201" s="5" t="s">
        <v>203</v>
      </c>
      <c r="B201" s="5" t="s">
        <v>45</v>
      </c>
      <c r="C201" s="5" t="s">
        <v>70</v>
      </c>
      <c r="D201" s="5" t="s">
        <v>82</v>
      </c>
      <c r="E201" s="5">
        <v>15</v>
      </c>
      <c r="F201" s="6" t="s">
        <v>217</v>
      </c>
      <c r="G201" s="5">
        <v>0.24575</v>
      </c>
    </row>
    <row r="202" spans="1:7" x14ac:dyDescent="0.25">
      <c r="A202" s="5" t="s">
        <v>204</v>
      </c>
      <c r="B202" s="5" t="s">
        <v>45</v>
      </c>
      <c r="C202" s="5" t="s">
        <v>70</v>
      </c>
      <c r="D202" s="5" t="s">
        <v>82</v>
      </c>
      <c r="E202" s="5">
        <v>15</v>
      </c>
      <c r="F202" s="6" t="s">
        <v>217</v>
      </c>
      <c r="G202" s="5">
        <v>0.20150000000000001</v>
      </c>
    </row>
    <row r="203" spans="1:7" x14ac:dyDescent="0.25">
      <c r="A203" s="5" t="s">
        <v>205</v>
      </c>
      <c r="B203" s="5" t="s">
        <v>13</v>
      </c>
      <c r="C203" s="5" t="s">
        <v>70</v>
      </c>
      <c r="D203" s="5" t="s">
        <v>82</v>
      </c>
      <c r="E203" s="5">
        <v>15</v>
      </c>
      <c r="F203" s="6" t="s">
        <v>217</v>
      </c>
      <c r="G203" s="5">
        <v>0.20324999999999999</v>
      </c>
    </row>
    <row r="204" spans="1:7" x14ac:dyDescent="0.25">
      <c r="A204" s="5" t="s">
        <v>206</v>
      </c>
      <c r="B204" s="5" t="s">
        <v>13</v>
      </c>
      <c r="C204" s="5" t="s">
        <v>70</v>
      </c>
      <c r="D204" s="5" t="s">
        <v>82</v>
      </c>
      <c r="E204" s="5">
        <v>15</v>
      </c>
      <c r="F204" s="6" t="s">
        <v>217</v>
      </c>
      <c r="G204" s="5">
        <v>0.184</v>
      </c>
    </row>
    <row r="205" spans="1:7" x14ac:dyDescent="0.25">
      <c r="A205" s="5" t="s">
        <v>207</v>
      </c>
      <c r="B205" s="5" t="s">
        <v>13</v>
      </c>
      <c r="C205" s="5" t="s">
        <v>70</v>
      </c>
      <c r="D205" s="5" t="s">
        <v>82</v>
      </c>
      <c r="E205" s="5">
        <v>15</v>
      </c>
      <c r="F205" s="6" t="s">
        <v>217</v>
      </c>
      <c r="G205" s="5">
        <v>0.21049999999999999</v>
      </c>
    </row>
    <row r="206" spans="1:7" x14ac:dyDescent="0.25">
      <c r="A206" s="5" t="s">
        <v>208</v>
      </c>
      <c r="B206" s="5" t="s">
        <v>17</v>
      </c>
      <c r="C206" s="5" t="s">
        <v>70</v>
      </c>
      <c r="D206" s="5" t="s">
        <v>82</v>
      </c>
      <c r="E206" s="5">
        <v>15</v>
      </c>
      <c r="F206" s="6" t="s">
        <v>217</v>
      </c>
      <c r="G206" s="5">
        <v>0.21224999999999999</v>
      </c>
    </row>
    <row r="207" spans="1:7" x14ac:dyDescent="0.25">
      <c r="A207" s="5" t="s">
        <v>209</v>
      </c>
      <c r="B207" s="5" t="s">
        <v>17</v>
      </c>
      <c r="C207" s="5" t="s">
        <v>70</v>
      </c>
      <c r="D207" s="5" t="s">
        <v>82</v>
      </c>
      <c r="E207" s="5">
        <v>15</v>
      </c>
      <c r="F207" s="6" t="s">
        <v>217</v>
      </c>
      <c r="G207" s="5">
        <v>0.20524999999999999</v>
      </c>
    </row>
    <row r="208" spans="1:7" x14ac:dyDescent="0.25">
      <c r="A208" s="5" t="s">
        <v>210</v>
      </c>
      <c r="B208" s="5" t="s">
        <v>17</v>
      </c>
      <c r="C208" s="5" t="s">
        <v>70</v>
      </c>
      <c r="D208" s="5" t="s">
        <v>82</v>
      </c>
      <c r="E208" s="5">
        <v>15</v>
      </c>
      <c r="F208" s="6" t="s">
        <v>217</v>
      </c>
      <c r="G208" s="5">
        <v>0.19025</v>
      </c>
    </row>
    <row r="209" spans="1:7" x14ac:dyDescent="0.25">
      <c r="A209" s="5" t="s">
        <v>211</v>
      </c>
      <c r="B209" s="5" t="s">
        <v>20</v>
      </c>
      <c r="C209" s="5" t="s">
        <v>70</v>
      </c>
      <c r="D209" s="5" t="s">
        <v>82</v>
      </c>
      <c r="E209" s="5">
        <v>15</v>
      </c>
      <c r="F209" s="6" t="s">
        <v>217</v>
      </c>
      <c r="G209" s="5">
        <v>0.24299999999999999</v>
      </c>
    </row>
    <row r="210" spans="1:7" x14ac:dyDescent="0.25">
      <c r="A210" s="5" t="s">
        <v>212</v>
      </c>
      <c r="B210" s="5" t="s">
        <v>20</v>
      </c>
      <c r="C210" s="5" t="s">
        <v>70</v>
      </c>
      <c r="D210" s="5" t="s">
        <v>82</v>
      </c>
      <c r="E210" s="5">
        <v>15</v>
      </c>
      <c r="F210" s="6" t="s">
        <v>217</v>
      </c>
      <c r="G210" s="5">
        <v>0.23425000000000001</v>
      </c>
    </row>
    <row r="211" spans="1:7" x14ac:dyDescent="0.25">
      <c r="A211" s="5" t="s">
        <v>213</v>
      </c>
      <c r="B211" s="5" t="s">
        <v>20</v>
      </c>
      <c r="C211" s="5" t="s">
        <v>70</v>
      </c>
      <c r="D211" s="5" t="s">
        <v>82</v>
      </c>
      <c r="E211" s="5">
        <v>15</v>
      </c>
      <c r="F211" s="6" t="s">
        <v>217</v>
      </c>
      <c r="G211" s="5">
        <v>0.20499999999999999</v>
      </c>
    </row>
    <row r="212" spans="1:7" x14ac:dyDescent="0.25">
      <c r="A212" s="5" t="s">
        <v>202</v>
      </c>
      <c r="B212" s="5" t="s">
        <v>45</v>
      </c>
      <c r="C212" s="5" t="s">
        <v>70</v>
      </c>
      <c r="D212" s="5" t="s">
        <v>75</v>
      </c>
      <c r="E212" s="5">
        <v>15</v>
      </c>
      <c r="F212" s="6" t="s">
        <v>217</v>
      </c>
      <c r="G212" s="5">
        <v>1.2749999999999999E-2</v>
      </c>
    </row>
    <row r="213" spans="1:7" x14ac:dyDescent="0.25">
      <c r="A213" s="5" t="s">
        <v>203</v>
      </c>
      <c r="B213" s="5" t="s">
        <v>45</v>
      </c>
      <c r="C213" s="5" t="s">
        <v>70</v>
      </c>
      <c r="D213" s="5" t="s">
        <v>75</v>
      </c>
      <c r="E213" s="5">
        <v>15</v>
      </c>
      <c r="F213" s="6" t="s">
        <v>217</v>
      </c>
      <c r="G213" s="5">
        <v>9.2499999999999995E-3</v>
      </c>
    </row>
    <row r="214" spans="1:7" x14ac:dyDescent="0.25">
      <c r="A214" s="5" t="s">
        <v>204</v>
      </c>
      <c r="B214" s="5" t="s">
        <v>45</v>
      </c>
      <c r="C214" s="5" t="s">
        <v>70</v>
      </c>
      <c r="D214" s="5" t="s">
        <v>75</v>
      </c>
      <c r="E214" s="5">
        <v>15</v>
      </c>
      <c r="F214" s="6" t="s">
        <v>217</v>
      </c>
      <c r="G214" s="5">
        <v>5.4999999999999997E-3</v>
      </c>
    </row>
    <row r="215" spans="1:7" x14ac:dyDescent="0.25">
      <c r="A215" s="5" t="s">
        <v>205</v>
      </c>
      <c r="B215" s="5" t="s">
        <v>13</v>
      </c>
      <c r="C215" s="5" t="s">
        <v>70</v>
      </c>
      <c r="D215" s="5" t="s">
        <v>75</v>
      </c>
      <c r="E215" s="5">
        <v>15</v>
      </c>
      <c r="F215" s="6" t="s">
        <v>217</v>
      </c>
      <c r="G215" s="5">
        <v>1.9E-2</v>
      </c>
    </row>
    <row r="216" spans="1:7" x14ac:dyDescent="0.25">
      <c r="A216" s="5" t="s">
        <v>206</v>
      </c>
      <c r="B216" s="5" t="s">
        <v>13</v>
      </c>
      <c r="C216" s="5" t="s">
        <v>70</v>
      </c>
      <c r="D216" s="5" t="s">
        <v>75</v>
      </c>
      <c r="E216" s="5">
        <v>15</v>
      </c>
      <c r="F216" s="6" t="s">
        <v>217</v>
      </c>
      <c r="G216" s="5">
        <v>1.025E-2</v>
      </c>
    </row>
    <row r="217" spans="1:7" x14ac:dyDescent="0.25">
      <c r="A217" s="5" t="s">
        <v>207</v>
      </c>
      <c r="B217" s="5" t="s">
        <v>13</v>
      </c>
      <c r="C217" s="5" t="s">
        <v>70</v>
      </c>
      <c r="D217" s="5" t="s">
        <v>75</v>
      </c>
      <c r="E217" s="5">
        <v>15</v>
      </c>
      <c r="F217" s="6" t="s">
        <v>217</v>
      </c>
      <c r="G217" s="5">
        <v>2.5000000000000001E-3</v>
      </c>
    </row>
    <row r="218" spans="1:7" x14ac:dyDescent="0.25">
      <c r="A218" s="5" t="s">
        <v>208</v>
      </c>
      <c r="B218" s="5" t="s">
        <v>17</v>
      </c>
      <c r="C218" s="5" t="s">
        <v>70</v>
      </c>
      <c r="D218" s="5" t="s">
        <v>75</v>
      </c>
      <c r="E218" s="5">
        <v>15</v>
      </c>
      <c r="F218" s="6" t="s">
        <v>217</v>
      </c>
      <c r="G218" s="5">
        <v>6.4999999999999997E-3</v>
      </c>
    </row>
    <row r="219" spans="1:7" x14ac:dyDescent="0.25">
      <c r="A219" s="5" t="s">
        <v>209</v>
      </c>
      <c r="B219" s="5" t="s">
        <v>17</v>
      </c>
      <c r="C219" s="5" t="s">
        <v>70</v>
      </c>
      <c r="D219" s="5" t="s">
        <v>75</v>
      </c>
      <c r="E219" s="5">
        <v>15</v>
      </c>
      <c r="F219" s="6" t="s">
        <v>217</v>
      </c>
      <c r="G219" s="5">
        <v>1.2500000000000001E-2</v>
      </c>
    </row>
    <row r="220" spans="1:7" x14ac:dyDescent="0.25">
      <c r="A220" s="5" t="s">
        <v>210</v>
      </c>
      <c r="B220" s="5" t="s">
        <v>17</v>
      </c>
      <c r="C220" s="5" t="s">
        <v>70</v>
      </c>
      <c r="D220" s="5" t="s">
        <v>75</v>
      </c>
      <c r="E220" s="5">
        <v>15</v>
      </c>
      <c r="F220" s="6" t="s">
        <v>217</v>
      </c>
      <c r="G220" s="5">
        <v>8.9999999999999993E-3</v>
      </c>
    </row>
    <row r="221" spans="1:7" x14ac:dyDescent="0.25">
      <c r="A221" s="5" t="s">
        <v>211</v>
      </c>
      <c r="B221" s="5" t="s">
        <v>20</v>
      </c>
      <c r="C221" s="5" t="s">
        <v>70</v>
      </c>
      <c r="D221" s="5" t="s">
        <v>75</v>
      </c>
      <c r="E221" s="5">
        <v>15</v>
      </c>
      <c r="F221" s="6" t="s">
        <v>217</v>
      </c>
      <c r="G221" s="5">
        <v>1.7999999999999999E-2</v>
      </c>
    </row>
    <row r="222" spans="1:7" x14ac:dyDescent="0.25">
      <c r="A222" s="5" t="s">
        <v>212</v>
      </c>
      <c r="B222" s="5" t="s">
        <v>20</v>
      </c>
      <c r="C222" s="5" t="s">
        <v>70</v>
      </c>
      <c r="D222" s="5" t="s">
        <v>75</v>
      </c>
      <c r="E222" s="5">
        <v>15</v>
      </c>
      <c r="F222" s="6" t="s">
        <v>217</v>
      </c>
      <c r="G222" s="5">
        <v>8.0000000000000002E-3</v>
      </c>
    </row>
    <row r="223" spans="1:7" x14ac:dyDescent="0.25">
      <c r="A223" s="5" t="s">
        <v>213</v>
      </c>
      <c r="B223" s="5" t="s">
        <v>20</v>
      </c>
      <c r="C223" s="5" t="s">
        <v>70</v>
      </c>
      <c r="D223" s="5" t="s">
        <v>75</v>
      </c>
      <c r="E223" s="5">
        <v>15</v>
      </c>
      <c r="F223" s="6" t="s">
        <v>217</v>
      </c>
      <c r="G223" s="5">
        <v>9.2499999999999995E-3</v>
      </c>
    </row>
    <row r="224" spans="1:7" x14ac:dyDescent="0.25">
      <c r="A224" s="5" t="s">
        <v>202</v>
      </c>
      <c r="B224" s="5" t="s">
        <v>45</v>
      </c>
      <c r="C224" s="5" t="s">
        <v>69</v>
      </c>
      <c r="D224" s="5" t="s">
        <v>82</v>
      </c>
      <c r="E224" s="5">
        <v>15</v>
      </c>
      <c r="F224" s="6" t="s">
        <v>217</v>
      </c>
      <c r="G224" s="5">
        <v>0.18074999999999999</v>
      </c>
    </row>
    <row r="225" spans="1:7" x14ac:dyDescent="0.25">
      <c r="A225" s="5" t="s">
        <v>203</v>
      </c>
      <c r="B225" s="5" t="s">
        <v>45</v>
      </c>
      <c r="C225" s="5" t="s">
        <v>69</v>
      </c>
      <c r="D225" s="5" t="s">
        <v>82</v>
      </c>
      <c r="E225" s="5">
        <v>15</v>
      </c>
      <c r="F225" s="6" t="s">
        <v>217</v>
      </c>
      <c r="G225" s="5">
        <v>0.10475</v>
      </c>
    </row>
    <row r="226" spans="1:7" x14ac:dyDescent="0.25">
      <c r="A226" s="5" t="s">
        <v>204</v>
      </c>
      <c r="B226" s="5" t="s">
        <v>45</v>
      </c>
      <c r="C226" s="5" t="s">
        <v>69</v>
      </c>
      <c r="D226" s="5" t="s">
        <v>82</v>
      </c>
      <c r="E226" s="5">
        <v>15</v>
      </c>
      <c r="F226" s="6" t="s">
        <v>217</v>
      </c>
      <c r="G226" s="5">
        <v>0.16025</v>
      </c>
    </row>
    <row r="227" spans="1:7" x14ac:dyDescent="0.25">
      <c r="A227" s="5" t="s">
        <v>205</v>
      </c>
      <c r="B227" s="5" t="s">
        <v>13</v>
      </c>
      <c r="C227" s="5" t="s">
        <v>69</v>
      </c>
      <c r="D227" s="5" t="s">
        <v>82</v>
      </c>
      <c r="E227" s="5">
        <v>15</v>
      </c>
      <c r="F227" s="6" t="s">
        <v>217</v>
      </c>
      <c r="G227" s="5">
        <v>0.18725</v>
      </c>
    </row>
    <row r="228" spans="1:7" x14ac:dyDescent="0.25">
      <c r="A228" s="5" t="s">
        <v>206</v>
      </c>
      <c r="B228" s="5" t="s">
        <v>13</v>
      </c>
      <c r="C228" s="5" t="s">
        <v>69</v>
      </c>
      <c r="D228" s="5" t="s">
        <v>82</v>
      </c>
      <c r="E228" s="5">
        <v>15</v>
      </c>
      <c r="F228" s="6" t="s">
        <v>217</v>
      </c>
      <c r="G228" s="5">
        <v>0.23100000000000001</v>
      </c>
    </row>
    <row r="229" spans="1:7" x14ac:dyDescent="0.25">
      <c r="A229" s="5" t="s">
        <v>207</v>
      </c>
      <c r="B229" s="5" t="s">
        <v>13</v>
      </c>
      <c r="C229" s="5" t="s">
        <v>69</v>
      </c>
      <c r="D229" s="5" t="s">
        <v>82</v>
      </c>
      <c r="E229" s="5">
        <v>15</v>
      </c>
      <c r="F229" s="6" t="s">
        <v>217</v>
      </c>
      <c r="G229" s="5">
        <v>0.19750000000000001</v>
      </c>
    </row>
    <row r="230" spans="1:7" x14ac:dyDescent="0.25">
      <c r="A230" s="5" t="s">
        <v>208</v>
      </c>
      <c r="B230" s="5" t="s">
        <v>17</v>
      </c>
      <c r="C230" s="5" t="s">
        <v>69</v>
      </c>
      <c r="D230" s="5" t="s">
        <v>82</v>
      </c>
      <c r="E230" s="5">
        <v>15</v>
      </c>
      <c r="F230" s="6" t="s">
        <v>217</v>
      </c>
      <c r="G230" s="5">
        <v>0.17175000000000001</v>
      </c>
    </row>
    <row r="231" spans="1:7" x14ac:dyDescent="0.25">
      <c r="A231" s="5" t="s">
        <v>209</v>
      </c>
      <c r="B231" s="5" t="s">
        <v>17</v>
      </c>
      <c r="C231" s="5" t="s">
        <v>69</v>
      </c>
      <c r="D231" s="5" t="s">
        <v>82</v>
      </c>
      <c r="E231" s="5">
        <v>15</v>
      </c>
      <c r="F231" s="6" t="s">
        <v>217</v>
      </c>
      <c r="G231" s="5">
        <v>0.20624999999999999</v>
      </c>
    </row>
    <row r="232" spans="1:7" x14ac:dyDescent="0.25">
      <c r="A232" s="5" t="s">
        <v>210</v>
      </c>
      <c r="B232" s="5" t="s">
        <v>17</v>
      </c>
      <c r="C232" s="5" t="s">
        <v>69</v>
      </c>
      <c r="D232" s="5" t="s">
        <v>82</v>
      </c>
      <c r="E232" s="5">
        <v>15</v>
      </c>
      <c r="F232" s="6" t="s">
        <v>217</v>
      </c>
      <c r="G232" s="5">
        <v>0.18049999999999999</v>
      </c>
    </row>
    <row r="233" spans="1:7" x14ac:dyDescent="0.25">
      <c r="A233" s="5" t="s">
        <v>211</v>
      </c>
      <c r="B233" s="5" t="s">
        <v>20</v>
      </c>
      <c r="C233" s="5" t="s">
        <v>69</v>
      </c>
      <c r="D233" s="5" t="s">
        <v>82</v>
      </c>
      <c r="E233" s="5">
        <v>15</v>
      </c>
      <c r="F233" s="6" t="s">
        <v>217</v>
      </c>
      <c r="G233" s="5">
        <v>0.20349999999999999</v>
      </c>
    </row>
    <row r="234" spans="1:7" x14ac:dyDescent="0.25">
      <c r="A234" s="5" t="s">
        <v>212</v>
      </c>
      <c r="B234" s="5" t="s">
        <v>20</v>
      </c>
      <c r="C234" s="5" t="s">
        <v>69</v>
      </c>
      <c r="D234" s="5" t="s">
        <v>82</v>
      </c>
      <c r="E234" s="5">
        <v>15</v>
      </c>
      <c r="F234" s="6" t="s">
        <v>217</v>
      </c>
      <c r="G234" s="5">
        <v>0.184</v>
      </c>
    </row>
    <row r="235" spans="1:7" x14ac:dyDescent="0.25">
      <c r="A235" s="5" t="s">
        <v>213</v>
      </c>
      <c r="B235" s="5" t="s">
        <v>20</v>
      </c>
      <c r="C235" s="5" t="s">
        <v>69</v>
      </c>
      <c r="D235" s="5" t="s">
        <v>82</v>
      </c>
      <c r="E235" s="5">
        <v>15</v>
      </c>
      <c r="F235" s="6" t="s">
        <v>217</v>
      </c>
      <c r="G235" s="5">
        <v>0.22800000000000001</v>
      </c>
    </row>
    <row r="236" spans="1:7" x14ac:dyDescent="0.25">
      <c r="A236" s="5" t="s">
        <v>202</v>
      </c>
      <c r="B236" s="5" t="s">
        <v>45</v>
      </c>
      <c r="C236" s="5" t="s">
        <v>70</v>
      </c>
      <c r="D236" s="5" t="s">
        <v>82</v>
      </c>
      <c r="E236" s="5">
        <v>21</v>
      </c>
      <c r="F236" s="6" t="s">
        <v>217</v>
      </c>
      <c r="G236" s="5">
        <v>0.19175</v>
      </c>
    </row>
    <row r="237" spans="1:7" x14ac:dyDescent="0.25">
      <c r="A237" s="5" t="s">
        <v>203</v>
      </c>
      <c r="B237" s="5" t="s">
        <v>45</v>
      </c>
      <c r="C237" s="5" t="s">
        <v>70</v>
      </c>
      <c r="D237" s="5" t="s">
        <v>82</v>
      </c>
      <c r="E237" s="5">
        <v>21</v>
      </c>
      <c r="F237" s="6" t="s">
        <v>217</v>
      </c>
      <c r="G237" s="5">
        <v>9.9500000000000005E-2</v>
      </c>
    </row>
    <row r="238" spans="1:7" x14ac:dyDescent="0.25">
      <c r="A238" s="5" t="s">
        <v>206</v>
      </c>
      <c r="B238" s="5" t="s">
        <v>13</v>
      </c>
      <c r="C238" s="5" t="s">
        <v>70</v>
      </c>
      <c r="D238" s="5" t="s">
        <v>82</v>
      </c>
      <c r="E238" s="5">
        <v>21</v>
      </c>
      <c r="F238" s="6" t="s">
        <v>217</v>
      </c>
      <c r="G238" s="5">
        <v>0.22700000000000001</v>
      </c>
    </row>
    <row r="239" spans="1:7" x14ac:dyDescent="0.25">
      <c r="A239" s="5" t="s">
        <v>207</v>
      </c>
      <c r="B239" s="5" t="s">
        <v>13</v>
      </c>
      <c r="C239" s="5" t="s">
        <v>70</v>
      </c>
      <c r="D239" s="5" t="s">
        <v>82</v>
      </c>
      <c r="E239" s="5">
        <v>21</v>
      </c>
      <c r="F239" s="6" t="s">
        <v>217</v>
      </c>
      <c r="G239" s="5">
        <v>0.19275</v>
      </c>
    </row>
    <row r="240" spans="1:7" x14ac:dyDescent="0.25">
      <c r="A240" s="5" t="s">
        <v>208</v>
      </c>
      <c r="B240" s="5" t="s">
        <v>17</v>
      </c>
      <c r="C240" s="5" t="s">
        <v>70</v>
      </c>
      <c r="D240" s="5" t="s">
        <v>82</v>
      </c>
      <c r="E240" s="5">
        <v>21</v>
      </c>
      <c r="F240" s="6" t="s">
        <v>217</v>
      </c>
      <c r="G240" s="5">
        <v>0.26150000000000001</v>
      </c>
    </row>
    <row r="241" spans="1:7" x14ac:dyDescent="0.25">
      <c r="A241" s="5" t="s">
        <v>209</v>
      </c>
      <c r="B241" s="5" t="s">
        <v>17</v>
      </c>
      <c r="C241" s="5" t="s">
        <v>70</v>
      </c>
      <c r="D241" s="5" t="s">
        <v>82</v>
      </c>
      <c r="E241" s="5">
        <v>21</v>
      </c>
      <c r="F241" s="6" t="s">
        <v>217</v>
      </c>
      <c r="G241" s="5">
        <v>0.24925</v>
      </c>
    </row>
    <row r="242" spans="1:7" x14ac:dyDescent="0.25">
      <c r="A242" s="5" t="s">
        <v>210</v>
      </c>
      <c r="B242" s="5" t="s">
        <v>17</v>
      </c>
      <c r="C242" s="5" t="s">
        <v>70</v>
      </c>
      <c r="D242" s="5" t="s">
        <v>82</v>
      </c>
      <c r="E242" s="5">
        <v>21</v>
      </c>
      <c r="F242" s="6" t="s">
        <v>217</v>
      </c>
      <c r="G242" s="5">
        <v>0.21875</v>
      </c>
    </row>
    <row r="243" spans="1:7" x14ac:dyDescent="0.25">
      <c r="A243" s="5" t="s">
        <v>211</v>
      </c>
      <c r="B243" s="5" t="s">
        <v>20</v>
      </c>
      <c r="C243" s="5" t="s">
        <v>70</v>
      </c>
      <c r="D243" s="5" t="s">
        <v>82</v>
      </c>
      <c r="E243" s="5">
        <v>21</v>
      </c>
      <c r="F243" s="6" t="s">
        <v>217</v>
      </c>
      <c r="G243" s="5">
        <v>0.22650000000000001</v>
      </c>
    </row>
    <row r="244" spans="1:7" x14ac:dyDescent="0.25">
      <c r="A244" s="5" t="s">
        <v>212</v>
      </c>
      <c r="B244" s="5" t="s">
        <v>20</v>
      </c>
      <c r="C244" s="5" t="s">
        <v>70</v>
      </c>
      <c r="D244" s="5" t="s">
        <v>82</v>
      </c>
      <c r="E244" s="5">
        <v>21</v>
      </c>
      <c r="F244" s="6" t="s">
        <v>217</v>
      </c>
      <c r="G244" s="5">
        <v>0.21525</v>
      </c>
    </row>
    <row r="245" spans="1:7" x14ac:dyDescent="0.25">
      <c r="A245" s="5" t="s">
        <v>213</v>
      </c>
      <c r="B245" s="5" t="s">
        <v>301</v>
      </c>
      <c r="C245" s="5" t="s">
        <v>70</v>
      </c>
      <c r="D245" s="5" t="s">
        <v>82</v>
      </c>
      <c r="E245" s="5">
        <v>21</v>
      </c>
      <c r="F245" s="6" t="s">
        <v>217</v>
      </c>
      <c r="G245" s="5">
        <v>0.216</v>
      </c>
    </row>
    <row r="246" spans="1:7" x14ac:dyDescent="0.25">
      <c r="A246" s="5" t="s">
        <v>202</v>
      </c>
      <c r="B246" s="5" t="s">
        <v>302</v>
      </c>
      <c r="C246" s="5" t="s">
        <v>70</v>
      </c>
      <c r="D246" s="5" t="s">
        <v>75</v>
      </c>
      <c r="E246" s="5">
        <v>21</v>
      </c>
      <c r="F246" s="6" t="s">
        <v>217</v>
      </c>
      <c r="G246" s="5">
        <v>4.0000000000000001E-3</v>
      </c>
    </row>
    <row r="247" spans="1:7" x14ac:dyDescent="0.25">
      <c r="A247" s="5" t="s">
        <v>203</v>
      </c>
      <c r="B247" s="5" t="s">
        <v>302</v>
      </c>
      <c r="C247" s="5" t="s">
        <v>70</v>
      </c>
      <c r="D247" s="5" t="s">
        <v>75</v>
      </c>
      <c r="E247" s="5">
        <v>21</v>
      </c>
      <c r="F247" s="6" t="s">
        <v>217</v>
      </c>
      <c r="G247" s="5">
        <v>1.25E-3</v>
      </c>
    </row>
    <row r="248" spans="1:7" x14ac:dyDescent="0.25">
      <c r="A248" s="5" t="s">
        <v>204</v>
      </c>
      <c r="B248" s="5" t="s">
        <v>302</v>
      </c>
      <c r="C248" s="5" t="s">
        <v>70</v>
      </c>
      <c r="D248" s="5" t="s">
        <v>75</v>
      </c>
      <c r="E248" s="5">
        <v>21</v>
      </c>
      <c r="F248" s="6" t="s">
        <v>217</v>
      </c>
      <c r="G248" s="5">
        <v>7.5000000000000002E-4</v>
      </c>
    </row>
    <row r="249" spans="1:7" x14ac:dyDescent="0.25">
      <c r="A249" s="5" t="s">
        <v>205</v>
      </c>
      <c r="B249" s="5" t="s">
        <v>303</v>
      </c>
      <c r="C249" s="5" t="s">
        <v>70</v>
      </c>
      <c r="D249" s="5" t="s">
        <v>75</v>
      </c>
      <c r="E249" s="5">
        <v>21</v>
      </c>
      <c r="F249" s="6" t="s">
        <v>217</v>
      </c>
      <c r="G249" s="5">
        <v>3.7499999999999999E-3</v>
      </c>
    </row>
    <row r="250" spans="1:7" x14ac:dyDescent="0.25">
      <c r="A250" s="5" t="s">
        <v>206</v>
      </c>
      <c r="B250" s="5" t="s">
        <v>303</v>
      </c>
      <c r="C250" s="5" t="s">
        <v>70</v>
      </c>
      <c r="D250" s="5" t="s">
        <v>75</v>
      </c>
      <c r="E250" s="5">
        <v>21</v>
      </c>
      <c r="F250" s="6" t="s">
        <v>217</v>
      </c>
      <c r="G250" s="5">
        <v>1.75E-3</v>
      </c>
    </row>
    <row r="251" spans="1:7" x14ac:dyDescent="0.25">
      <c r="A251" s="5" t="s">
        <v>207</v>
      </c>
      <c r="B251" s="5" t="s">
        <v>303</v>
      </c>
      <c r="C251" s="5" t="s">
        <v>70</v>
      </c>
      <c r="D251" s="5" t="s">
        <v>75</v>
      </c>
      <c r="E251" s="5">
        <v>21</v>
      </c>
      <c r="F251" s="6" t="s">
        <v>217</v>
      </c>
      <c r="G251" s="5">
        <v>1.25E-3</v>
      </c>
    </row>
    <row r="252" spans="1:7" x14ac:dyDescent="0.25">
      <c r="A252" s="5" t="s">
        <v>208</v>
      </c>
      <c r="B252" s="5" t="s">
        <v>304</v>
      </c>
      <c r="C252" s="5" t="s">
        <v>70</v>
      </c>
      <c r="D252" s="5" t="s">
        <v>75</v>
      </c>
      <c r="E252" s="5">
        <v>21</v>
      </c>
      <c r="F252" s="6" t="s">
        <v>217</v>
      </c>
      <c r="G252" s="5">
        <v>1.25E-3</v>
      </c>
    </row>
    <row r="253" spans="1:7" x14ac:dyDescent="0.25">
      <c r="A253" s="5" t="s">
        <v>209</v>
      </c>
      <c r="B253" s="5" t="s">
        <v>304</v>
      </c>
      <c r="C253" s="5" t="s">
        <v>70</v>
      </c>
      <c r="D253" s="5" t="s">
        <v>75</v>
      </c>
      <c r="E253" s="5">
        <v>21</v>
      </c>
      <c r="F253" s="6" t="s">
        <v>217</v>
      </c>
      <c r="G253" s="5">
        <v>1.75E-3</v>
      </c>
    </row>
    <row r="254" spans="1:7" x14ac:dyDescent="0.25">
      <c r="A254" s="5" t="s">
        <v>210</v>
      </c>
      <c r="B254" s="5" t="s">
        <v>304</v>
      </c>
      <c r="C254" s="5" t="s">
        <v>70</v>
      </c>
      <c r="D254" s="5" t="s">
        <v>75</v>
      </c>
      <c r="E254" s="5">
        <v>21</v>
      </c>
      <c r="F254" s="6" t="s">
        <v>217</v>
      </c>
      <c r="G254" s="5">
        <v>7.5000000000000002E-4</v>
      </c>
    </row>
    <row r="255" spans="1:7" x14ac:dyDescent="0.25">
      <c r="A255" s="5" t="s">
        <v>211</v>
      </c>
      <c r="B255" s="5" t="s">
        <v>301</v>
      </c>
      <c r="C255" s="5" t="s">
        <v>70</v>
      </c>
      <c r="D255" s="5" t="s">
        <v>75</v>
      </c>
      <c r="E255" s="5">
        <v>21</v>
      </c>
      <c r="F255" s="6" t="s">
        <v>217</v>
      </c>
      <c r="G255" s="5">
        <v>0</v>
      </c>
    </row>
    <row r="256" spans="1:7" x14ac:dyDescent="0.25">
      <c r="A256" s="5" t="s">
        <v>212</v>
      </c>
      <c r="B256" s="5" t="s">
        <v>301</v>
      </c>
      <c r="C256" s="5" t="s">
        <v>70</v>
      </c>
      <c r="D256" s="5" t="s">
        <v>75</v>
      </c>
      <c r="E256" s="5">
        <v>21</v>
      </c>
      <c r="F256" s="6" t="s">
        <v>217</v>
      </c>
      <c r="G256" s="5">
        <v>0</v>
      </c>
    </row>
    <row r="257" spans="1:7" x14ac:dyDescent="0.25">
      <c r="A257" s="5" t="s">
        <v>213</v>
      </c>
      <c r="B257" s="5" t="s">
        <v>301</v>
      </c>
      <c r="C257" s="5" t="s">
        <v>70</v>
      </c>
      <c r="D257" s="5" t="s">
        <v>75</v>
      </c>
      <c r="E257" s="5">
        <v>21</v>
      </c>
      <c r="F257" s="6" t="s">
        <v>217</v>
      </c>
      <c r="G257" s="5">
        <v>2.5000000000000001E-3</v>
      </c>
    </row>
    <row r="258" spans="1:7" x14ac:dyDescent="0.25">
      <c r="A258" s="5" t="s">
        <v>202</v>
      </c>
      <c r="B258" s="5" t="s">
        <v>302</v>
      </c>
      <c r="C258" s="5" t="s">
        <v>69</v>
      </c>
      <c r="D258" s="5" t="s">
        <v>82</v>
      </c>
      <c r="E258" s="5">
        <v>21</v>
      </c>
      <c r="F258" s="6" t="s">
        <v>217</v>
      </c>
      <c r="G258" s="5">
        <v>6.5250000000000002E-2</v>
      </c>
    </row>
    <row r="259" spans="1:7" x14ac:dyDescent="0.25">
      <c r="A259" s="5" t="s">
        <v>203</v>
      </c>
      <c r="B259" s="5" t="s">
        <v>302</v>
      </c>
      <c r="C259" s="5" t="s">
        <v>69</v>
      </c>
      <c r="D259" s="5" t="s">
        <v>82</v>
      </c>
      <c r="E259" s="5">
        <v>21</v>
      </c>
      <c r="F259" s="6" t="s">
        <v>217</v>
      </c>
      <c r="G259" s="5">
        <v>6.8750000000000006E-2</v>
      </c>
    </row>
    <row r="260" spans="1:7" x14ac:dyDescent="0.25">
      <c r="A260" s="5" t="s">
        <v>204</v>
      </c>
      <c r="B260" s="5" t="s">
        <v>302</v>
      </c>
      <c r="C260" s="5" t="s">
        <v>69</v>
      </c>
      <c r="D260" s="5" t="s">
        <v>82</v>
      </c>
      <c r="E260" s="5">
        <v>21</v>
      </c>
      <c r="F260" s="6" t="s">
        <v>217</v>
      </c>
      <c r="G260" s="5">
        <v>6.1749999999999999E-2</v>
      </c>
    </row>
    <row r="261" spans="1:7" x14ac:dyDescent="0.25">
      <c r="A261" s="5" t="s">
        <v>205</v>
      </c>
      <c r="B261" s="5" t="s">
        <v>303</v>
      </c>
      <c r="C261" s="5" t="s">
        <v>69</v>
      </c>
      <c r="D261" s="5" t="s">
        <v>82</v>
      </c>
      <c r="E261" s="5">
        <v>21</v>
      </c>
      <c r="F261" s="6" t="s">
        <v>217</v>
      </c>
      <c r="G261" s="5">
        <v>0.18</v>
      </c>
    </row>
    <row r="262" spans="1:7" x14ac:dyDescent="0.25">
      <c r="A262" s="5" t="s">
        <v>206</v>
      </c>
      <c r="B262" s="5" t="s">
        <v>303</v>
      </c>
      <c r="C262" s="5" t="s">
        <v>69</v>
      </c>
      <c r="D262" s="5" t="s">
        <v>82</v>
      </c>
      <c r="E262" s="5">
        <v>21</v>
      </c>
      <c r="F262" s="6" t="s">
        <v>217</v>
      </c>
      <c r="G262" s="5">
        <v>0.15975</v>
      </c>
    </row>
    <row r="263" spans="1:7" x14ac:dyDescent="0.25">
      <c r="A263" s="5" t="s">
        <v>207</v>
      </c>
      <c r="B263" s="5" t="s">
        <v>303</v>
      </c>
      <c r="C263" s="5" t="s">
        <v>69</v>
      </c>
      <c r="D263" s="5" t="s">
        <v>82</v>
      </c>
      <c r="E263" s="5">
        <v>21</v>
      </c>
      <c r="F263" s="6" t="s">
        <v>217</v>
      </c>
      <c r="G263" s="5">
        <v>0.17349999999999999</v>
      </c>
    </row>
    <row r="264" spans="1:7" x14ac:dyDescent="0.25">
      <c r="A264" s="5" t="s">
        <v>208</v>
      </c>
      <c r="B264" s="5" t="s">
        <v>304</v>
      </c>
      <c r="C264" s="5" t="s">
        <v>69</v>
      </c>
      <c r="D264" s="5" t="s">
        <v>82</v>
      </c>
      <c r="E264" s="5">
        <v>21</v>
      </c>
      <c r="F264" s="6" t="s">
        <v>217</v>
      </c>
      <c r="G264" s="5">
        <v>0.17924999999999999</v>
      </c>
    </row>
    <row r="265" spans="1:7" x14ac:dyDescent="0.25">
      <c r="A265" s="5" t="s">
        <v>209</v>
      </c>
      <c r="B265" s="5" t="s">
        <v>304</v>
      </c>
      <c r="C265" s="5" t="s">
        <v>69</v>
      </c>
      <c r="D265" s="5" t="s">
        <v>82</v>
      </c>
      <c r="E265" s="5">
        <v>21</v>
      </c>
      <c r="F265" s="6" t="s">
        <v>217</v>
      </c>
      <c r="G265" s="5">
        <v>9.0499999999999997E-2</v>
      </c>
    </row>
    <row r="266" spans="1:7" x14ac:dyDescent="0.25">
      <c r="A266" s="5" t="s">
        <v>210</v>
      </c>
      <c r="B266" s="5" t="s">
        <v>304</v>
      </c>
      <c r="C266" s="5" t="s">
        <v>69</v>
      </c>
      <c r="D266" s="5" t="s">
        <v>82</v>
      </c>
      <c r="E266" s="5">
        <v>21</v>
      </c>
      <c r="F266" s="6" t="s">
        <v>217</v>
      </c>
      <c r="G266" s="5">
        <v>0.17924999999999999</v>
      </c>
    </row>
    <row r="267" spans="1:7" x14ac:dyDescent="0.25">
      <c r="A267" s="5" t="s">
        <v>211</v>
      </c>
      <c r="B267" s="5" t="s">
        <v>301</v>
      </c>
      <c r="C267" s="5" t="s">
        <v>69</v>
      </c>
      <c r="D267" s="5" t="s">
        <v>82</v>
      </c>
      <c r="E267" s="5">
        <v>21</v>
      </c>
      <c r="F267" s="6" t="s">
        <v>217</v>
      </c>
      <c r="G267" s="5">
        <v>0.12225</v>
      </c>
    </row>
    <row r="268" spans="1:7" x14ac:dyDescent="0.25">
      <c r="A268" s="5" t="s">
        <v>212</v>
      </c>
      <c r="B268" s="5" t="s">
        <v>301</v>
      </c>
      <c r="C268" s="5" t="s">
        <v>69</v>
      </c>
      <c r="D268" s="5" t="s">
        <v>82</v>
      </c>
      <c r="E268" s="5">
        <v>21</v>
      </c>
      <c r="F268" s="6" t="s">
        <v>217</v>
      </c>
      <c r="G268" s="5">
        <v>7.85E-2</v>
      </c>
    </row>
    <row r="269" spans="1:7" x14ac:dyDescent="0.25">
      <c r="A269" s="5" t="s">
        <v>213</v>
      </c>
      <c r="B269" s="5" t="s">
        <v>301</v>
      </c>
      <c r="C269" s="5" t="s">
        <v>69</v>
      </c>
      <c r="D269" s="5" t="s">
        <v>82</v>
      </c>
      <c r="E269" s="5">
        <v>21</v>
      </c>
      <c r="F269" s="6" t="s">
        <v>217</v>
      </c>
      <c r="G269" s="5">
        <v>0.14949999999999999</v>
      </c>
    </row>
    <row r="270" spans="1:7" x14ac:dyDescent="0.25">
      <c r="A270" s="5" t="s">
        <v>202</v>
      </c>
      <c r="B270" s="5" t="s">
        <v>302</v>
      </c>
      <c r="C270" s="5" t="s">
        <v>70</v>
      </c>
      <c r="D270" s="5" t="s">
        <v>82</v>
      </c>
      <c r="E270" s="5">
        <v>28</v>
      </c>
      <c r="F270" s="6" t="s">
        <v>217</v>
      </c>
      <c r="G270" s="5">
        <v>0.17874999999999999</v>
      </c>
    </row>
    <row r="271" spans="1:7" x14ac:dyDescent="0.25">
      <c r="A271" s="5" t="s">
        <v>203</v>
      </c>
      <c r="B271" s="5" t="s">
        <v>302</v>
      </c>
      <c r="C271" s="5" t="s">
        <v>70</v>
      </c>
      <c r="D271" s="5" t="s">
        <v>82</v>
      </c>
      <c r="E271" s="5">
        <v>28</v>
      </c>
      <c r="F271" s="6" t="s">
        <v>217</v>
      </c>
      <c r="G271" s="5">
        <v>0.1265</v>
      </c>
    </row>
    <row r="272" spans="1:7" x14ac:dyDescent="0.25">
      <c r="A272" s="5" t="s">
        <v>204</v>
      </c>
      <c r="B272" s="5" t="s">
        <v>302</v>
      </c>
      <c r="C272" s="5" t="s">
        <v>70</v>
      </c>
      <c r="D272" s="5" t="s">
        <v>82</v>
      </c>
      <c r="E272" s="5">
        <v>28</v>
      </c>
      <c r="F272" s="6" t="s">
        <v>217</v>
      </c>
      <c r="G272" s="5">
        <v>0.22225</v>
      </c>
    </row>
    <row r="273" spans="1:7" x14ac:dyDescent="0.25">
      <c r="A273" s="5" t="s">
        <v>205</v>
      </c>
      <c r="B273" s="5" t="s">
        <v>303</v>
      </c>
      <c r="C273" s="5" t="s">
        <v>70</v>
      </c>
      <c r="D273" s="5" t="s">
        <v>82</v>
      </c>
      <c r="E273" s="5">
        <v>28</v>
      </c>
      <c r="F273" s="6" t="s">
        <v>217</v>
      </c>
      <c r="G273" s="5">
        <v>0.15</v>
      </c>
    </row>
    <row r="274" spans="1:7" x14ac:dyDescent="0.25">
      <c r="A274" s="5" t="s">
        <v>206</v>
      </c>
      <c r="B274" s="5" t="s">
        <v>303</v>
      </c>
      <c r="C274" s="5" t="s">
        <v>70</v>
      </c>
      <c r="D274" s="5" t="s">
        <v>82</v>
      </c>
      <c r="E274" s="5">
        <v>28</v>
      </c>
      <c r="F274" s="6" t="s">
        <v>217</v>
      </c>
      <c r="G274" s="5">
        <v>0.19425000000000001</v>
      </c>
    </row>
    <row r="275" spans="1:7" x14ac:dyDescent="0.25">
      <c r="A275" s="5" t="s">
        <v>207</v>
      </c>
      <c r="B275" s="5" t="s">
        <v>303</v>
      </c>
      <c r="C275" s="5" t="s">
        <v>70</v>
      </c>
      <c r="D275" s="5" t="s">
        <v>82</v>
      </c>
      <c r="E275" s="5">
        <v>28</v>
      </c>
      <c r="F275" s="6" t="s">
        <v>217</v>
      </c>
      <c r="G275" s="5">
        <v>0.21375</v>
      </c>
    </row>
    <row r="276" spans="1:7" x14ac:dyDescent="0.25">
      <c r="A276" s="5" t="s">
        <v>208</v>
      </c>
      <c r="B276" s="5" t="s">
        <v>304</v>
      </c>
      <c r="C276" s="5" t="s">
        <v>70</v>
      </c>
      <c r="D276" s="5" t="s">
        <v>82</v>
      </c>
      <c r="E276" s="5">
        <v>28</v>
      </c>
      <c r="F276" s="6" t="s">
        <v>217</v>
      </c>
      <c r="G276" s="5">
        <v>0.17574999999999999</v>
      </c>
    </row>
    <row r="277" spans="1:7" x14ac:dyDescent="0.25">
      <c r="A277" s="5" t="s">
        <v>209</v>
      </c>
      <c r="B277" s="5" t="s">
        <v>304</v>
      </c>
      <c r="C277" s="5" t="s">
        <v>70</v>
      </c>
      <c r="D277" s="5" t="s">
        <v>82</v>
      </c>
      <c r="E277" s="5">
        <v>28</v>
      </c>
      <c r="F277" s="6" t="s">
        <v>217</v>
      </c>
      <c r="G277" s="5">
        <v>0.16550000000000001</v>
      </c>
    </row>
    <row r="278" spans="1:7" x14ac:dyDescent="0.25">
      <c r="A278" s="5" t="s">
        <v>210</v>
      </c>
      <c r="B278" s="5" t="s">
        <v>304</v>
      </c>
      <c r="C278" s="5" t="s">
        <v>70</v>
      </c>
      <c r="D278" s="5" t="s">
        <v>82</v>
      </c>
      <c r="E278" s="5">
        <v>28</v>
      </c>
      <c r="F278" s="6" t="s">
        <v>217</v>
      </c>
      <c r="G278" s="5">
        <v>0.19175</v>
      </c>
    </row>
    <row r="279" spans="1:7" x14ac:dyDescent="0.25">
      <c r="A279" s="5" t="s">
        <v>211</v>
      </c>
      <c r="B279" s="5" t="s">
        <v>301</v>
      </c>
      <c r="C279" s="5" t="s">
        <v>70</v>
      </c>
      <c r="D279" s="5" t="s">
        <v>82</v>
      </c>
      <c r="E279" s="5">
        <v>28</v>
      </c>
      <c r="F279" s="6" t="s">
        <v>217</v>
      </c>
      <c r="G279" s="5">
        <v>0.14974999999999999</v>
      </c>
    </row>
    <row r="280" spans="1:7" x14ac:dyDescent="0.25">
      <c r="A280" s="5" t="s">
        <v>212</v>
      </c>
      <c r="B280" s="5" t="s">
        <v>301</v>
      </c>
      <c r="C280" s="5" t="s">
        <v>70</v>
      </c>
      <c r="D280" s="5" t="s">
        <v>82</v>
      </c>
      <c r="E280" s="5">
        <v>28</v>
      </c>
      <c r="F280" s="6" t="s">
        <v>217</v>
      </c>
      <c r="G280" s="5">
        <v>0.19025</v>
      </c>
    </row>
    <row r="281" spans="1:7" x14ac:dyDescent="0.25">
      <c r="A281" s="5" t="s">
        <v>213</v>
      </c>
      <c r="B281" s="5" t="s">
        <v>301</v>
      </c>
      <c r="C281" s="5" t="s">
        <v>70</v>
      </c>
      <c r="D281" s="5" t="s">
        <v>82</v>
      </c>
      <c r="E281" s="5">
        <v>28</v>
      </c>
      <c r="F281" s="6" t="s">
        <v>217</v>
      </c>
      <c r="G281" s="5">
        <v>0.19350000000000001</v>
      </c>
    </row>
    <row r="282" spans="1:7" x14ac:dyDescent="0.25">
      <c r="A282" s="5" t="s">
        <v>202</v>
      </c>
      <c r="B282" s="5" t="s">
        <v>302</v>
      </c>
      <c r="C282" s="5" t="s">
        <v>70</v>
      </c>
      <c r="D282" s="5" t="s">
        <v>75</v>
      </c>
      <c r="E282" s="5">
        <v>28</v>
      </c>
      <c r="F282" s="6" t="s">
        <v>217</v>
      </c>
      <c r="G282" s="5">
        <v>1.6750000000000001E-2</v>
      </c>
    </row>
    <row r="283" spans="1:7" x14ac:dyDescent="0.25">
      <c r="A283" s="5" t="s">
        <v>203</v>
      </c>
      <c r="B283" s="5" t="s">
        <v>302</v>
      </c>
      <c r="C283" s="5" t="s">
        <v>70</v>
      </c>
      <c r="D283" s="5" t="s">
        <v>75</v>
      </c>
      <c r="E283" s="5">
        <v>28</v>
      </c>
      <c r="F283" s="6" t="s">
        <v>217</v>
      </c>
      <c r="G283" s="5">
        <v>4.2500000000000003E-2</v>
      </c>
    </row>
    <row r="284" spans="1:7" x14ac:dyDescent="0.25">
      <c r="A284" s="5" t="s">
        <v>204</v>
      </c>
      <c r="B284" s="5" t="s">
        <v>302</v>
      </c>
      <c r="C284" s="5" t="s">
        <v>70</v>
      </c>
      <c r="D284" s="5" t="s">
        <v>75</v>
      </c>
      <c r="E284" s="5">
        <v>28</v>
      </c>
      <c r="F284" s="6" t="s">
        <v>217</v>
      </c>
      <c r="G284" s="5">
        <v>2.5499999999999998E-2</v>
      </c>
    </row>
    <row r="285" spans="1:7" x14ac:dyDescent="0.25">
      <c r="A285" s="5" t="s">
        <v>205</v>
      </c>
      <c r="B285" s="5" t="s">
        <v>303</v>
      </c>
      <c r="C285" s="5" t="s">
        <v>70</v>
      </c>
      <c r="D285" s="5" t="s">
        <v>75</v>
      </c>
      <c r="E285" s="5">
        <v>28</v>
      </c>
      <c r="F285" s="6" t="s">
        <v>217</v>
      </c>
      <c r="G285" s="5">
        <v>1.4749999999999999E-2</v>
      </c>
    </row>
    <row r="286" spans="1:7" x14ac:dyDescent="0.25">
      <c r="A286" s="5" t="s">
        <v>206</v>
      </c>
      <c r="B286" s="5" t="s">
        <v>303</v>
      </c>
      <c r="C286" s="5" t="s">
        <v>70</v>
      </c>
      <c r="D286" s="5" t="s">
        <v>75</v>
      </c>
      <c r="E286" s="5">
        <v>28</v>
      </c>
      <c r="F286" s="6" t="s">
        <v>217</v>
      </c>
      <c r="G286" s="5">
        <v>2.6499999999999999E-2</v>
      </c>
    </row>
    <row r="287" spans="1:7" x14ac:dyDescent="0.25">
      <c r="A287" s="5" t="s">
        <v>207</v>
      </c>
      <c r="B287" s="5" t="s">
        <v>303</v>
      </c>
      <c r="C287" s="5" t="s">
        <v>70</v>
      </c>
      <c r="D287" s="5" t="s">
        <v>75</v>
      </c>
      <c r="E287" s="5">
        <v>28</v>
      </c>
      <c r="F287" s="6" t="s">
        <v>217</v>
      </c>
      <c r="G287" s="5">
        <v>8.9999999999999993E-3</v>
      </c>
    </row>
    <row r="288" spans="1:7" x14ac:dyDescent="0.25">
      <c r="A288" s="5" t="s">
        <v>208</v>
      </c>
      <c r="B288" s="5" t="s">
        <v>304</v>
      </c>
      <c r="C288" s="5" t="s">
        <v>70</v>
      </c>
      <c r="D288" s="5" t="s">
        <v>75</v>
      </c>
      <c r="E288" s="5">
        <v>28</v>
      </c>
      <c r="F288" s="6" t="s">
        <v>217</v>
      </c>
      <c r="G288" s="5">
        <v>8.9999999999999993E-3</v>
      </c>
    </row>
    <row r="289" spans="1:7" x14ac:dyDescent="0.25">
      <c r="A289" s="5" t="s">
        <v>209</v>
      </c>
      <c r="B289" s="5" t="s">
        <v>304</v>
      </c>
      <c r="C289" s="5" t="s">
        <v>70</v>
      </c>
      <c r="D289" s="5" t="s">
        <v>75</v>
      </c>
      <c r="E289" s="5">
        <v>28</v>
      </c>
      <c r="F289" s="6" t="s">
        <v>217</v>
      </c>
      <c r="G289" s="5">
        <v>1.2500000000000001E-2</v>
      </c>
    </row>
    <row r="290" spans="1:7" x14ac:dyDescent="0.25">
      <c r="A290" s="5" t="s">
        <v>210</v>
      </c>
      <c r="B290" s="5" t="s">
        <v>304</v>
      </c>
      <c r="C290" s="5" t="s">
        <v>70</v>
      </c>
      <c r="D290" s="5" t="s">
        <v>75</v>
      </c>
      <c r="E290" s="5">
        <v>28</v>
      </c>
      <c r="F290" s="6" t="s">
        <v>217</v>
      </c>
      <c r="G290" s="5">
        <v>0.13200000000000001</v>
      </c>
    </row>
    <row r="291" spans="1:7" x14ac:dyDescent="0.25">
      <c r="A291" s="5" t="s">
        <v>211</v>
      </c>
      <c r="B291" s="5" t="s">
        <v>301</v>
      </c>
      <c r="C291" s="5" t="s">
        <v>70</v>
      </c>
      <c r="D291" s="5" t="s">
        <v>75</v>
      </c>
      <c r="E291" s="5">
        <v>28</v>
      </c>
      <c r="F291" s="6" t="s">
        <v>217</v>
      </c>
      <c r="G291" s="5">
        <v>8.7500000000000008E-3</v>
      </c>
    </row>
    <row r="292" spans="1:7" x14ac:dyDescent="0.25">
      <c r="A292" s="5" t="s">
        <v>212</v>
      </c>
      <c r="B292" s="5" t="s">
        <v>301</v>
      </c>
      <c r="C292" s="5" t="s">
        <v>70</v>
      </c>
      <c r="D292" s="5" t="s">
        <v>75</v>
      </c>
      <c r="E292" s="5">
        <v>28</v>
      </c>
      <c r="F292" s="6" t="s">
        <v>217</v>
      </c>
      <c r="G292" s="5">
        <v>0.01</v>
      </c>
    </row>
    <row r="293" spans="1:7" x14ac:dyDescent="0.25">
      <c r="A293" s="5" t="s">
        <v>213</v>
      </c>
      <c r="B293" s="5" t="s">
        <v>301</v>
      </c>
      <c r="C293" s="5" t="s">
        <v>70</v>
      </c>
      <c r="D293" s="5" t="s">
        <v>75</v>
      </c>
      <c r="E293" s="5">
        <v>28</v>
      </c>
      <c r="F293" s="6" t="s">
        <v>217</v>
      </c>
      <c r="G293" s="5">
        <v>1.2500000000000001E-2</v>
      </c>
    </row>
    <row r="294" spans="1:7" x14ac:dyDescent="0.25">
      <c r="A294" s="5" t="s">
        <v>202</v>
      </c>
      <c r="B294" s="5" t="s">
        <v>302</v>
      </c>
      <c r="C294" s="5" t="s">
        <v>69</v>
      </c>
      <c r="D294" s="5" t="s">
        <v>82</v>
      </c>
      <c r="E294" s="5">
        <v>28</v>
      </c>
      <c r="F294" s="6" t="s">
        <v>217</v>
      </c>
      <c r="G294" s="5">
        <v>0.18325</v>
      </c>
    </row>
    <row r="295" spans="1:7" x14ac:dyDescent="0.25">
      <c r="A295" s="5" t="s">
        <v>203</v>
      </c>
      <c r="B295" s="5" t="s">
        <v>302</v>
      </c>
      <c r="C295" s="5" t="s">
        <v>69</v>
      </c>
      <c r="D295" s="5" t="s">
        <v>82</v>
      </c>
      <c r="E295" s="5">
        <v>28</v>
      </c>
      <c r="F295" s="6" t="s">
        <v>217</v>
      </c>
      <c r="G295" s="5">
        <v>0.31974999999999998</v>
      </c>
    </row>
    <row r="296" spans="1:7" x14ac:dyDescent="0.25">
      <c r="A296" s="5" t="s">
        <v>204</v>
      </c>
      <c r="B296" s="5" t="s">
        <v>302</v>
      </c>
      <c r="C296" s="5" t="s">
        <v>69</v>
      </c>
      <c r="D296" s="5" t="s">
        <v>82</v>
      </c>
      <c r="E296" s="5">
        <v>28</v>
      </c>
      <c r="F296" s="6" t="s">
        <v>217</v>
      </c>
      <c r="G296" s="5">
        <v>0.24099999999999999</v>
      </c>
    </row>
    <row r="297" spans="1:7" x14ac:dyDescent="0.25">
      <c r="A297" s="5" t="s">
        <v>205</v>
      </c>
      <c r="B297" s="5" t="s">
        <v>303</v>
      </c>
      <c r="C297" s="5" t="s">
        <v>69</v>
      </c>
      <c r="D297" s="5" t="s">
        <v>82</v>
      </c>
      <c r="E297" s="5">
        <v>28</v>
      </c>
      <c r="F297" s="6" t="s">
        <v>217</v>
      </c>
      <c r="G297" s="5">
        <v>0.19550000000000001</v>
      </c>
    </row>
    <row r="298" spans="1:7" x14ac:dyDescent="0.25">
      <c r="A298" s="5" t="s">
        <v>206</v>
      </c>
      <c r="B298" s="5" t="s">
        <v>303</v>
      </c>
      <c r="C298" s="5" t="s">
        <v>69</v>
      </c>
      <c r="D298" s="5" t="s">
        <v>82</v>
      </c>
      <c r="E298" s="5">
        <v>28</v>
      </c>
      <c r="F298" s="6" t="s">
        <v>217</v>
      </c>
      <c r="G298" s="5">
        <v>0.19900000000000001</v>
      </c>
    </row>
    <row r="299" spans="1:7" x14ac:dyDescent="0.25">
      <c r="A299" s="5" t="s">
        <v>207</v>
      </c>
      <c r="B299" s="5" t="s">
        <v>303</v>
      </c>
      <c r="C299" s="5" t="s">
        <v>69</v>
      </c>
      <c r="D299" s="5" t="s">
        <v>82</v>
      </c>
      <c r="E299" s="5">
        <v>28</v>
      </c>
      <c r="F299" s="6" t="s">
        <v>217</v>
      </c>
      <c r="G299" s="5">
        <v>0.19025</v>
      </c>
    </row>
    <row r="300" spans="1:7" x14ac:dyDescent="0.25">
      <c r="A300" s="5" t="s">
        <v>208</v>
      </c>
      <c r="B300" s="5" t="s">
        <v>304</v>
      </c>
      <c r="C300" s="5" t="s">
        <v>69</v>
      </c>
      <c r="D300" s="5" t="s">
        <v>82</v>
      </c>
      <c r="E300" s="5">
        <v>28</v>
      </c>
      <c r="F300" s="6" t="s">
        <v>217</v>
      </c>
      <c r="G300" s="5">
        <v>0.19</v>
      </c>
    </row>
    <row r="301" spans="1:7" x14ac:dyDescent="0.25">
      <c r="A301" s="5" t="s">
        <v>209</v>
      </c>
      <c r="B301" s="5" t="s">
        <v>304</v>
      </c>
      <c r="C301" s="5" t="s">
        <v>69</v>
      </c>
      <c r="D301" s="5" t="s">
        <v>82</v>
      </c>
      <c r="E301" s="5">
        <v>28</v>
      </c>
      <c r="F301" s="6" t="s">
        <v>217</v>
      </c>
      <c r="G301" s="5">
        <v>0.1915</v>
      </c>
    </row>
    <row r="302" spans="1:7" x14ac:dyDescent="0.25">
      <c r="A302" s="5" t="s">
        <v>210</v>
      </c>
      <c r="B302" s="5" t="s">
        <v>304</v>
      </c>
      <c r="C302" s="5" t="s">
        <v>69</v>
      </c>
      <c r="D302" s="5" t="s">
        <v>82</v>
      </c>
      <c r="E302" s="5">
        <v>28</v>
      </c>
      <c r="F302" s="6" t="s">
        <v>217</v>
      </c>
      <c r="G302" s="5">
        <v>0.21124999999999999</v>
      </c>
    </row>
    <row r="303" spans="1:7" x14ac:dyDescent="0.25">
      <c r="A303" s="5" t="s">
        <v>211</v>
      </c>
      <c r="B303" s="5" t="s">
        <v>301</v>
      </c>
      <c r="C303" s="5" t="s">
        <v>69</v>
      </c>
      <c r="D303" s="5" t="s">
        <v>82</v>
      </c>
      <c r="E303" s="5">
        <v>28</v>
      </c>
      <c r="F303" s="6" t="s">
        <v>217</v>
      </c>
      <c r="G303" s="5">
        <v>0.29975000000000002</v>
      </c>
    </row>
    <row r="304" spans="1:7" x14ac:dyDescent="0.25">
      <c r="A304" s="5" t="s">
        <v>212</v>
      </c>
      <c r="B304" s="5" t="s">
        <v>301</v>
      </c>
      <c r="C304" s="5" t="s">
        <v>69</v>
      </c>
      <c r="D304" s="5" t="s">
        <v>82</v>
      </c>
      <c r="E304" s="5">
        <v>28</v>
      </c>
      <c r="F304" s="6" t="s">
        <v>217</v>
      </c>
      <c r="G304" s="5">
        <v>0.26300000000000001</v>
      </c>
    </row>
    <row r="305" spans="1:7" x14ac:dyDescent="0.25">
      <c r="A305" s="5" t="s">
        <v>213</v>
      </c>
      <c r="B305" s="5" t="s">
        <v>301</v>
      </c>
      <c r="C305" s="5" t="s">
        <v>69</v>
      </c>
      <c r="D305" s="5" t="s">
        <v>82</v>
      </c>
      <c r="E305" s="5">
        <v>28</v>
      </c>
      <c r="F305" s="6" t="s">
        <v>217</v>
      </c>
      <c r="G305" s="5">
        <v>0.25650000000000001</v>
      </c>
    </row>
    <row r="306" spans="1:7" x14ac:dyDescent="0.25">
      <c r="A306" s="5" t="s">
        <v>202</v>
      </c>
      <c r="B306" s="5" t="s">
        <v>302</v>
      </c>
      <c r="C306" s="5" t="s">
        <v>70</v>
      </c>
      <c r="D306" s="5" t="s">
        <v>82</v>
      </c>
      <c r="E306" s="5">
        <v>34</v>
      </c>
      <c r="F306" s="6" t="s">
        <v>217</v>
      </c>
      <c r="G306" s="5">
        <v>0.12725</v>
      </c>
    </row>
    <row r="307" spans="1:7" x14ac:dyDescent="0.25">
      <c r="A307" s="5" t="s">
        <v>203</v>
      </c>
      <c r="B307" s="5" t="s">
        <v>302</v>
      </c>
      <c r="C307" s="5" t="s">
        <v>70</v>
      </c>
      <c r="D307" s="5" t="s">
        <v>82</v>
      </c>
      <c r="E307" s="5">
        <v>34</v>
      </c>
      <c r="F307" s="6" t="s">
        <v>217</v>
      </c>
      <c r="G307" s="5">
        <v>0.18675</v>
      </c>
    </row>
    <row r="308" spans="1:7" x14ac:dyDescent="0.25">
      <c r="A308" s="5" t="s">
        <v>204</v>
      </c>
      <c r="B308" s="5" t="s">
        <v>302</v>
      </c>
      <c r="C308" s="5" t="s">
        <v>70</v>
      </c>
      <c r="D308" s="5" t="s">
        <v>82</v>
      </c>
      <c r="E308" s="5">
        <v>34</v>
      </c>
      <c r="F308" s="6" t="s">
        <v>217</v>
      </c>
      <c r="G308" s="5">
        <v>0.17599999999999999</v>
      </c>
    </row>
    <row r="309" spans="1:7" x14ac:dyDescent="0.25">
      <c r="A309" s="5" t="s">
        <v>205</v>
      </c>
      <c r="B309" s="5" t="s">
        <v>303</v>
      </c>
      <c r="C309" s="5" t="s">
        <v>70</v>
      </c>
      <c r="D309" s="5" t="s">
        <v>82</v>
      </c>
      <c r="E309" s="5">
        <v>34</v>
      </c>
      <c r="F309" s="6" t="s">
        <v>217</v>
      </c>
      <c r="G309" s="5">
        <v>0.19925000000000001</v>
      </c>
    </row>
    <row r="310" spans="1:7" x14ac:dyDescent="0.25">
      <c r="A310" s="5" t="s">
        <v>206</v>
      </c>
      <c r="B310" s="5" t="s">
        <v>303</v>
      </c>
      <c r="C310" s="5" t="s">
        <v>70</v>
      </c>
      <c r="D310" s="5" t="s">
        <v>82</v>
      </c>
      <c r="E310" s="5">
        <v>34</v>
      </c>
      <c r="F310" s="6" t="s">
        <v>217</v>
      </c>
      <c r="G310" s="5">
        <v>0.17299999999999999</v>
      </c>
    </row>
    <row r="311" spans="1:7" x14ac:dyDescent="0.25">
      <c r="A311" s="5" t="s">
        <v>207</v>
      </c>
      <c r="B311" s="5" t="s">
        <v>303</v>
      </c>
      <c r="C311" s="5" t="s">
        <v>70</v>
      </c>
      <c r="D311" s="5" t="s">
        <v>82</v>
      </c>
      <c r="E311" s="5">
        <v>34</v>
      </c>
      <c r="F311" s="6" t="s">
        <v>217</v>
      </c>
      <c r="G311" s="5">
        <v>0.16850000000000001</v>
      </c>
    </row>
    <row r="312" spans="1:7" x14ac:dyDescent="0.25">
      <c r="A312" s="5" t="s">
        <v>208</v>
      </c>
      <c r="B312" s="5" t="s">
        <v>304</v>
      </c>
      <c r="C312" s="5" t="s">
        <v>70</v>
      </c>
      <c r="D312" s="5" t="s">
        <v>82</v>
      </c>
      <c r="E312" s="5">
        <v>34</v>
      </c>
      <c r="F312" s="6" t="s">
        <v>217</v>
      </c>
      <c r="G312" s="5">
        <v>0.17050000000000001</v>
      </c>
    </row>
    <row r="313" spans="1:7" x14ac:dyDescent="0.25">
      <c r="A313" s="5" t="s">
        <v>209</v>
      </c>
      <c r="B313" s="5" t="s">
        <v>304</v>
      </c>
      <c r="C313" s="5" t="s">
        <v>70</v>
      </c>
      <c r="D313" s="5" t="s">
        <v>82</v>
      </c>
      <c r="E313" s="5">
        <v>34</v>
      </c>
      <c r="F313" s="6" t="s">
        <v>217</v>
      </c>
      <c r="G313" s="5">
        <v>0.21625</v>
      </c>
    </row>
    <row r="314" spans="1:7" x14ac:dyDescent="0.25">
      <c r="A314" s="5" t="s">
        <v>210</v>
      </c>
      <c r="B314" s="5" t="s">
        <v>304</v>
      </c>
      <c r="C314" s="5" t="s">
        <v>70</v>
      </c>
      <c r="D314" s="5" t="s">
        <v>82</v>
      </c>
      <c r="E314" s="5">
        <v>34</v>
      </c>
      <c r="F314" s="6" t="s">
        <v>217</v>
      </c>
      <c r="G314" s="5">
        <v>0.21575</v>
      </c>
    </row>
    <row r="315" spans="1:7" x14ac:dyDescent="0.25">
      <c r="A315" s="5" t="s">
        <v>211</v>
      </c>
      <c r="B315" s="5" t="s">
        <v>301</v>
      </c>
      <c r="C315" s="5" t="s">
        <v>70</v>
      </c>
      <c r="D315" s="5" t="s">
        <v>82</v>
      </c>
      <c r="E315" s="5">
        <v>34</v>
      </c>
      <c r="F315" s="6" t="s">
        <v>217</v>
      </c>
      <c r="G315" s="5">
        <v>0.22325</v>
      </c>
    </row>
    <row r="316" spans="1:7" x14ac:dyDescent="0.25">
      <c r="A316" s="5" t="s">
        <v>212</v>
      </c>
      <c r="B316" s="5" t="s">
        <v>301</v>
      </c>
      <c r="C316" s="5" t="s">
        <v>70</v>
      </c>
      <c r="D316" s="5" t="s">
        <v>82</v>
      </c>
      <c r="E316" s="5">
        <v>34</v>
      </c>
      <c r="F316" s="6" t="s">
        <v>217</v>
      </c>
      <c r="G316" s="5">
        <v>0.17524999999999999</v>
      </c>
    </row>
    <row r="317" spans="1:7" x14ac:dyDescent="0.25">
      <c r="A317" s="5" t="s">
        <v>213</v>
      </c>
      <c r="B317" s="5" t="s">
        <v>301</v>
      </c>
      <c r="C317" s="5" t="s">
        <v>70</v>
      </c>
      <c r="D317" s="5" t="s">
        <v>82</v>
      </c>
      <c r="E317" s="5">
        <v>34</v>
      </c>
      <c r="F317" s="6" t="s">
        <v>217</v>
      </c>
      <c r="G317" s="5">
        <v>0.18975</v>
      </c>
    </row>
    <row r="318" spans="1:7" x14ac:dyDescent="0.25">
      <c r="A318" s="5" t="s">
        <v>202</v>
      </c>
      <c r="B318" s="5" t="s">
        <v>302</v>
      </c>
      <c r="C318" s="5" t="s">
        <v>70</v>
      </c>
      <c r="D318" s="5" t="s">
        <v>75</v>
      </c>
      <c r="E318" s="5">
        <v>34</v>
      </c>
      <c r="F318" s="6" t="s">
        <v>217</v>
      </c>
      <c r="G318" s="5">
        <v>1.2E-2</v>
      </c>
    </row>
    <row r="319" spans="1:7" x14ac:dyDescent="0.25">
      <c r="A319" s="5" t="s">
        <v>203</v>
      </c>
      <c r="B319" s="5" t="s">
        <v>302</v>
      </c>
      <c r="C319" s="5" t="s">
        <v>70</v>
      </c>
      <c r="D319" s="5" t="s">
        <v>75</v>
      </c>
      <c r="E319" s="5">
        <v>34</v>
      </c>
      <c r="F319" s="6" t="s">
        <v>217</v>
      </c>
      <c r="G319" s="5">
        <v>2.4E-2</v>
      </c>
    </row>
    <row r="320" spans="1:7" x14ac:dyDescent="0.25">
      <c r="A320" s="5" t="s">
        <v>204</v>
      </c>
      <c r="B320" s="5" t="s">
        <v>302</v>
      </c>
      <c r="C320" s="5" t="s">
        <v>70</v>
      </c>
      <c r="D320" s="5" t="s">
        <v>75</v>
      </c>
      <c r="E320" s="5">
        <v>34</v>
      </c>
      <c r="F320" s="6" t="s">
        <v>217</v>
      </c>
      <c r="G320" s="5">
        <v>2.775E-2</v>
      </c>
    </row>
    <row r="321" spans="1:7" x14ac:dyDescent="0.25">
      <c r="A321" s="5" t="s">
        <v>205</v>
      </c>
      <c r="B321" s="5" t="s">
        <v>303</v>
      </c>
      <c r="C321" s="5" t="s">
        <v>70</v>
      </c>
      <c r="D321" s="5" t="s">
        <v>75</v>
      </c>
      <c r="E321" s="5">
        <v>34</v>
      </c>
      <c r="F321" s="6" t="s">
        <v>217</v>
      </c>
      <c r="G321" s="5">
        <v>9.75E-3</v>
      </c>
    </row>
    <row r="322" spans="1:7" x14ac:dyDescent="0.25">
      <c r="A322" s="5" t="s">
        <v>206</v>
      </c>
      <c r="B322" s="5" t="s">
        <v>303</v>
      </c>
      <c r="C322" s="5" t="s">
        <v>70</v>
      </c>
      <c r="D322" s="5" t="s">
        <v>75</v>
      </c>
      <c r="E322" s="5">
        <v>34</v>
      </c>
      <c r="F322" s="6" t="s">
        <v>217</v>
      </c>
      <c r="G322" s="5">
        <v>9.2499999999999995E-3</v>
      </c>
    </row>
    <row r="323" spans="1:7" x14ac:dyDescent="0.25">
      <c r="A323" s="5" t="s">
        <v>207</v>
      </c>
      <c r="B323" s="5" t="s">
        <v>303</v>
      </c>
      <c r="C323" s="5" t="s">
        <v>70</v>
      </c>
      <c r="D323" s="5" t="s">
        <v>75</v>
      </c>
      <c r="E323" s="5">
        <v>34</v>
      </c>
      <c r="F323" s="6" t="s">
        <v>217</v>
      </c>
      <c r="G323" s="5">
        <v>7.4999999999999997E-3</v>
      </c>
    </row>
    <row r="324" spans="1:7" x14ac:dyDescent="0.25">
      <c r="A324" s="5" t="s">
        <v>208</v>
      </c>
      <c r="B324" s="5" t="s">
        <v>304</v>
      </c>
      <c r="C324" s="5" t="s">
        <v>70</v>
      </c>
      <c r="D324" s="5" t="s">
        <v>75</v>
      </c>
      <c r="E324" s="5">
        <v>34</v>
      </c>
      <c r="F324" s="6" t="s">
        <v>217</v>
      </c>
      <c r="G324" s="5">
        <v>8.9999999999999993E-3</v>
      </c>
    </row>
    <row r="325" spans="1:7" x14ac:dyDescent="0.25">
      <c r="A325" s="5" t="s">
        <v>209</v>
      </c>
      <c r="B325" s="5" t="s">
        <v>304</v>
      </c>
      <c r="C325" s="5" t="s">
        <v>70</v>
      </c>
      <c r="D325" s="5" t="s">
        <v>75</v>
      </c>
      <c r="E325" s="5">
        <v>34</v>
      </c>
      <c r="F325" s="6" t="s">
        <v>217</v>
      </c>
      <c r="G325" s="5">
        <v>1.0999999999999999E-2</v>
      </c>
    </row>
    <row r="326" spans="1:7" x14ac:dyDescent="0.25">
      <c r="A326" s="5" t="s">
        <v>210</v>
      </c>
      <c r="B326" s="5" t="s">
        <v>304</v>
      </c>
      <c r="C326" s="5" t="s">
        <v>70</v>
      </c>
      <c r="D326" s="5" t="s">
        <v>75</v>
      </c>
      <c r="E326" s="5">
        <v>34</v>
      </c>
      <c r="F326" s="6" t="s">
        <v>217</v>
      </c>
      <c r="G326" s="5">
        <v>1.15E-2</v>
      </c>
    </row>
    <row r="327" spans="1:7" x14ac:dyDescent="0.25">
      <c r="A327" s="5" t="s">
        <v>211</v>
      </c>
      <c r="B327" s="5" t="s">
        <v>301</v>
      </c>
      <c r="C327" s="5" t="s">
        <v>70</v>
      </c>
      <c r="D327" s="5" t="s">
        <v>75</v>
      </c>
      <c r="E327" s="5">
        <v>34</v>
      </c>
      <c r="F327" s="6" t="s">
        <v>217</v>
      </c>
      <c r="G327" s="5">
        <v>1.025E-2</v>
      </c>
    </row>
    <row r="328" spans="1:7" x14ac:dyDescent="0.25">
      <c r="A328" s="5" t="s">
        <v>212</v>
      </c>
      <c r="B328" s="5" t="s">
        <v>301</v>
      </c>
      <c r="C328" s="5" t="s">
        <v>70</v>
      </c>
      <c r="D328" s="5" t="s">
        <v>75</v>
      </c>
      <c r="E328" s="5">
        <v>34</v>
      </c>
      <c r="F328" s="6" t="s">
        <v>217</v>
      </c>
      <c r="G328" s="5">
        <v>1.125E-2</v>
      </c>
    </row>
    <row r="329" spans="1:7" x14ac:dyDescent="0.25">
      <c r="A329" s="5" t="s">
        <v>213</v>
      </c>
      <c r="B329" s="5" t="s">
        <v>301</v>
      </c>
      <c r="C329" s="5" t="s">
        <v>70</v>
      </c>
      <c r="D329" s="5" t="s">
        <v>75</v>
      </c>
      <c r="E329" s="5">
        <v>34</v>
      </c>
      <c r="F329" s="6" t="s">
        <v>217</v>
      </c>
      <c r="G329" s="5">
        <v>9.75E-3</v>
      </c>
    </row>
    <row r="330" spans="1:7" x14ac:dyDescent="0.25">
      <c r="A330" s="5" t="s">
        <v>202</v>
      </c>
      <c r="B330" s="5" t="s">
        <v>302</v>
      </c>
      <c r="C330" s="5" t="s">
        <v>69</v>
      </c>
      <c r="D330" s="5" t="s">
        <v>82</v>
      </c>
      <c r="E330" s="5">
        <v>34</v>
      </c>
      <c r="F330" s="6" t="s">
        <v>217</v>
      </c>
      <c r="G330" s="5">
        <v>0.115</v>
      </c>
    </row>
    <row r="331" spans="1:7" x14ac:dyDescent="0.25">
      <c r="A331" s="5" t="s">
        <v>203</v>
      </c>
      <c r="B331" s="5" t="s">
        <v>302</v>
      </c>
      <c r="C331" s="5" t="s">
        <v>69</v>
      </c>
      <c r="D331" s="5" t="s">
        <v>82</v>
      </c>
      <c r="E331" s="5">
        <v>34</v>
      </c>
      <c r="F331" s="6" t="s">
        <v>217</v>
      </c>
      <c r="G331" s="5">
        <v>0.2485</v>
      </c>
    </row>
    <row r="332" spans="1:7" x14ac:dyDescent="0.25">
      <c r="A332" s="5" t="s">
        <v>204</v>
      </c>
      <c r="B332" s="5" t="s">
        <v>302</v>
      </c>
      <c r="C332" s="5" t="s">
        <v>69</v>
      </c>
      <c r="D332" s="5" t="s">
        <v>82</v>
      </c>
      <c r="E332" s="5">
        <v>34</v>
      </c>
      <c r="F332" s="6" t="s">
        <v>217</v>
      </c>
      <c r="G332" s="5">
        <v>0.25</v>
      </c>
    </row>
    <row r="333" spans="1:7" x14ac:dyDescent="0.25">
      <c r="A333" s="5" t="s">
        <v>205</v>
      </c>
      <c r="B333" s="5" t="s">
        <v>303</v>
      </c>
      <c r="C333" s="5" t="s">
        <v>69</v>
      </c>
      <c r="D333" s="5" t="s">
        <v>82</v>
      </c>
      <c r="E333" s="5">
        <v>34</v>
      </c>
      <c r="F333" s="6" t="s">
        <v>217</v>
      </c>
      <c r="G333" s="5">
        <v>0.24825</v>
      </c>
    </row>
    <row r="334" spans="1:7" x14ac:dyDescent="0.25">
      <c r="A334" s="5" t="s">
        <v>206</v>
      </c>
      <c r="B334" s="5" t="s">
        <v>303</v>
      </c>
      <c r="C334" s="5" t="s">
        <v>69</v>
      </c>
      <c r="D334" s="5" t="s">
        <v>82</v>
      </c>
      <c r="E334" s="5">
        <v>34</v>
      </c>
      <c r="F334" s="6" t="s">
        <v>217</v>
      </c>
      <c r="G334" s="5">
        <v>0.13350000000000001</v>
      </c>
    </row>
    <row r="335" spans="1:7" x14ac:dyDescent="0.25">
      <c r="A335" s="5" t="s">
        <v>207</v>
      </c>
      <c r="B335" s="5" t="s">
        <v>303</v>
      </c>
      <c r="C335" s="5" t="s">
        <v>69</v>
      </c>
      <c r="D335" s="5" t="s">
        <v>82</v>
      </c>
      <c r="E335" s="5">
        <v>34</v>
      </c>
      <c r="F335" s="6" t="s">
        <v>217</v>
      </c>
      <c r="G335" s="5">
        <v>0.19500000000000001</v>
      </c>
    </row>
    <row r="336" spans="1:7" x14ac:dyDescent="0.25">
      <c r="A336" s="5" t="s">
        <v>208</v>
      </c>
      <c r="B336" s="5" t="s">
        <v>304</v>
      </c>
      <c r="C336" s="5" t="s">
        <v>69</v>
      </c>
      <c r="D336" s="5" t="s">
        <v>82</v>
      </c>
      <c r="E336" s="5">
        <v>34</v>
      </c>
      <c r="F336" s="6" t="s">
        <v>217</v>
      </c>
      <c r="G336" s="5">
        <v>0.17549999999999999</v>
      </c>
    </row>
    <row r="337" spans="1:7" x14ac:dyDescent="0.25">
      <c r="A337" s="5" t="s">
        <v>209</v>
      </c>
      <c r="B337" s="5" t="s">
        <v>304</v>
      </c>
      <c r="C337" s="5" t="s">
        <v>69</v>
      </c>
      <c r="D337" s="5" t="s">
        <v>82</v>
      </c>
      <c r="E337" s="5">
        <v>34</v>
      </c>
      <c r="F337" s="6" t="s">
        <v>217</v>
      </c>
      <c r="G337" s="5">
        <v>0.12225</v>
      </c>
    </row>
    <row r="338" spans="1:7" x14ac:dyDescent="0.25">
      <c r="A338" s="5" t="s">
        <v>210</v>
      </c>
      <c r="B338" s="5" t="s">
        <v>304</v>
      </c>
      <c r="C338" s="5" t="s">
        <v>69</v>
      </c>
      <c r="D338" s="5" t="s">
        <v>82</v>
      </c>
      <c r="E338" s="5">
        <v>34</v>
      </c>
      <c r="F338" s="6" t="s">
        <v>217</v>
      </c>
      <c r="G338" s="5">
        <v>0.1245</v>
      </c>
    </row>
    <row r="339" spans="1:7" x14ac:dyDescent="0.25">
      <c r="A339" s="5" t="s">
        <v>211</v>
      </c>
      <c r="B339" s="5" t="s">
        <v>301</v>
      </c>
      <c r="C339" s="5" t="s">
        <v>69</v>
      </c>
      <c r="D339" s="5" t="s">
        <v>82</v>
      </c>
      <c r="E339" s="5">
        <v>34</v>
      </c>
      <c r="F339" s="6" t="s">
        <v>217</v>
      </c>
      <c r="G339" s="5">
        <v>0.122</v>
      </c>
    </row>
    <row r="340" spans="1:7" x14ac:dyDescent="0.25">
      <c r="A340" s="5" t="s">
        <v>212</v>
      </c>
      <c r="B340" s="5" t="s">
        <v>301</v>
      </c>
      <c r="C340" s="5" t="s">
        <v>69</v>
      </c>
      <c r="D340" s="5" t="s">
        <v>82</v>
      </c>
      <c r="E340" s="5">
        <v>34</v>
      </c>
      <c r="F340" s="6" t="s">
        <v>217</v>
      </c>
      <c r="G340" s="5">
        <v>0.20524999999999999</v>
      </c>
    </row>
    <row r="341" spans="1:7" x14ac:dyDescent="0.25">
      <c r="A341" s="5" t="s">
        <v>213</v>
      </c>
      <c r="B341" s="5" t="s">
        <v>301</v>
      </c>
      <c r="C341" s="5" t="s">
        <v>69</v>
      </c>
      <c r="D341" s="5" t="s">
        <v>82</v>
      </c>
      <c r="E341" s="5">
        <v>34</v>
      </c>
      <c r="F341" s="6" t="s">
        <v>217</v>
      </c>
      <c r="G341" s="5">
        <v>0.28649999999999998</v>
      </c>
    </row>
    <row r="342" spans="1:7" x14ac:dyDescent="0.25">
      <c r="A342" s="5" t="s">
        <v>202</v>
      </c>
      <c r="B342" s="5" t="s">
        <v>302</v>
      </c>
      <c r="C342" s="5" t="s">
        <v>70</v>
      </c>
      <c r="D342" s="5" t="s">
        <v>82</v>
      </c>
      <c r="E342" s="5">
        <v>41</v>
      </c>
      <c r="F342" s="6" t="s">
        <v>217</v>
      </c>
      <c r="G342" s="5">
        <v>0.18575</v>
      </c>
    </row>
    <row r="343" spans="1:7" x14ac:dyDescent="0.25">
      <c r="A343" s="5" t="s">
        <v>203</v>
      </c>
      <c r="B343" s="5" t="s">
        <v>302</v>
      </c>
      <c r="C343" s="5" t="s">
        <v>70</v>
      </c>
      <c r="D343" s="5" t="s">
        <v>82</v>
      </c>
      <c r="E343" s="5">
        <v>41</v>
      </c>
      <c r="F343" s="6" t="s">
        <v>217</v>
      </c>
      <c r="G343" s="5">
        <v>0.20100000000000001</v>
      </c>
    </row>
    <row r="344" spans="1:7" x14ac:dyDescent="0.25">
      <c r="A344" s="5" t="s">
        <v>204</v>
      </c>
      <c r="B344" s="5" t="s">
        <v>302</v>
      </c>
      <c r="C344" s="5" t="s">
        <v>70</v>
      </c>
      <c r="D344" s="5" t="s">
        <v>82</v>
      </c>
      <c r="E344" s="5">
        <v>41</v>
      </c>
      <c r="F344" s="6" t="s">
        <v>217</v>
      </c>
      <c r="G344" s="5">
        <v>0.153</v>
      </c>
    </row>
    <row r="345" spans="1:7" x14ac:dyDescent="0.25">
      <c r="A345" s="5" t="s">
        <v>205</v>
      </c>
      <c r="B345" s="5" t="s">
        <v>303</v>
      </c>
      <c r="C345" s="5" t="s">
        <v>70</v>
      </c>
      <c r="D345" s="5" t="s">
        <v>82</v>
      </c>
      <c r="E345" s="5">
        <v>41</v>
      </c>
      <c r="F345" s="6" t="s">
        <v>217</v>
      </c>
      <c r="G345" s="5">
        <v>0.17324999999999999</v>
      </c>
    </row>
    <row r="346" spans="1:7" x14ac:dyDescent="0.25">
      <c r="A346" s="5" t="s">
        <v>206</v>
      </c>
      <c r="B346" s="5" t="s">
        <v>303</v>
      </c>
      <c r="C346" s="5" t="s">
        <v>70</v>
      </c>
      <c r="D346" s="5" t="s">
        <v>82</v>
      </c>
      <c r="E346" s="5">
        <v>41</v>
      </c>
      <c r="F346" s="6" t="s">
        <v>217</v>
      </c>
      <c r="G346" s="5">
        <v>0.20100000000000001</v>
      </c>
    </row>
    <row r="347" spans="1:7" x14ac:dyDescent="0.25">
      <c r="A347" s="5" t="s">
        <v>207</v>
      </c>
      <c r="B347" s="5" t="s">
        <v>303</v>
      </c>
      <c r="C347" s="5" t="s">
        <v>70</v>
      </c>
      <c r="D347" s="5" t="s">
        <v>82</v>
      </c>
      <c r="E347" s="5">
        <v>41</v>
      </c>
      <c r="F347" s="6" t="s">
        <v>217</v>
      </c>
      <c r="G347" s="5">
        <v>0.20275000000000001</v>
      </c>
    </row>
    <row r="348" spans="1:7" x14ac:dyDescent="0.25">
      <c r="A348" s="5" t="s">
        <v>208</v>
      </c>
      <c r="B348" s="5" t="s">
        <v>304</v>
      </c>
      <c r="C348" s="5" t="s">
        <v>70</v>
      </c>
      <c r="D348" s="5" t="s">
        <v>82</v>
      </c>
      <c r="E348" s="5">
        <v>41</v>
      </c>
      <c r="F348" s="6" t="s">
        <v>217</v>
      </c>
      <c r="G348" s="5">
        <v>0.13550000000000001</v>
      </c>
    </row>
    <row r="349" spans="1:7" x14ac:dyDescent="0.25">
      <c r="A349" s="5" t="s">
        <v>209</v>
      </c>
      <c r="B349" s="5" t="s">
        <v>304</v>
      </c>
      <c r="C349" s="5" t="s">
        <v>70</v>
      </c>
      <c r="D349" s="5" t="s">
        <v>82</v>
      </c>
      <c r="E349" s="5">
        <v>41</v>
      </c>
      <c r="F349" s="6" t="s">
        <v>217</v>
      </c>
      <c r="G349" s="5">
        <v>0.157</v>
      </c>
    </row>
    <row r="350" spans="1:7" x14ac:dyDescent="0.25">
      <c r="A350" s="5" t="s">
        <v>210</v>
      </c>
      <c r="B350" s="5" t="s">
        <v>304</v>
      </c>
      <c r="C350" s="5" t="s">
        <v>70</v>
      </c>
      <c r="D350" s="5" t="s">
        <v>82</v>
      </c>
      <c r="E350" s="5">
        <v>41</v>
      </c>
      <c r="F350" s="6" t="s">
        <v>217</v>
      </c>
      <c r="G350" s="5">
        <v>0.1825</v>
      </c>
    </row>
    <row r="351" spans="1:7" x14ac:dyDescent="0.25">
      <c r="A351" s="5" t="s">
        <v>211</v>
      </c>
      <c r="B351" s="5" t="s">
        <v>301</v>
      </c>
      <c r="C351" s="5" t="s">
        <v>70</v>
      </c>
      <c r="D351" s="5" t="s">
        <v>82</v>
      </c>
      <c r="E351" s="5">
        <v>41</v>
      </c>
      <c r="F351" s="6" t="s">
        <v>217</v>
      </c>
      <c r="G351" s="5">
        <v>0.14449999999999999</v>
      </c>
    </row>
    <row r="352" spans="1:7" x14ac:dyDescent="0.25">
      <c r="A352" s="5" t="s">
        <v>212</v>
      </c>
      <c r="B352" s="5" t="s">
        <v>301</v>
      </c>
      <c r="C352" s="5" t="s">
        <v>70</v>
      </c>
      <c r="D352" s="5" t="s">
        <v>82</v>
      </c>
      <c r="E352" s="5">
        <v>41</v>
      </c>
      <c r="F352" s="6" t="s">
        <v>217</v>
      </c>
      <c r="G352" s="5">
        <v>0.17599999999999999</v>
      </c>
    </row>
    <row r="353" spans="1:7" x14ac:dyDescent="0.25">
      <c r="A353" s="5" t="s">
        <v>213</v>
      </c>
      <c r="B353" s="5" t="s">
        <v>301</v>
      </c>
      <c r="C353" s="5" t="s">
        <v>70</v>
      </c>
      <c r="D353" s="5" t="s">
        <v>82</v>
      </c>
      <c r="E353" s="5">
        <v>41</v>
      </c>
      <c r="F353" s="6" t="s">
        <v>217</v>
      </c>
      <c r="G353" s="5">
        <v>0.1835</v>
      </c>
    </row>
    <row r="354" spans="1:7" x14ac:dyDescent="0.25">
      <c r="A354" s="5" t="s">
        <v>202</v>
      </c>
      <c r="B354" s="5" t="s">
        <v>302</v>
      </c>
      <c r="C354" s="5" t="s">
        <v>70</v>
      </c>
      <c r="D354" s="5" t="s">
        <v>75</v>
      </c>
      <c r="E354" s="5">
        <v>41</v>
      </c>
      <c r="F354" s="6" t="s">
        <v>217</v>
      </c>
      <c r="G354" s="5">
        <v>0.01</v>
      </c>
    </row>
    <row r="355" spans="1:7" x14ac:dyDescent="0.25">
      <c r="A355" s="5" t="s">
        <v>203</v>
      </c>
      <c r="B355" s="5" t="s">
        <v>302</v>
      </c>
      <c r="C355" s="5" t="s">
        <v>70</v>
      </c>
      <c r="D355" s="5" t="s">
        <v>75</v>
      </c>
      <c r="E355" s="5">
        <v>41</v>
      </c>
      <c r="F355" s="6" t="s">
        <v>217</v>
      </c>
      <c r="G355" s="5">
        <v>8.2500000000000004E-3</v>
      </c>
    </row>
    <row r="356" spans="1:7" x14ac:dyDescent="0.25">
      <c r="A356" s="5" t="s">
        <v>204</v>
      </c>
      <c r="B356" s="5" t="s">
        <v>302</v>
      </c>
      <c r="C356" s="5" t="s">
        <v>70</v>
      </c>
      <c r="D356" s="5" t="s">
        <v>75</v>
      </c>
      <c r="E356" s="5">
        <v>41</v>
      </c>
      <c r="F356" s="6" t="s">
        <v>217</v>
      </c>
      <c r="G356" s="5">
        <v>1.2999999999999999E-2</v>
      </c>
    </row>
    <row r="357" spans="1:7" x14ac:dyDescent="0.25">
      <c r="A357" s="5" t="s">
        <v>205</v>
      </c>
      <c r="B357" s="5" t="s">
        <v>303</v>
      </c>
      <c r="C357" s="5" t="s">
        <v>70</v>
      </c>
      <c r="D357" s="5" t="s">
        <v>75</v>
      </c>
      <c r="E357" s="5">
        <v>41</v>
      </c>
      <c r="F357" s="6" t="s">
        <v>217</v>
      </c>
      <c r="G357" s="5">
        <v>8.5000000000000006E-3</v>
      </c>
    </row>
    <row r="358" spans="1:7" x14ac:dyDescent="0.25">
      <c r="A358" s="5" t="s">
        <v>206</v>
      </c>
      <c r="B358" s="5" t="s">
        <v>303</v>
      </c>
      <c r="C358" s="5" t="s">
        <v>70</v>
      </c>
      <c r="D358" s="5" t="s">
        <v>75</v>
      </c>
      <c r="E358" s="5">
        <v>41</v>
      </c>
      <c r="F358" s="6" t="s">
        <v>217</v>
      </c>
      <c r="G358" s="5">
        <v>5.4999999999999997E-3</v>
      </c>
    </row>
    <row r="359" spans="1:7" x14ac:dyDescent="0.25">
      <c r="A359" s="5" t="s">
        <v>207</v>
      </c>
      <c r="B359" s="5" t="s">
        <v>303</v>
      </c>
      <c r="C359" s="5" t="s">
        <v>70</v>
      </c>
      <c r="D359" s="5" t="s">
        <v>75</v>
      </c>
      <c r="E359" s="5">
        <v>41</v>
      </c>
      <c r="F359" s="6" t="s">
        <v>217</v>
      </c>
      <c r="G359" s="5">
        <v>5.0000000000000001E-3</v>
      </c>
    </row>
    <row r="360" spans="1:7" x14ac:dyDescent="0.25">
      <c r="A360" s="5" t="s">
        <v>208</v>
      </c>
      <c r="B360" s="5" t="s">
        <v>304</v>
      </c>
      <c r="C360" s="5" t="s">
        <v>70</v>
      </c>
      <c r="D360" s="5" t="s">
        <v>75</v>
      </c>
      <c r="E360" s="5">
        <v>41</v>
      </c>
      <c r="F360" s="6" t="s">
        <v>217</v>
      </c>
      <c r="G360" s="5">
        <v>5.4999999999999997E-3</v>
      </c>
    </row>
    <row r="361" spans="1:7" x14ac:dyDescent="0.25">
      <c r="A361" s="5" t="s">
        <v>209</v>
      </c>
      <c r="B361" s="5" t="s">
        <v>304</v>
      </c>
      <c r="C361" s="5" t="s">
        <v>70</v>
      </c>
      <c r="D361" s="5" t="s">
        <v>75</v>
      </c>
      <c r="E361" s="5">
        <v>41</v>
      </c>
      <c r="F361" s="6" t="s">
        <v>217</v>
      </c>
      <c r="G361" s="5">
        <v>1.15E-2</v>
      </c>
    </row>
    <row r="362" spans="1:7" x14ac:dyDescent="0.25">
      <c r="A362" s="5" t="s">
        <v>210</v>
      </c>
      <c r="B362" s="5" t="s">
        <v>304</v>
      </c>
      <c r="C362" s="5" t="s">
        <v>70</v>
      </c>
      <c r="D362" s="5" t="s">
        <v>75</v>
      </c>
      <c r="E362" s="5">
        <v>41</v>
      </c>
      <c r="F362" s="6" t="s">
        <v>217</v>
      </c>
      <c r="G362" s="5">
        <v>7.0000000000000001E-3</v>
      </c>
    </row>
    <row r="363" spans="1:7" x14ac:dyDescent="0.25">
      <c r="A363" s="5" t="s">
        <v>211</v>
      </c>
      <c r="B363" s="5" t="s">
        <v>301</v>
      </c>
      <c r="C363" s="5" t="s">
        <v>70</v>
      </c>
      <c r="D363" s="5" t="s">
        <v>75</v>
      </c>
      <c r="E363" s="5">
        <v>41</v>
      </c>
      <c r="F363" s="6" t="s">
        <v>217</v>
      </c>
      <c r="G363" s="5">
        <v>6.4999999999999997E-3</v>
      </c>
    </row>
    <row r="364" spans="1:7" x14ac:dyDescent="0.25">
      <c r="A364" s="5" t="s">
        <v>212</v>
      </c>
      <c r="B364" s="5" t="s">
        <v>301</v>
      </c>
      <c r="C364" s="5" t="s">
        <v>70</v>
      </c>
      <c r="D364" s="5" t="s">
        <v>75</v>
      </c>
      <c r="E364" s="5">
        <v>41</v>
      </c>
      <c r="F364" s="6" t="s">
        <v>217</v>
      </c>
      <c r="G364" s="5">
        <v>1.6E-2</v>
      </c>
    </row>
    <row r="365" spans="1:7" x14ac:dyDescent="0.25">
      <c r="A365" s="5" t="s">
        <v>213</v>
      </c>
      <c r="B365" s="5" t="s">
        <v>301</v>
      </c>
      <c r="C365" s="5" t="s">
        <v>70</v>
      </c>
      <c r="D365" s="5" t="s">
        <v>75</v>
      </c>
      <c r="E365" s="5">
        <v>41</v>
      </c>
      <c r="F365" s="6" t="s">
        <v>217</v>
      </c>
      <c r="G365" s="5">
        <v>6.2500000000000003E-3</v>
      </c>
    </row>
    <row r="366" spans="1:7" x14ac:dyDescent="0.25">
      <c r="A366" s="5" t="s">
        <v>202</v>
      </c>
      <c r="B366" s="5" t="s">
        <v>302</v>
      </c>
      <c r="C366" s="5" t="s">
        <v>69</v>
      </c>
      <c r="D366" s="5" t="s">
        <v>82</v>
      </c>
      <c r="E366" s="5">
        <v>41</v>
      </c>
      <c r="F366" s="6" t="s">
        <v>217</v>
      </c>
      <c r="G366" s="5">
        <v>0.10625</v>
      </c>
    </row>
    <row r="367" spans="1:7" x14ac:dyDescent="0.25">
      <c r="A367" s="5" t="s">
        <v>203</v>
      </c>
      <c r="B367" s="5" t="s">
        <v>302</v>
      </c>
      <c r="C367" s="5" t="s">
        <v>69</v>
      </c>
      <c r="D367" s="5" t="s">
        <v>82</v>
      </c>
      <c r="E367" s="5">
        <v>41</v>
      </c>
      <c r="F367" s="6" t="s">
        <v>217</v>
      </c>
      <c r="G367" s="5">
        <v>6.9750000000000006E-2</v>
      </c>
    </row>
    <row r="368" spans="1:7" x14ac:dyDescent="0.25">
      <c r="A368" s="5" t="s">
        <v>204</v>
      </c>
      <c r="B368" s="5" t="s">
        <v>302</v>
      </c>
      <c r="C368" s="5" t="s">
        <v>69</v>
      </c>
      <c r="D368" s="5" t="s">
        <v>82</v>
      </c>
      <c r="E368" s="5">
        <v>41</v>
      </c>
      <c r="F368" s="6" t="s">
        <v>217</v>
      </c>
      <c r="G368" s="5">
        <v>4.675E-2</v>
      </c>
    </row>
    <row r="369" spans="1:7" x14ac:dyDescent="0.25">
      <c r="A369" s="5" t="s">
        <v>205</v>
      </c>
      <c r="B369" s="5" t="s">
        <v>303</v>
      </c>
      <c r="C369" s="5" t="s">
        <v>69</v>
      </c>
      <c r="D369" s="5" t="s">
        <v>82</v>
      </c>
      <c r="E369" s="5">
        <v>41</v>
      </c>
      <c r="F369" s="6" t="s">
        <v>217</v>
      </c>
      <c r="G369" s="5">
        <v>0.12</v>
      </c>
    </row>
    <row r="370" spans="1:7" x14ac:dyDescent="0.25">
      <c r="A370" s="5" t="s">
        <v>206</v>
      </c>
      <c r="B370" s="5" t="s">
        <v>303</v>
      </c>
      <c r="C370" s="5" t="s">
        <v>69</v>
      </c>
      <c r="D370" s="5" t="s">
        <v>82</v>
      </c>
      <c r="E370" s="5">
        <v>41</v>
      </c>
      <c r="F370" s="6" t="s">
        <v>217</v>
      </c>
      <c r="G370" s="5">
        <v>8.1500000000000003E-2</v>
      </c>
    </row>
    <row r="371" spans="1:7" x14ac:dyDescent="0.25">
      <c r="A371" s="5" t="s">
        <v>207</v>
      </c>
      <c r="B371" s="5" t="s">
        <v>303</v>
      </c>
      <c r="C371" s="5" t="s">
        <v>69</v>
      </c>
      <c r="D371" s="5" t="s">
        <v>82</v>
      </c>
      <c r="E371" s="5">
        <v>41</v>
      </c>
      <c r="F371" s="6" t="s">
        <v>217</v>
      </c>
      <c r="G371" s="5">
        <v>0.13025</v>
      </c>
    </row>
    <row r="372" spans="1:7" x14ac:dyDescent="0.25">
      <c r="A372" s="5" t="s">
        <v>208</v>
      </c>
      <c r="B372" s="5" t="s">
        <v>304</v>
      </c>
      <c r="C372" s="5" t="s">
        <v>69</v>
      </c>
      <c r="D372" s="5" t="s">
        <v>82</v>
      </c>
      <c r="E372" s="5">
        <v>41</v>
      </c>
      <c r="F372" s="6" t="s">
        <v>217</v>
      </c>
      <c r="G372" s="5">
        <v>0.16400000000000001</v>
      </c>
    </row>
    <row r="373" spans="1:7" x14ac:dyDescent="0.25">
      <c r="A373" s="5" t="s">
        <v>209</v>
      </c>
      <c r="B373" s="5" t="s">
        <v>304</v>
      </c>
      <c r="C373" s="5" t="s">
        <v>69</v>
      </c>
      <c r="D373" s="5" t="s">
        <v>82</v>
      </c>
      <c r="E373" s="5">
        <v>41</v>
      </c>
      <c r="F373" s="6" t="s">
        <v>217</v>
      </c>
      <c r="G373" s="5">
        <v>0.109</v>
      </c>
    </row>
    <row r="374" spans="1:7" x14ac:dyDescent="0.25">
      <c r="A374" s="5" t="s">
        <v>210</v>
      </c>
      <c r="B374" s="5" t="s">
        <v>304</v>
      </c>
      <c r="C374" s="5" t="s">
        <v>69</v>
      </c>
      <c r="D374" s="5" t="s">
        <v>82</v>
      </c>
      <c r="E374" s="5">
        <v>41</v>
      </c>
      <c r="F374" s="6" t="s">
        <v>217</v>
      </c>
      <c r="G374" s="5">
        <v>0.10725</v>
      </c>
    </row>
    <row r="375" spans="1:7" x14ac:dyDescent="0.25">
      <c r="A375" s="5" t="s">
        <v>211</v>
      </c>
      <c r="B375" s="5" t="s">
        <v>301</v>
      </c>
      <c r="C375" s="5" t="s">
        <v>69</v>
      </c>
      <c r="D375" s="5" t="s">
        <v>82</v>
      </c>
      <c r="E375" s="5">
        <v>41</v>
      </c>
      <c r="F375" s="6" t="s">
        <v>217</v>
      </c>
      <c r="G375" s="5">
        <v>9.8500000000000004E-2</v>
      </c>
    </row>
    <row r="376" spans="1:7" x14ac:dyDescent="0.25">
      <c r="A376" s="5" t="s">
        <v>212</v>
      </c>
      <c r="B376" s="5" t="s">
        <v>301</v>
      </c>
      <c r="C376" s="5" t="s">
        <v>69</v>
      </c>
      <c r="D376" s="5" t="s">
        <v>82</v>
      </c>
      <c r="E376" s="5">
        <v>41</v>
      </c>
      <c r="F376" s="6" t="s">
        <v>217</v>
      </c>
      <c r="G376" s="5">
        <v>7.7499999999999999E-2</v>
      </c>
    </row>
    <row r="377" spans="1:7" x14ac:dyDescent="0.25">
      <c r="A377" s="5" t="s">
        <v>213</v>
      </c>
      <c r="B377" s="5" t="s">
        <v>301</v>
      </c>
      <c r="C377" s="5" t="s">
        <v>69</v>
      </c>
      <c r="D377" s="5" t="s">
        <v>82</v>
      </c>
      <c r="E377" s="5">
        <v>41</v>
      </c>
      <c r="F377" s="6" t="s">
        <v>217</v>
      </c>
      <c r="G377" s="5">
        <v>9.6750000000000003E-2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1BA3-DA95-4658-9C57-DE061D463C1C}">
  <dimension ref="A1:T66"/>
  <sheetViews>
    <sheetView showGridLines="0" topLeftCell="A14" zoomScale="70" zoomScaleNormal="70" workbookViewId="0">
      <selection activeCell="K24" sqref="K24"/>
    </sheetView>
  </sheetViews>
  <sheetFormatPr baseColWidth="10" defaultRowHeight="15" x14ac:dyDescent="0.25"/>
  <cols>
    <col min="1" max="7" width="17.28515625" customWidth="1"/>
    <col min="8" max="17" width="14.140625" customWidth="1"/>
    <col min="19" max="19" width="18.42578125" customWidth="1"/>
  </cols>
  <sheetData>
    <row r="1" spans="1:20" ht="27" customHeight="1" thickBot="1" x14ac:dyDescent="0.3">
      <c r="G1" s="4"/>
      <c r="H1" s="28" t="s">
        <v>265</v>
      </c>
      <c r="I1" s="28"/>
      <c r="J1" s="28"/>
      <c r="K1" s="28"/>
      <c r="L1" s="28"/>
      <c r="M1" s="28"/>
      <c r="N1" s="28"/>
      <c r="O1" s="28"/>
      <c r="P1" s="28"/>
      <c r="Q1" s="28"/>
    </row>
    <row r="2" spans="1:20" ht="30" customHeight="1" thickBot="1" x14ac:dyDescent="0.3">
      <c r="A2" s="2" t="s">
        <v>72</v>
      </c>
      <c r="B2" s="2" t="s">
        <v>71</v>
      </c>
      <c r="C2" s="37" t="s">
        <v>223</v>
      </c>
      <c r="D2" s="38" t="s">
        <v>68</v>
      </c>
      <c r="E2" s="38" t="s">
        <v>71</v>
      </c>
      <c r="F2" s="38" t="s">
        <v>72</v>
      </c>
      <c r="G2" s="39" t="s">
        <v>73</v>
      </c>
      <c r="H2" s="19" t="s">
        <v>260</v>
      </c>
      <c r="I2" s="19" t="s">
        <v>276</v>
      </c>
      <c r="J2" s="19" t="s">
        <v>277</v>
      </c>
      <c r="K2" s="19" t="s">
        <v>261</v>
      </c>
      <c r="L2" s="19" t="s">
        <v>262</v>
      </c>
      <c r="M2" s="19" t="s">
        <v>264</v>
      </c>
      <c r="N2" s="19" t="s">
        <v>263</v>
      </c>
      <c r="O2" s="19" t="s">
        <v>278</v>
      </c>
      <c r="P2" s="19" t="s">
        <v>279</v>
      </c>
      <c r="Q2" s="3" t="s">
        <v>218</v>
      </c>
      <c r="S2" s="16" t="s">
        <v>267</v>
      </c>
      <c r="T2" s="5"/>
    </row>
    <row r="3" spans="1:20" x14ac:dyDescent="0.25">
      <c r="A3" s="5" t="s">
        <v>8</v>
      </c>
      <c r="B3" s="5" t="s">
        <v>18</v>
      </c>
      <c r="C3" s="5" t="s">
        <v>75</v>
      </c>
      <c r="D3" s="5" t="s">
        <v>70</v>
      </c>
      <c r="E3" s="35" t="s">
        <v>18</v>
      </c>
      <c r="F3" s="35" t="s">
        <v>8</v>
      </c>
      <c r="G3" s="8" t="s">
        <v>78</v>
      </c>
      <c r="H3" s="9">
        <v>0.2221769228578192</v>
      </c>
      <c r="I3" s="9">
        <v>0.16489647254492804</v>
      </c>
      <c r="J3" s="9">
        <v>0.15154695871354978</v>
      </c>
      <c r="K3" s="9">
        <f>0.0714546504853885*10</f>
        <v>0.71454650485388504</v>
      </c>
      <c r="L3" s="9">
        <f>0.189061912887543*10</f>
        <v>1.8906191288754302</v>
      </c>
      <c r="M3" s="9">
        <v>0.17267287647876953</v>
      </c>
      <c r="N3" s="9">
        <v>4.9813015359234155E-3</v>
      </c>
      <c r="O3" s="9">
        <f>0.115283668066648*10</f>
        <v>1.15283668066648</v>
      </c>
      <c r="P3" s="9">
        <v>1E-4</v>
      </c>
      <c r="Q3" s="9">
        <f>27.95*3</f>
        <v>83.85</v>
      </c>
      <c r="S3" s="17" t="s">
        <v>68</v>
      </c>
      <c r="T3" s="18" t="s">
        <v>268</v>
      </c>
    </row>
    <row r="4" spans="1:20" x14ac:dyDescent="0.25">
      <c r="A4" s="5" t="s">
        <v>8</v>
      </c>
      <c r="B4" s="5" t="s">
        <v>18</v>
      </c>
      <c r="C4" s="5" t="s">
        <v>75</v>
      </c>
      <c r="D4" s="5" t="s">
        <v>70</v>
      </c>
      <c r="E4" s="35" t="s">
        <v>18</v>
      </c>
      <c r="F4" s="35" t="s">
        <v>8</v>
      </c>
      <c r="G4" s="8" t="s">
        <v>79</v>
      </c>
      <c r="H4" s="9">
        <v>1E-4</v>
      </c>
      <c r="I4" s="9">
        <v>0.17338563123494841</v>
      </c>
      <c r="J4" s="9">
        <v>0.14533800131210045</v>
      </c>
      <c r="K4" s="9">
        <f>0.0678198673619161*10</f>
        <v>0.67819867361916097</v>
      </c>
      <c r="L4" s="9">
        <f>0.189191307204628*10</f>
        <v>1.8919130720462802</v>
      </c>
      <c r="M4" s="9">
        <v>0.21624995622449208</v>
      </c>
      <c r="N4" s="9">
        <v>1E-4</v>
      </c>
      <c r="O4" s="9">
        <f>0.0987035914853319*10</f>
        <v>0.9870359148533191</v>
      </c>
      <c r="P4" s="9">
        <v>1E-4</v>
      </c>
      <c r="Q4" s="9">
        <f>23.15*3</f>
        <v>69.449999999999989</v>
      </c>
      <c r="S4" s="17" t="s">
        <v>71</v>
      </c>
      <c r="T4" s="18" t="s">
        <v>269</v>
      </c>
    </row>
    <row r="5" spans="1:20" x14ac:dyDescent="0.25">
      <c r="A5" s="5" t="s">
        <v>8</v>
      </c>
      <c r="B5" s="5" t="s">
        <v>18</v>
      </c>
      <c r="C5" s="5" t="s">
        <v>75</v>
      </c>
      <c r="D5" s="5" t="s">
        <v>70</v>
      </c>
      <c r="E5" s="35" t="s">
        <v>18</v>
      </c>
      <c r="F5" s="35" t="s">
        <v>8</v>
      </c>
      <c r="G5" s="8" t="s">
        <v>80</v>
      </c>
      <c r="H5" s="9">
        <v>1E-4</v>
      </c>
      <c r="I5" s="9">
        <v>0.22192427508768001</v>
      </c>
      <c r="J5" s="9">
        <v>0.11340959152248134</v>
      </c>
      <c r="K5" s="9">
        <f>0.0626926214396388*10</f>
        <v>0.62692621439638807</v>
      </c>
      <c r="L5" s="9">
        <f>0.188220717580018*10</f>
        <v>1.8822071758001799</v>
      </c>
      <c r="M5" s="9">
        <v>0.21183355216507138</v>
      </c>
      <c r="N5" s="9">
        <v>1E-4</v>
      </c>
      <c r="O5" s="9">
        <f>0.0911883837711345*10</f>
        <v>0.91188383771134496</v>
      </c>
      <c r="P5" s="9">
        <v>1E-4</v>
      </c>
      <c r="Q5" s="9">
        <f>25.73*3</f>
        <v>77.19</v>
      </c>
      <c r="S5" s="17" t="s">
        <v>223</v>
      </c>
      <c r="T5" s="18" t="s">
        <v>275</v>
      </c>
    </row>
    <row r="6" spans="1:20" x14ac:dyDescent="0.25">
      <c r="A6" s="5" t="s">
        <v>8</v>
      </c>
      <c r="B6" s="5" t="s">
        <v>7</v>
      </c>
      <c r="C6" s="5" t="s">
        <v>75</v>
      </c>
      <c r="D6" s="5" t="s">
        <v>70</v>
      </c>
      <c r="E6" s="35" t="s">
        <v>7</v>
      </c>
      <c r="F6" s="35" t="s">
        <v>8</v>
      </c>
      <c r="G6" s="8" t="s">
        <v>74</v>
      </c>
      <c r="H6" s="9">
        <v>6.7577225106852226E-2</v>
      </c>
      <c r="I6" s="9">
        <v>0.21571475994605452</v>
      </c>
      <c r="J6" s="9">
        <v>0.17184446380211083</v>
      </c>
      <c r="K6" s="9">
        <f>0.0664911912149223*10</f>
        <v>0.66491191214922296</v>
      </c>
      <c r="L6" s="9">
        <f>0.186443281284717*10</f>
        <v>1.8644328128471699</v>
      </c>
      <c r="M6" s="9">
        <v>0.14718684312924099</v>
      </c>
      <c r="N6" s="9">
        <v>9.8412426761394518E-3</v>
      </c>
      <c r="O6" s="9">
        <f>0.0947796714687608*10</f>
        <v>0.94779671468760807</v>
      </c>
      <c r="P6" s="9">
        <v>1E-4</v>
      </c>
      <c r="Q6" s="9">
        <f>16.94*5</f>
        <v>84.7</v>
      </c>
      <c r="S6" s="17" t="s">
        <v>72</v>
      </c>
      <c r="T6" s="18" t="s">
        <v>270</v>
      </c>
    </row>
    <row r="7" spans="1:20" x14ac:dyDescent="0.25">
      <c r="A7" s="5" t="s">
        <v>8</v>
      </c>
      <c r="B7" s="5" t="s">
        <v>7</v>
      </c>
      <c r="C7" s="5" t="s">
        <v>75</v>
      </c>
      <c r="D7" s="5" t="s">
        <v>70</v>
      </c>
      <c r="E7" s="35" t="s">
        <v>7</v>
      </c>
      <c r="F7" s="35" t="s">
        <v>8</v>
      </c>
      <c r="G7" s="8" t="s">
        <v>76</v>
      </c>
      <c r="H7" s="9">
        <v>8.2961200845870609E-2</v>
      </c>
      <c r="I7" s="9">
        <v>0.15624388483530105</v>
      </c>
      <c r="J7" s="9">
        <v>0.14478616681418599</v>
      </c>
      <c r="K7" s="9">
        <f>0.0651160898799889*10</f>
        <v>0.65116089879988903</v>
      </c>
      <c r="L7" s="9">
        <f>0.187495147958816*10</f>
        <v>1.8749514795881601</v>
      </c>
      <c r="M7" s="9">
        <v>0.21203907632946425</v>
      </c>
      <c r="N7" s="9">
        <v>8.259375050987337E-3</v>
      </c>
      <c r="O7" s="9">
        <f>0.0932129316631793*10</f>
        <v>0.93212931663179299</v>
      </c>
      <c r="P7" s="9">
        <v>1E-4</v>
      </c>
      <c r="Q7" s="9">
        <f>28.66*3</f>
        <v>85.98</v>
      </c>
    </row>
    <row r="8" spans="1:20" x14ac:dyDescent="0.25">
      <c r="A8" s="5" t="s">
        <v>8</v>
      </c>
      <c r="B8" s="5" t="s">
        <v>7</v>
      </c>
      <c r="C8" s="5" t="s">
        <v>75</v>
      </c>
      <c r="D8" s="5" t="s">
        <v>70</v>
      </c>
      <c r="E8" s="35" t="s">
        <v>7</v>
      </c>
      <c r="F8" s="35" t="s">
        <v>8</v>
      </c>
      <c r="G8" s="8" t="s">
        <v>77</v>
      </c>
      <c r="H8" s="9">
        <v>3.119078597474725E-2</v>
      </c>
      <c r="I8" s="9">
        <v>0.14889808820996978</v>
      </c>
      <c r="J8" s="9">
        <v>0.14073861859941347</v>
      </c>
      <c r="K8" s="9">
        <f>0.0641534095744501*10</f>
        <v>0.64153409574450093</v>
      </c>
      <c r="L8" s="9">
        <f>0.176927909949431*10</f>
        <v>1.7692790994943099</v>
      </c>
      <c r="M8" s="9">
        <v>0.14922047003312194</v>
      </c>
      <c r="N8" s="9">
        <v>6.1049947467413995E-3</v>
      </c>
      <c r="O8" s="9">
        <f>0.0951769445750633*10</f>
        <v>0.95176944575063305</v>
      </c>
      <c r="P8" s="9">
        <v>1E-4</v>
      </c>
      <c r="Q8" s="9">
        <f>27.29*3</f>
        <v>81.87</v>
      </c>
    </row>
    <row r="9" spans="1:20" x14ac:dyDescent="0.25">
      <c r="A9" s="5" t="s">
        <v>8</v>
      </c>
      <c r="B9" s="5" t="s">
        <v>18</v>
      </c>
      <c r="C9" s="5" t="s">
        <v>82</v>
      </c>
      <c r="D9" s="5" t="s">
        <v>70</v>
      </c>
      <c r="E9" s="35" t="s">
        <v>18</v>
      </c>
      <c r="F9" s="35" t="s">
        <v>8</v>
      </c>
      <c r="G9" s="8" t="s">
        <v>91</v>
      </c>
      <c r="H9" s="9">
        <v>0.24353920756169253</v>
      </c>
      <c r="I9" s="9">
        <v>0.17483492097400025</v>
      </c>
      <c r="J9" s="9">
        <v>0.18606335636484106</v>
      </c>
      <c r="K9" s="9">
        <f>0.0928285140271218*10</f>
        <v>0.928285140271218</v>
      </c>
      <c r="L9" s="9">
        <f>0.204915649330095*10</f>
        <v>2.0491564933009503</v>
      </c>
      <c r="M9" s="9">
        <v>0.18230845849810637</v>
      </c>
      <c r="N9" s="9">
        <v>1E-4</v>
      </c>
      <c r="O9" s="9">
        <v>4.5396232999030874E-2</v>
      </c>
      <c r="P9" s="9">
        <v>1E-4</v>
      </c>
      <c r="Q9" s="9">
        <f>3.716*3</f>
        <v>11.148</v>
      </c>
    </row>
    <row r="10" spans="1:20" x14ac:dyDescent="0.25">
      <c r="A10" s="5" t="s">
        <v>8</v>
      </c>
      <c r="B10" s="5" t="s">
        <v>18</v>
      </c>
      <c r="C10" s="5" t="s">
        <v>82</v>
      </c>
      <c r="D10" s="5" t="s">
        <v>70</v>
      </c>
      <c r="E10" s="35" t="s">
        <v>18</v>
      </c>
      <c r="F10" s="35" t="s">
        <v>8</v>
      </c>
      <c r="G10" s="8" t="s">
        <v>92</v>
      </c>
      <c r="H10" s="9">
        <v>0.17648620456957526</v>
      </c>
      <c r="I10" s="9">
        <v>0.18707043180867572</v>
      </c>
      <c r="J10" s="9">
        <v>0.16960987704345654</v>
      </c>
      <c r="K10" s="9">
        <f>0.0914746809965262*10</f>
        <v>0.91474680996526203</v>
      </c>
      <c r="L10" s="9">
        <f>0.196197286618213*10</f>
        <v>1.9619728661821301</v>
      </c>
      <c r="M10" s="9">
        <v>0.20275408855951471</v>
      </c>
      <c r="N10" s="9">
        <v>1.4287727084999065E-2</v>
      </c>
      <c r="O10" s="9">
        <v>0.1514913595612529</v>
      </c>
      <c r="P10" s="9">
        <v>1E-4</v>
      </c>
      <c r="Q10" s="9">
        <f>4.947*3</f>
        <v>14.841000000000001</v>
      </c>
    </row>
    <row r="11" spans="1:20" x14ac:dyDescent="0.25">
      <c r="A11" s="5" t="s">
        <v>8</v>
      </c>
      <c r="B11" s="5" t="s">
        <v>18</v>
      </c>
      <c r="C11" s="5" t="s">
        <v>82</v>
      </c>
      <c r="D11" s="5" t="s">
        <v>70</v>
      </c>
      <c r="E11" s="35" t="s">
        <v>18</v>
      </c>
      <c r="F11" s="35" t="s">
        <v>8</v>
      </c>
      <c r="G11" s="8" t="s">
        <v>93</v>
      </c>
      <c r="H11" s="9">
        <v>6.9267474185908352E-3</v>
      </c>
      <c r="I11" s="9">
        <v>0.16372084752254343</v>
      </c>
      <c r="J11" s="9">
        <v>0.14091856608343833</v>
      </c>
      <c r="K11" s="9">
        <f>0.070216697116862*10</f>
        <v>0.70216697116862004</v>
      </c>
      <c r="L11" s="9">
        <f>0.158823198020497*10</f>
        <v>1.58823198020497</v>
      </c>
      <c r="M11" s="9">
        <v>0.16546741826532532</v>
      </c>
      <c r="N11" s="9">
        <v>1E-4</v>
      </c>
      <c r="O11" s="9">
        <v>4.4496835430932448E-2</v>
      </c>
      <c r="P11" s="9">
        <v>1E-4</v>
      </c>
      <c r="Q11" s="9">
        <f>3.609*3</f>
        <v>10.827</v>
      </c>
    </row>
    <row r="12" spans="1:20" x14ac:dyDescent="0.25">
      <c r="A12" s="5" t="s">
        <v>8</v>
      </c>
      <c r="B12" s="5" t="s">
        <v>7</v>
      </c>
      <c r="C12" s="5" t="s">
        <v>82</v>
      </c>
      <c r="D12" s="5" t="s">
        <v>70</v>
      </c>
      <c r="E12" s="35" t="s">
        <v>7</v>
      </c>
      <c r="F12" s="35" t="s">
        <v>8</v>
      </c>
      <c r="G12" s="8" t="s">
        <v>88</v>
      </c>
      <c r="H12" s="9">
        <v>1E-4</v>
      </c>
      <c r="I12" s="9">
        <v>0.15740834996193781</v>
      </c>
      <c r="J12" s="9">
        <v>0.12725416943871762</v>
      </c>
      <c r="K12" s="9">
        <f>0.0711708624308841*10</f>
        <v>0.71170862430884096</v>
      </c>
      <c r="L12" s="9">
        <f>0.154518297027046*10</f>
        <v>1.54518297027046</v>
      </c>
      <c r="M12" s="9">
        <v>0.16313460278510758</v>
      </c>
      <c r="N12" s="9">
        <v>1E-4</v>
      </c>
      <c r="O12" s="9">
        <v>5.4993262146071677E-2</v>
      </c>
      <c r="P12" s="9">
        <v>1E-4</v>
      </c>
      <c r="Q12" s="9">
        <f>3.223*3</f>
        <v>9.6690000000000005</v>
      </c>
    </row>
    <row r="13" spans="1:20" x14ac:dyDescent="0.25">
      <c r="A13" s="5" t="s">
        <v>8</v>
      </c>
      <c r="B13" s="5" t="s">
        <v>7</v>
      </c>
      <c r="C13" s="5" t="s">
        <v>82</v>
      </c>
      <c r="D13" s="5" t="s">
        <v>70</v>
      </c>
      <c r="E13" s="35" t="s">
        <v>7</v>
      </c>
      <c r="F13" s="35" t="s">
        <v>8</v>
      </c>
      <c r="G13" s="8" t="s">
        <v>89</v>
      </c>
      <c r="H13" s="9">
        <v>1E-4</v>
      </c>
      <c r="I13" s="9">
        <v>0.15849287726557373</v>
      </c>
      <c r="J13" s="9">
        <v>0.12656853335014354</v>
      </c>
      <c r="K13" s="9">
        <f>0.0681377491295263*10</f>
        <v>0.68137749129526304</v>
      </c>
      <c r="L13" s="9">
        <f>0.147575226036132*10</f>
        <v>1.47575226036132</v>
      </c>
      <c r="M13" s="9">
        <v>0.16716579056906675</v>
      </c>
      <c r="N13" s="9">
        <v>1E-4</v>
      </c>
      <c r="O13" s="9">
        <v>3.7206155080822624E-2</v>
      </c>
      <c r="P13" s="9">
        <v>1E-4</v>
      </c>
      <c r="Q13" s="9">
        <f>3.326*3</f>
        <v>9.9779999999999998</v>
      </c>
    </row>
    <row r="14" spans="1:20" x14ac:dyDescent="0.25">
      <c r="A14" s="5" t="s">
        <v>8</v>
      </c>
      <c r="B14" s="5" t="s">
        <v>7</v>
      </c>
      <c r="C14" s="5" t="s">
        <v>82</v>
      </c>
      <c r="D14" s="5" t="s">
        <v>70</v>
      </c>
      <c r="E14" s="35" t="s">
        <v>7</v>
      </c>
      <c r="F14" s="35" t="s">
        <v>8</v>
      </c>
      <c r="G14" s="8" t="s">
        <v>90</v>
      </c>
      <c r="H14" s="9">
        <v>1E-4</v>
      </c>
      <c r="I14" s="9">
        <v>0.16847249825258107</v>
      </c>
      <c r="J14" s="9">
        <v>0.13093456901106376</v>
      </c>
      <c r="K14" s="9">
        <f>0.0736936852218982*10</f>
        <v>0.73693685221898209</v>
      </c>
      <c r="L14" s="9">
        <f>0.156602757836931*10</f>
        <v>1.5660275783693101</v>
      </c>
      <c r="M14" s="9">
        <v>0.18510727659650211</v>
      </c>
      <c r="N14" s="9">
        <v>1E-4</v>
      </c>
      <c r="O14" s="9">
        <v>3.5138611853186744E-2</v>
      </c>
      <c r="P14" s="9">
        <v>1E-4</v>
      </c>
      <c r="Q14" s="9">
        <f>3.483*3</f>
        <v>10.449</v>
      </c>
    </row>
    <row r="15" spans="1:20" x14ac:dyDescent="0.25">
      <c r="A15" s="5" t="s">
        <v>8</v>
      </c>
      <c r="B15" s="5" t="s">
        <v>18</v>
      </c>
      <c r="C15" s="5" t="s">
        <v>82</v>
      </c>
      <c r="D15" s="5" t="s">
        <v>69</v>
      </c>
      <c r="E15" s="36" t="s">
        <v>18</v>
      </c>
      <c r="F15" s="35" t="s">
        <v>8</v>
      </c>
      <c r="G15" s="8" t="s">
        <v>224</v>
      </c>
      <c r="H15" s="9">
        <v>5.1833172524199216E-3</v>
      </c>
      <c r="I15" s="9">
        <v>0.20269077434809596</v>
      </c>
      <c r="J15" s="9">
        <v>0.1479641821176774</v>
      </c>
      <c r="K15" s="9">
        <f>0.0693747222999661*10</f>
        <v>0.69374722299966096</v>
      </c>
      <c r="L15" s="9">
        <f>0.15260604839915*10</f>
        <v>1.5260604839915002</v>
      </c>
      <c r="M15" s="9">
        <v>0.16854047963701654</v>
      </c>
      <c r="N15" s="9">
        <v>5.4288361653572627E-2</v>
      </c>
      <c r="O15" s="9">
        <v>0.10002464925896325</v>
      </c>
      <c r="P15" s="9">
        <v>1E-4</v>
      </c>
      <c r="Q15" s="9">
        <f>4.261*3</f>
        <v>12.783000000000001</v>
      </c>
    </row>
    <row r="16" spans="1:20" x14ac:dyDescent="0.25">
      <c r="A16" s="5" t="s">
        <v>8</v>
      </c>
      <c r="B16" s="5" t="s">
        <v>18</v>
      </c>
      <c r="C16" s="5" t="s">
        <v>82</v>
      </c>
      <c r="D16" s="5" t="s">
        <v>69</v>
      </c>
      <c r="E16" s="36" t="s">
        <v>18</v>
      </c>
      <c r="F16" s="35" t="s">
        <v>8</v>
      </c>
      <c r="G16" s="8" t="s">
        <v>225</v>
      </c>
      <c r="H16" s="9">
        <v>1.0224363187684165E-2</v>
      </c>
      <c r="I16" s="9">
        <v>0.15758645038493446</v>
      </c>
      <c r="J16" s="9">
        <v>0.14961627899369917</v>
      </c>
      <c r="K16" s="9">
        <f>0.0701492291161633*10</f>
        <v>0.70149229116163292</v>
      </c>
      <c r="L16" s="9">
        <f>0.151659186792142*10</f>
        <v>1.5165918679214199</v>
      </c>
      <c r="M16" s="9">
        <v>0.15998388211723494</v>
      </c>
      <c r="N16" s="9">
        <v>1.6320805746860852E-2</v>
      </c>
      <c r="O16" s="9">
        <v>4.4336634470264091E-2</v>
      </c>
      <c r="P16" s="9">
        <v>1E-4</v>
      </c>
      <c r="Q16" s="9">
        <f>3.398*3</f>
        <v>10.194000000000001</v>
      </c>
    </row>
    <row r="17" spans="1:17" x14ac:dyDescent="0.25">
      <c r="A17" s="5" t="s">
        <v>8</v>
      </c>
      <c r="B17" s="5" t="s">
        <v>18</v>
      </c>
      <c r="C17" s="5" t="s">
        <v>82</v>
      </c>
      <c r="D17" s="5" t="s">
        <v>69</v>
      </c>
      <c r="E17" s="36" t="s">
        <v>18</v>
      </c>
      <c r="F17" s="35" t="s">
        <v>8</v>
      </c>
      <c r="G17" s="8" t="s">
        <v>226</v>
      </c>
      <c r="H17" s="9">
        <v>1E-4</v>
      </c>
      <c r="I17" s="9">
        <v>0.16690409984894666</v>
      </c>
      <c r="J17" s="9">
        <v>0.14826037208189963</v>
      </c>
      <c r="K17" s="9">
        <f>0.0742888986218739*10</f>
        <v>0.74288898621873911</v>
      </c>
      <c r="L17" s="9">
        <f>0.15907890817479*10</f>
        <v>1.5907890817479</v>
      </c>
      <c r="M17" s="9">
        <v>0.17619279538466129</v>
      </c>
      <c r="N17" s="9">
        <v>3.1249346620334699E-3</v>
      </c>
      <c r="O17" s="9">
        <v>4.622642376466457E-2</v>
      </c>
      <c r="P17" s="9">
        <v>1E-4</v>
      </c>
      <c r="Q17" s="9">
        <f>3.712*3</f>
        <v>11.136000000000001</v>
      </c>
    </row>
    <row r="18" spans="1:17" x14ac:dyDescent="0.25">
      <c r="A18" s="5" t="s">
        <v>8</v>
      </c>
      <c r="B18" s="5" t="s">
        <v>7</v>
      </c>
      <c r="C18" s="5" t="s">
        <v>82</v>
      </c>
      <c r="D18" s="5" t="s">
        <v>69</v>
      </c>
      <c r="E18" s="36" t="s">
        <v>7</v>
      </c>
      <c r="F18" s="35" t="s">
        <v>8</v>
      </c>
      <c r="G18" s="8" t="s">
        <v>227</v>
      </c>
      <c r="H18" s="9">
        <v>7.1506388793541084E-2</v>
      </c>
      <c r="I18" s="9">
        <v>0.16476826065002736</v>
      </c>
      <c r="J18" s="9">
        <v>0.15569859454639157</v>
      </c>
      <c r="K18" s="9">
        <f>0.083173424817245*10</f>
        <v>0.83173424817245001</v>
      </c>
      <c r="L18" s="9">
        <f>0.181706167442953*10</f>
        <v>1.81706167442953</v>
      </c>
      <c r="M18" s="9">
        <v>0.17121054934733784</v>
      </c>
      <c r="N18" s="9">
        <v>1.2922520781883121E-2</v>
      </c>
      <c r="O18" s="9">
        <v>8.0224680603383836E-2</v>
      </c>
      <c r="P18" s="9">
        <v>1E-4</v>
      </c>
      <c r="Q18" s="9">
        <f>2.535*3</f>
        <v>7.6050000000000004</v>
      </c>
    </row>
    <row r="19" spans="1:17" x14ac:dyDescent="0.25">
      <c r="A19" s="5" t="s">
        <v>8</v>
      </c>
      <c r="B19" s="5" t="s">
        <v>7</v>
      </c>
      <c r="C19" s="5" t="s">
        <v>82</v>
      </c>
      <c r="D19" s="5" t="s">
        <v>69</v>
      </c>
      <c r="E19" s="36" t="s">
        <v>7</v>
      </c>
      <c r="F19" s="35" t="s">
        <v>8</v>
      </c>
      <c r="G19" s="8" t="s">
        <v>228</v>
      </c>
      <c r="H19" s="9">
        <v>1E-4</v>
      </c>
      <c r="I19" s="9">
        <v>0.15280881397502052</v>
      </c>
      <c r="J19" s="9">
        <v>0.1445187389734848</v>
      </c>
      <c r="K19" s="9">
        <f>0.0758521320293284*10</f>
        <v>0.75852132029328401</v>
      </c>
      <c r="L19" s="9">
        <f>0.164956846942808*10</f>
        <v>1.6495684694280799</v>
      </c>
      <c r="M19" s="9">
        <v>0.15869651776202956</v>
      </c>
      <c r="N19" s="9">
        <v>1E-4</v>
      </c>
      <c r="O19" s="9">
        <v>7.005008660930151E-2</v>
      </c>
      <c r="P19" s="9">
        <v>1E-4</v>
      </c>
      <c r="Q19" s="9">
        <f>3.216*3</f>
        <v>9.6479999999999997</v>
      </c>
    </row>
    <row r="20" spans="1:17" x14ac:dyDescent="0.25">
      <c r="A20" s="5" t="s">
        <v>8</v>
      </c>
      <c r="B20" s="5" t="s">
        <v>7</v>
      </c>
      <c r="C20" s="5" t="s">
        <v>82</v>
      </c>
      <c r="D20" s="5" t="s">
        <v>69</v>
      </c>
      <c r="E20" s="36" t="s">
        <v>7</v>
      </c>
      <c r="F20" s="35" t="s">
        <v>8</v>
      </c>
      <c r="G20" s="8" t="s">
        <v>229</v>
      </c>
      <c r="H20" s="9">
        <v>1E-4</v>
      </c>
      <c r="I20" s="9">
        <v>0.16131192188057009</v>
      </c>
      <c r="J20" s="9">
        <v>0.14559309686266722</v>
      </c>
      <c r="K20" s="9">
        <f>0.0753979014865526*10</f>
        <v>0.75397901486552588</v>
      </c>
      <c r="L20" s="9">
        <f>0.162907929078158*10</f>
        <v>1.6290792907815799</v>
      </c>
      <c r="M20" s="9">
        <v>0.17050227976797963</v>
      </c>
      <c r="N20" s="9">
        <v>1E-4</v>
      </c>
      <c r="O20" s="9">
        <v>8.3921125416443851E-2</v>
      </c>
      <c r="P20" s="9">
        <v>1E-4</v>
      </c>
      <c r="Q20" s="9">
        <f>3.098*3</f>
        <v>9.2940000000000005</v>
      </c>
    </row>
    <row r="21" spans="1:17" x14ac:dyDescent="0.25">
      <c r="A21" s="5" t="s">
        <v>11</v>
      </c>
      <c r="B21" s="5" t="s">
        <v>18</v>
      </c>
      <c r="C21" s="5" t="s">
        <v>75</v>
      </c>
      <c r="D21" s="5" t="s">
        <v>70</v>
      </c>
      <c r="E21" s="36" t="s">
        <v>18</v>
      </c>
      <c r="F21" s="36" t="s">
        <v>11</v>
      </c>
      <c r="G21" s="8" t="s">
        <v>187</v>
      </c>
      <c r="H21" s="9">
        <v>1E-4</v>
      </c>
      <c r="I21" s="9">
        <f>0.0259291015990409*10</f>
        <v>0.25929101599040899</v>
      </c>
      <c r="J21" s="9">
        <f>0.0163398247232224*10</f>
        <v>0.16339824723222401</v>
      </c>
      <c r="K21" s="9">
        <f>0.0733451038230242*10</f>
        <v>0.73345103823024194</v>
      </c>
      <c r="L21" s="9">
        <f>0.195473817028129*10</f>
        <v>1.9547381702812898</v>
      </c>
      <c r="M21" s="9">
        <v>0.15349049112648933</v>
      </c>
      <c r="N21" s="9">
        <v>1E-4</v>
      </c>
      <c r="O21" s="9">
        <v>3.6184564537365627E-2</v>
      </c>
      <c r="P21" s="9">
        <v>8.6559832513597081E-3</v>
      </c>
      <c r="Q21" s="9">
        <f>42.56*3</f>
        <v>127.68</v>
      </c>
    </row>
    <row r="22" spans="1:17" x14ac:dyDescent="0.25">
      <c r="A22" s="5" t="s">
        <v>11</v>
      </c>
      <c r="B22" s="5" t="s">
        <v>18</v>
      </c>
      <c r="C22" s="5" t="s">
        <v>75</v>
      </c>
      <c r="D22" s="5" t="s">
        <v>70</v>
      </c>
      <c r="E22" s="36" t="s">
        <v>18</v>
      </c>
      <c r="F22" s="36" t="s">
        <v>11</v>
      </c>
      <c r="G22" s="8" t="s">
        <v>188</v>
      </c>
      <c r="H22" s="9">
        <v>1E-4</v>
      </c>
      <c r="I22" s="9">
        <f>0.0256663405055841*10</f>
        <v>0.25666340505584101</v>
      </c>
      <c r="J22" s="9">
        <f>0.0185100929310921*10</f>
        <v>0.18510092931092101</v>
      </c>
      <c r="K22" s="9">
        <f>0.0743789904931753*10</f>
        <v>0.74378990493175301</v>
      </c>
      <c r="L22" s="9">
        <f>0.198394877113833*10</f>
        <v>1.9839487711383299</v>
      </c>
      <c r="M22" s="9">
        <v>0.15404421522156972</v>
      </c>
      <c r="N22" s="9">
        <v>1E-4</v>
      </c>
      <c r="O22" s="9">
        <v>0.14059905859425931</v>
      </c>
      <c r="P22" s="9">
        <v>1E-4</v>
      </c>
      <c r="Q22" s="9">
        <f>40.62*3</f>
        <v>121.85999999999999</v>
      </c>
    </row>
    <row r="23" spans="1:17" x14ac:dyDescent="0.25">
      <c r="A23" s="5" t="s">
        <v>11</v>
      </c>
      <c r="B23" s="5" t="s">
        <v>18</v>
      </c>
      <c r="C23" s="5" t="s">
        <v>75</v>
      </c>
      <c r="D23" s="5" t="s">
        <v>70</v>
      </c>
      <c r="E23" s="5" t="s">
        <v>18</v>
      </c>
      <c r="F23" s="5" t="s">
        <v>11</v>
      </c>
      <c r="G23" s="8" t="s">
        <v>189</v>
      </c>
      <c r="H23" s="9">
        <v>0.34122329547805297</v>
      </c>
      <c r="I23" s="9">
        <f>0.0248785926612973*10</f>
        <v>0.248785926612973</v>
      </c>
      <c r="J23" s="9">
        <f>0.0182707647870459*10</f>
        <v>0.18270764787045898</v>
      </c>
      <c r="K23" s="9">
        <f>0.0700924735246453*10</f>
        <v>0.70092473524645305</v>
      </c>
      <c r="L23" s="9">
        <f>0.186096448236814*10</f>
        <v>1.8609644823681402</v>
      </c>
      <c r="M23" s="9">
        <v>0.15429275070338355</v>
      </c>
      <c r="N23" s="9">
        <v>1E-4</v>
      </c>
      <c r="O23" s="9">
        <v>9.6578865659821628E-2</v>
      </c>
      <c r="P23" s="9">
        <v>1.5897936945946545E-2</v>
      </c>
      <c r="Q23" s="9">
        <f>31.53*3</f>
        <v>94.59</v>
      </c>
    </row>
    <row r="24" spans="1:17" x14ac:dyDescent="0.25">
      <c r="A24" s="5" t="s">
        <v>11</v>
      </c>
      <c r="B24" s="5" t="s">
        <v>18</v>
      </c>
      <c r="C24" s="5" t="s">
        <v>82</v>
      </c>
      <c r="D24" s="5" t="s">
        <v>70</v>
      </c>
      <c r="E24" s="5" t="s">
        <v>18</v>
      </c>
      <c r="F24" s="5" t="s">
        <v>11</v>
      </c>
      <c r="G24" s="8" t="s">
        <v>199</v>
      </c>
      <c r="H24" s="9">
        <v>1E-4</v>
      </c>
      <c r="I24" s="9">
        <f>0.030453831589081*10</f>
        <v>0.30453831589080999</v>
      </c>
      <c r="J24" s="9">
        <f>0.0184199855104087*10</f>
        <v>0.18419985510408701</v>
      </c>
      <c r="K24" s="9">
        <f>0.0931706179790242*10</f>
        <v>0.93170617979024206</v>
      </c>
      <c r="L24" s="9">
        <f>0.212309959699768*10</f>
        <v>2.12309959699768</v>
      </c>
      <c r="M24" s="9">
        <v>0.18907005652157538</v>
      </c>
      <c r="N24" s="9">
        <v>1E-4</v>
      </c>
      <c r="O24" s="9">
        <v>5.7722491549967912E-2</v>
      </c>
      <c r="P24" s="9">
        <v>1E-4</v>
      </c>
      <c r="Q24" s="9">
        <f>5.998*3</f>
        <v>17.994</v>
      </c>
    </row>
    <row r="25" spans="1:17" x14ac:dyDescent="0.25">
      <c r="A25" s="5" t="s">
        <v>11</v>
      </c>
      <c r="B25" s="5" t="s">
        <v>18</v>
      </c>
      <c r="C25" s="5" t="s">
        <v>82</v>
      </c>
      <c r="D25" s="5" t="s">
        <v>70</v>
      </c>
      <c r="E25" s="5" t="s">
        <v>18</v>
      </c>
      <c r="F25" s="5" t="s">
        <v>11</v>
      </c>
      <c r="G25" s="8" t="s">
        <v>200</v>
      </c>
      <c r="H25" s="9">
        <v>4.3041303463385604E-2</v>
      </c>
      <c r="I25" s="9">
        <f>0.0315276427051769*10</f>
        <v>0.31527642705176895</v>
      </c>
      <c r="J25" s="9">
        <f>0.0201588815601555*10</f>
        <v>0.20158881560155498</v>
      </c>
      <c r="K25" s="9">
        <f>0.102487416847138*10</f>
        <v>1.02487416847138</v>
      </c>
      <c r="L25" s="9">
        <f>0.1415491748775*10</f>
        <v>1.4154917487749998</v>
      </c>
      <c r="M25" s="9">
        <v>0.19809088608202227</v>
      </c>
      <c r="N25" s="9">
        <v>4.7562878069617462E-3</v>
      </c>
      <c r="O25" s="9">
        <v>3.3900301753529712E-2</v>
      </c>
      <c r="P25" s="9">
        <v>1E-4</v>
      </c>
      <c r="Q25" s="9">
        <f>4.881*3</f>
        <v>14.643000000000001</v>
      </c>
    </row>
    <row r="26" spans="1:17" x14ac:dyDescent="0.25">
      <c r="A26" s="5" t="s">
        <v>11</v>
      </c>
      <c r="B26" s="5" t="s">
        <v>18</v>
      </c>
      <c r="C26" s="5" t="s">
        <v>82</v>
      </c>
      <c r="D26" s="5" t="s">
        <v>70</v>
      </c>
      <c r="E26" s="5" t="s">
        <v>18</v>
      </c>
      <c r="F26" s="5" t="s">
        <v>11</v>
      </c>
      <c r="G26" s="8" t="s">
        <v>201</v>
      </c>
      <c r="H26" s="9">
        <v>1E-4</v>
      </c>
      <c r="I26" s="9">
        <f>0.0262786937672239*10</f>
        <v>0.26278693767223904</v>
      </c>
      <c r="J26" s="9">
        <f>0.0170163917281133*10</f>
        <v>0.170163917281133</v>
      </c>
      <c r="K26" s="9">
        <f>0.0894961575525463*10</f>
        <v>0.89496157552546296</v>
      </c>
      <c r="L26" s="9">
        <f>0.152327925487014*10</f>
        <v>1.5232792548701399</v>
      </c>
      <c r="M26" s="9">
        <v>0.18784826373511243</v>
      </c>
      <c r="N26" s="9">
        <v>1E-4</v>
      </c>
      <c r="O26" s="9">
        <v>7.8304974156264626E-2</v>
      </c>
      <c r="P26" s="9">
        <v>1E-4</v>
      </c>
      <c r="Q26" s="9">
        <f>10.72*3</f>
        <v>32.160000000000004</v>
      </c>
    </row>
    <row r="27" spans="1:17" x14ac:dyDescent="0.25">
      <c r="A27" s="5" t="s">
        <v>11</v>
      </c>
      <c r="B27" s="5" t="s">
        <v>7</v>
      </c>
      <c r="C27" s="5" t="s">
        <v>75</v>
      </c>
      <c r="D27" s="5" t="s">
        <v>70</v>
      </c>
      <c r="E27" s="5" t="s">
        <v>7</v>
      </c>
      <c r="F27" s="5" t="s">
        <v>11</v>
      </c>
      <c r="G27" s="8" t="s">
        <v>184</v>
      </c>
      <c r="H27" s="9">
        <v>1.6168071276105343E-2</v>
      </c>
      <c r="I27" s="9">
        <f>0.0312975765288344*10</f>
        <v>0.31297576528834403</v>
      </c>
      <c r="J27" s="9">
        <f>0.0208049524368262*10</f>
        <v>0.20804952436826199</v>
      </c>
      <c r="K27" s="9">
        <f>0.119523997868044*10</f>
        <v>1.19523997868044</v>
      </c>
      <c r="L27" s="9">
        <f>0.230638693001271*10</f>
        <v>2.3063869300127098</v>
      </c>
      <c r="M27" s="9">
        <v>0.16182160980490135</v>
      </c>
      <c r="N27" s="9">
        <v>1E-4</v>
      </c>
      <c r="O27" s="9">
        <v>7.2415958514664954E-3</v>
      </c>
      <c r="P27" s="9">
        <v>3.035680237623627E-2</v>
      </c>
      <c r="Q27" s="9">
        <f>33.52*3</f>
        <v>100.56</v>
      </c>
    </row>
    <row r="28" spans="1:17" x14ac:dyDescent="0.25">
      <c r="A28" s="5" t="s">
        <v>11</v>
      </c>
      <c r="B28" s="5" t="s">
        <v>7</v>
      </c>
      <c r="C28" s="5" t="s">
        <v>75</v>
      </c>
      <c r="D28" s="5" t="s">
        <v>70</v>
      </c>
      <c r="E28" s="5" t="s">
        <v>7</v>
      </c>
      <c r="F28" s="5" t="s">
        <v>11</v>
      </c>
      <c r="G28" s="8" t="s">
        <v>185</v>
      </c>
      <c r="H28" s="9">
        <f>0.038345257317535*10</f>
        <v>0.38345257317534998</v>
      </c>
      <c r="I28" s="9">
        <f>0.0445223956443529*10</f>
        <v>0.44522395644352897</v>
      </c>
      <c r="J28" s="9">
        <f>0.0190732714929081*10</f>
        <v>0.190732714929081</v>
      </c>
      <c r="K28" s="9">
        <f>0.102323663414546*10</f>
        <v>1.02323663414546</v>
      </c>
      <c r="L28" s="9">
        <f>0.26691065938073*10</f>
        <v>2.6691065938073</v>
      </c>
      <c r="M28" s="9">
        <v>0.21598806900211087</v>
      </c>
      <c r="N28" s="9">
        <v>2.1085503488051355E-2</v>
      </c>
      <c r="O28" s="9">
        <v>6.8201430233826285E-2</v>
      </c>
      <c r="P28" s="9">
        <v>3.3961415195866672E-2</v>
      </c>
      <c r="Q28" s="9">
        <f>32.63*3</f>
        <v>97.890000000000015</v>
      </c>
    </row>
    <row r="29" spans="1:17" x14ac:dyDescent="0.25">
      <c r="A29" s="5" t="s">
        <v>11</v>
      </c>
      <c r="B29" s="5" t="s">
        <v>7</v>
      </c>
      <c r="C29" s="5" t="s">
        <v>75</v>
      </c>
      <c r="D29" s="5" t="s">
        <v>70</v>
      </c>
      <c r="E29" s="5" t="s">
        <v>7</v>
      </c>
      <c r="F29" s="5" t="s">
        <v>11</v>
      </c>
      <c r="G29" s="8" t="s">
        <v>186</v>
      </c>
      <c r="H29" s="9">
        <f>0.0410903510438923*10</f>
        <v>0.41090351043892298</v>
      </c>
      <c r="I29" s="9">
        <f>0.0311249043412073*10</f>
        <v>0.31124904341207299</v>
      </c>
      <c r="J29" s="9">
        <f>0.0204100503689836*10</f>
        <v>0.20410050368983601</v>
      </c>
      <c r="K29" s="9">
        <f>0.107342537369584*10</f>
        <v>1.0734253736958401</v>
      </c>
      <c r="L29" s="9">
        <f>0.281991561792126*10</f>
        <v>2.8199156179212599</v>
      </c>
      <c r="M29" s="9">
        <v>0.1616603807177418</v>
      </c>
      <c r="N29" s="9">
        <v>1.1209224579144998E-2</v>
      </c>
      <c r="O29" s="9">
        <v>2.2803318225058735E-2</v>
      </c>
      <c r="P29" s="9">
        <v>4.7067905663898291E-2</v>
      </c>
      <c r="Q29" s="9">
        <f>38.41*3</f>
        <v>115.22999999999999</v>
      </c>
    </row>
    <row r="30" spans="1:17" x14ac:dyDescent="0.25">
      <c r="A30" s="5" t="s">
        <v>11</v>
      </c>
      <c r="B30" s="5" t="s">
        <v>7</v>
      </c>
      <c r="C30" s="5" t="s">
        <v>82</v>
      </c>
      <c r="D30" s="5" t="s">
        <v>70</v>
      </c>
      <c r="E30" s="5" t="s">
        <v>7</v>
      </c>
      <c r="F30" s="5" t="s">
        <v>11</v>
      </c>
      <c r="G30" s="8" t="s">
        <v>196</v>
      </c>
      <c r="H30" s="9">
        <f>0.0625589221090893*10</f>
        <v>0.62558922109089299</v>
      </c>
      <c r="I30" s="9">
        <f>0.0264717030071589*10</f>
        <v>0.26471703007158903</v>
      </c>
      <c r="J30" s="9">
        <f>0.0243907412823127*10</f>
        <v>0.243907412823127</v>
      </c>
      <c r="K30" s="9">
        <f>0.109783655557459*10</f>
        <v>1.0978365555745899</v>
      </c>
      <c r="L30" s="9">
        <f>0.116123342864379*10</f>
        <v>1.16123342864379</v>
      </c>
      <c r="M30" s="9">
        <v>0.18099264339462559</v>
      </c>
      <c r="N30" s="9">
        <v>1.1393216176188213E-2</v>
      </c>
      <c r="O30" s="9">
        <v>2.1885124897886778E-2</v>
      </c>
      <c r="P30" s="9">
        <v>1E-4</v>
      </c>
      <c r="Q30" s="9">
        <f>6.853*3</f>
        <v>20.558999999999997</v>
      </c>
    </row>
    <row r="31" spans="1:17" x14ac:dyDescent="0.25">
      <c r="A31" s="5" t="s">
        <v>11</v>
      </c>
      <c r="B31" s="5" t="s">
        <v>7</v>
      </c>
      <c r="C31" s="5" t="s">
        <v>82</v>
      </c>
      <c r="D31" s="5" t="s">
        <v>70</v>
      </c>
      <c r="E31" s="5" t="s">
        <v>7</v>
      </c>
      <c r="F31" s="5" t="s">
        <v>11</v>
      </c>
      <c r="G31" s="8" t="s">
        <v>197</v>
      </c>
      <c r="H31" s="9">
        <v>4.9853345000509799E-3</v>
      </c>
      <c r="I31" s="9">
        <f>0.0265944201980569*10</f>
        <v>0.26594420198056901</v>
      </c>
      <c r="J31" s="9">
        <f>0.0182159361118524*10</f>
        <v>0.18215936111852402</v>
      </c>
      <c r="K31" s="9">
        <f>0.0967683234378343*10</f>
        <v>0.96768323437834303</v>
      </c>
      <c r="L31" s="9">
        <f>0.145173372809404*10</f>
        <v>1.4517337280940401</v>
      </c>
      <c r="M31" s="9">
        <v>0.17919791817591157</v>
      </c>
      <c r="N31" s="9">
        <v>4.4552059442703462E-2</v>
      </c>
      <c r="O31" s="9">
        <v>5.1219471251097749E-2</v>
      </c>
      <c r="P31" s="9">
        <v>1E-4</v>
      </c>
      <c r="Q31" s="9">
        <f>18.75*3</f>
        <v>56.25</v>
      </c>
    </row>
    <row r="32" spans="1:17" x14ac:dyDescent="0.25">
      <c r="A32" s="5" t="s">
        <v>11</v>
      </c>
      <c r="B32" s="5" t="s">
        <v>7</v>
      </c>
      <c r="C32" s="5" t="s">
        <v>82</v>
      </c>
      <c r="D32" s="5" t="s">
        <v>70</v>
      </c>
      <c r="E32" s="5" t="s">
        <v>7</v>
      </c>
      <c r="F32" s="5" t="s">
        <v>11</v>
      </c>
      <c r="G32" s="8" t="s">
        <v>198</v>
      </c>
      <c r="H32" s="9">
        <f>0.102225848447224*10</f>
        <v>1.02225848447224</v>
      </c>
      <c r="I32" s="9">
        <f>0.0288187002193892*10</f>
        <v>0.28818700219389198</v>
      </c>
      <c r="J32" s="9">
        <f>0.0277027525827878*10</f>
        <v>0.27702752582787804</v>
      </c>
      <c r="K32" s="9">
        <f>0.125130951061167*10</f>
        <v>1.2513095106116701</v>
      </c>
      <c r="L32" s="9">
        <f>0.280021509448614*10</f>
        <v>2.8002150944861399</v>
      </c>
      <c r="M32" s="9">
        <v>0.17779067738347973</v>
      </c>
      <c r="N32" s="9">
        <v>1.5825622929911406E-2</v>
      </c>
      <c r="O32" s="9">
        <v>2.179192560358478E-2</v>
      </c>
      <c r="P32" s="9">
        <v>1E-4</v>
      </c>
      <c r="Q32" s="9">
        <f>5.482*3</f>
        <v>16.446000000000002</v>
      </c>
    </row>
    <row r="33" spans="1:17" x14ac:dyDescent="0.25">
      <c r="A33" s="5" t="s">
        <v>11</v>
      </c>
      <c r="B33" s="5" t="s">
        <v>18</v>
      </c>
      <c r="C33" s="5" t="s">
        <v>82</v>
      </c>
      <c r="D33" s="5" t="s">
        <v>69</v>
      </c>
      <c r="E33" s="5" t="s">
        <v>18</v>
      </c>
      <c r="F33" s="5" t="s">
        <v>11</v>
      </c>
      <c r="G33" s="8" t="s">
        <v>230</v>
      </c>
      <c r="H33" s="9">
        <v>1.7221692311291677E-2</v>
      </c>
      <c r="I33" s="9">
        <f>0.0285546350416047*10</f>
        <v>0.28554635041604703</v>
      </c>
      <c r="J33" s="9">
        <f>0.0167654527607239*10</f>
        <v>0.16765452760723901</v>
      </c>
      <c r="K33" s="9">
        <f>0.0948926368979761*10</f>
        <v>0.94892636897976101</v>
      </c>
      <c r="L33" s="9">
        <f>0.210558974854974*10</f>
        <v>2.1055897485497397</v>
      </c>
      <c r="M33" s="9">
        <v>0.17064019195568883</v>
      </c>
      <c r="N33" s="9">
        <v>3.4472531252414028E-2</v>
      </c>
      <c r="O33" s="9">
        <v>8.0759704912367905E-2</v>
      </c>
      <c r="P33" s="9">
        <v>9.1082873548546956E-3</v>
      </c>
      <c r="Q33" s="9">
        <f>13.31*3</f>
        <v>39.93</v>
      </c>
    </row>
    <row r="34" spans="1:17" x14ac:dyDescent="0.25">
      <c r="A34" s="5" t="s">
        <v>11</v>
      </c>
      <c r="B34" s="5" t="s">
        <v>18</v>
      </c>
      <c r="C34" s="5" t="s">
        <v>82</v>
      </c>
      <c r="D34" s="5" t="s">
        <v>69</v>
      </c>
      <c r="E34" s="5" t="s">
        <v>18</v>
      </c>
      <c r="F34" s="5" t="s">
        <v>11</v>
      </c>
      <c r="G34" s="8" t="s">
        <v>231</v>
      </c>
      <c r="H34" s="9">
        <v>1E-4</v>
      </c>
      <c r="I34" s="9">
        <f>0.029240145530257*10</f>
        <v>0.29240145530257</v>
      </c>
      <c r="J34" s="9">
        <f>0.0139001191428414*10</f>
        <v>0.13900119142841399</v>
      </c>
      <c r="K34" s="9">
        <f>0.0770318394646857*10</f>
        <v>0.77031839464685703</v>
      </c>
      <c r="L34" s="9">
        <f>0.173812261675921*10</f>
        <v>1.7381226167592101</v>
      </c>
      <c r="M34" s="9">
        <v>0.18071885232193921</v>
      </c>
      <c r="N34" s="9">
        <v>1E-4</v>
      </c>
      <c r="O34" s="9">
        <v>8.6877860409141652E-2</v>
      </c>
      <c r="P34" s="9">
        <v>7.0250119811253071E-3</v>
      </c>
      <c r="Q34" s="9">
        <f>8.383*3</f>
        <v>25.148999999999997</v>
      </c>
    </row>
    <row r="35" spans="1:17" x14ac:dyDescent="0.25">
      <c r="A35" s="5" t="s">
        <v>11</v>
      </c>
      <c r="B35" s="5" t="s">
        <v>18</v>
      </c>
      <c r="C35" s="5" t="s">
        <v>82</v>
      </c>
      <c r="D35" s="5" t="s">
        <v>69</v>
      </c>
      <c r="E35" s="5" t="s">
        <v>18</v>
      </c>
      <c r="F35" s="5" t="s">
        <v>11</v>
      </c>
      <c r="G35" s="8" t="s">
        <v>232</v>
      </c>
      <c r="H35" s="9">
        <v>1E-4</v>
      </c>
      <c r="I35" s="9">
        <f>0.0251998852476823*10</f>
        <v>0.25199885247682302</v>
      </c>
      <c r="J35" s="9">
        <f>0.023911588919782*10</f>
        <v>0.23911588919782001</v>
      </c>
      <c r="K35" s="9">
        <f>0.147597645456457*10</f>
        <v>1.4759764545645702</v>
      </c>
      <c r="L35" s="9">
        <f>0.108235493950622*10</f>
        <v>1.08235493950622</v>
      </c>
      <c r="M35" s="9">
        <v>0.16701929746034441</v>
      </c>
      <c r="N35" s="9">
        <v>5.2175742931764111E-3</v>
      </c>
      <c r="O35" s="9">
        <f>0.0586849196538956*10</f>
        <v>0.58684919653895595</v>
      </c>
      <c r="P35" s="9">
        <v>1E-4</v>
      </c>
      <c r="Q35" s="9">
        <f>10.39*3</f>
        <v>31.17</v>
      </c>
    </row>
    <row r="36" spans="1:17" x14ac:dyDescent="0.25">
      <c r="A36" s="5" t="s">
        <v>11</v>
      </c>
      <c r="B36" s="5" t="s">
        <v>7</v>
      </c>
      <c r="C36" s="5" t="s">
        <v>82</v>
      </c>
      <c r="D36" s="5" t="s">
        <v>69</v>
      </c>
      <c r="E36" s="5" t="s">
        <v>7</v>
      </c>
      <c r="F36" s="5" t="s">
        <v>11</v>
      </c>
      <c r="G36" s="8" t="s">
        <v>233</v>
      </c>
      <c r="H36" s="9">
        <v>0.14192203839782824</v>
      </c>
      <c r="I36" s="9">
        <f>0.0264912309560518*10</f>
        <v>0.26491230956051803</v>
      </c>
      <c r="J36" s="9">
        <f>0.0223496363015916*10</f>
        <v>0.22349636301591602</v>
      </c>
      <c r="K36" s="9">
        <f>0.125906163650091*10</f>
        <v>1.25906163650091</v>
      </c>
      <c r="L36" s="9">
        <f>0.209373295447846*10</f>
        <v>2.09373295447846</v>
      </c>
      <c r="M36" s="9">
        <v>0.16547719460369331</v>
      </c>
      <c r="N36" s="9">
        <v>1.3081248685497772E-2</v>
      </c>
      <c r="O36" s="9">
        <v>6.1512832694596314E-2</v>
      </c>
      <c r="P36" s="9">
        <v>1E-4</v>
      </c>
      <c r="Q36" s="9">
        <f>4.542*3</f>
        <v>13.625999999999999</v>
      </c>
    </row>
    <row r="37" spans="1:17" x14ac:dyDescent="0.25">
      <c r="A37" s="5" t="s">
        <v>11</v>
      </c>
      <c r="B37" s="5" t="s">
        <v>7</v>
      </c>
      <c r="C37" s="5" t="s">
        <v>82</v>
      </c>
      <c r="D37" s="5" t="s">
        <v>69</v>
      </c>
      <c r="E37" s="5" t="s">
        <v>7</v>
      </c>
      <c r="F37" s="5" t="s">
        <v>11</v>
      </c>
      <c r="G37" s="8" t="s">
        <v>234</v>
      </c>
      <c r="H37" s="9">
        <v>1E-4</v>
      </c>
      <c r="I37" s="9">
        <f>0.0235740442889676*10</f>
        <v>0.23574044288967599</v>
      </c>
      <c r="J37" s="9">
        <f>0.018641207895124*10</f>
        <v>0.18641207895123998</v>
      </c>
      <c r="K37" s="9">
        <f>0.104579783071614*10</f>
        <v>1.04579783071614</v>
      </c>
      <c r="L37" s="9">
        <f>0.0898248021675973*10</f>
        <v>0.89824802167597306</v>
      </c>
      <c r="M37" s="9">
        <v>0.16683502567844721</v>
      </c>
      <c r="N37" s="9">
        <v>2.4886581041816774E-2</v>
      </c>
      <c r="O37" s="9">
        <v>4.803947792855464E-2</v>
      </c>
      <c r="P37" s="9">
        <v>1E-4</v>
      </c>
      <c r="Q37" s="9">
        <f>9.638*3</f>
        <v>28.914000000000001</v>
      </c>
    </row>
    <row r="38" spans="1:17" x14ac:dyDescent="0.25">
      <c r="A38" s="5" t="s">
        <v>11</v>
      </c>
      <c r="B38" s="5" t="s">
        <v>7</v>
      </c>
      <c r="C38" s="5" t="s">
        <v>82</v>
      </c>
      <c r="D38" s="5" t="s">
        <v>69</v>
      </c>
      <c r="E38" s="5" t="s">
        <v>7</v>
      </c>
      <c r="F38" s="5" t="s">
        <v>11</v>
      </c>
      <c r="G38" s="8" t="s">
        <v>235</v>
      </c>
      <c r="H38" s="9">
        <f>0.040721771328317*10</f>
        <v>0.40721771328317002</v>
      </c>
      <c r="I38" s="9">
        <f>0.0244558670632609*10</f>
        <v>0.244558670632609</v>
      </c>
      <c r="J38" s="9">
        <f>0.0245247101108747*10</f>
        <v>0.24524710110874701</v>
      </c>
      <c r="K38" s="9">
        <f>0.117076243240339*10</f>
        <v>1.1707624324033898</v>
      </c>
      <c r="L38" s="9">
        <f>0.0846110630584532*10</f>
        <v>0.84611063058453206</v>
      </c>
      <c r="M38" s="9">
        <v>0.17792322853289147</v>
      </c>
      <c r="N38" s="9">
        <v>7.4999543254782143E-3</v>
      </c>
      <c r="O38" s="9">
        <v>1.2470470122827509E-2</v>
      </c>
      <c r="P38" s="9">
        <v>1E-4</v>
      </c>
      <c r="Q38" s="9">
        <f>18.63*3</f>
        <v>55.89</v>
      </c>
    </row>
    <row r="39" spans="1:17" x14ac:dyDescent="0.25">
      <c r="A39" s="5" t="s">
        <v>14</v>
      </c>
      <c r="B39" s="5" t="s">
        <v>20</v>
      </c>
      <c r="C39" s="5" t="s">
        <v>75</v>
      </c>
      <c r="D39" s="5" t="s">
        <v>70</v>
      </c>
      <c r="E39" s="5" t="s">
        <v>20</v>
      </c>
      <c r="F39" s="5" t="s">
        <v>14</v>
      </c>
      <c r="G39" s="8" t="s">
        <v>236</v>
      </c>
      <c r="H39" s="9">
        <v>0.49632630339527301</v>
      </c>
      <c r="I39" s="9">
        <v>0.28812074059925497</v>
      </c>
      <c r="J39" s="9">
        <v>0.16742837211420303</v>
      </c>
      <c r="K39" s="9">
        <v>0.78767944324987194</v>
      </c>
      <c r="L39" s="9">
        <v>2.1769737292197702</v>
      </c>
      <c r="M39" s="9">
        <v>0.1935954483769049</v>
      </c>
      <c r="N39" s="9">
        <v>7.3538188872697505E-3</v>
      </c>
      <c r="O39" s="9">
        <v>5.8746169495591104E-2</v>
      </c>
      <c r="P39" s="9">
        <v>1.7640702956602687E-2</v>
      </c>
      <c r="Q39" s="9">
        <v>72.504000000000005</v>
      </c>
    </row>
    <row r="40" spans="1:17" x14ac:dyDescent="0.25">
      <c r="A40" s="5" t="s">
        <v>14</v>
      </c>
      <c r="B40" s="5" t="s">
        <v>20</v>
      </c>
      <c r="C40" s="5" t="s">
        <v>75</v>
      </c>
      <c r="D40" s="5" t="s">
        <v>70</v>
      </c>
      <c r="E40" s="5" t="s">
        <v>20</v>
      </c>
      <c r="F40" s="5" t="s">
        <v>14</v>
      </c>
      <c r="G40" s="8" t="s">
        <v>237</v>
      </c>
      <c r="H40" s="9">
        <v>0.52922387090079392</v>
      </c>
      <c r="I40" s="9">
        <v>0.22673797179736599</v>
      </c>
      <c r="J40" s="9">
        <v>0.16383228069900801</v>
      </c>
      <c r="K40" s="9">
        <v>0.66354918662828499</v>
      </c>
      <c r="L40" s="9">
        <v>1.8568974911982399</v>
      </c>
      <c r="M40" s="9">
        <v>0.17232627386940771</v>
      </c>
      <c r="N40" s="9">
        <v>6.7767196822298096E-3</v>
      </c>
      <c r="O40" s="9">
        <v>0.18178182012896815</v>
      </c>
      <c r="P40" s="9">
        <v>3.4476070336237723E-2</v>
      </c>
      <c r="Q40" s="9">
        <v>76.408000000000001</v>
      </c>
    </row>
    <row r="41" spans="1:17" x14ac:dyDescent="0.25">
      <c r="A41" s="5" t="s">
        <v>14</v>
      </c>
      <c r="B41" s="5" t="s">
        <v>20</v>
      </c>
      <c r="C41" s="5" t="s">
        <v>75</v>
      </c>
      <c r="D41" s="5" t="s">
        <v>70</v>
      </c>
      <c r="E41" s="5" t="s">
        <v>20</v>
      </c>
      <c r="F41" s="5" t="s">
        <v>14</v>
      </c>
      <c r="G41" s="8" t="s">
        <v>238</v>
      </c>
      <c r="H41" s="9">
        <v>0.51955065735732398</v>
      </c>
      <c r="I41" s="9">
        <v>0.26359498667695203</v>
      </c>
      <c r="J41" s="9">
        <v>0.18615089735340201</v>
      </c>
      <c r="K41" s="9">
        <v>0.68749356518815197</v>
      </c>
      <c r="L41" s="9">
        <v>1.89180693680487</v>
      </c>
      <c r="M41" s="9">
        <v>0.1617990458654012</v>
      </c>
      <c r="N41" s="9">
        <v>5.6730854452767014E-3</v>
      </c>
      <c r="O41" s="9">
        <v>0.42255675054519704</v>
      </c>
      <c r="P41" s="9">
        <v>1.7221349381994967E-2</v>
      </c>
      <c r="Q41" s="9">
        <v>73.367999999999995</v>
      </c>
    </row>
    <row r="42" spans="1:17" x14ac:dyDescent="0.25">
      <c r="A42" s="5" t="s">
        <v>14</v>
      </c>
      <c r="B42" s="5" t="s">
        <v>20</v>
      </c>
      <c r="C42" s="5" t="s">
        <v>82</v>
      </c>
      <c r="D42" s="5" t="s">
        <v>70</v>
      </c>
      <c r="E42" s="5" t="s">
        <v>20</v>
      </c>
      <c r="F42" s="5" t="s">
        <v>14</v>
      </c>
      <c r="G42" s="8" t="s">
        <v>239</v>
      </c>
      <c r="H42" s="9">
        <v>3.5620086990962472E-3</v>
      </c>
      <c r="I42" s="9">
        <v>0.21429242619365099</v>
      </c>
      <c r="J42" s="9">
        <v>0.10073709569692001</v>
      </c>
      <c r="K42" s="9">
        <v>0.81409578385443704</v>
      </c>
      <c r="L42" s="9">
        <v>2.0781049943318601</v>
      </c>
      <c r="M42" s="9">
        <v>0.20348719308231564</v>
      </c>
      <c r="N42" s="9">
        <v>1.3190876381087869E-2</v>
      </c>
      <c r="O42" s="9">
        <v>0.27751889874277302</v>
      </c>
      <c r="P42" s="9">
        <v>1.0983142230615507E-2</v>
      </c>
      <c r="Q42" s="9">
        <v>12.584</v>
      </c>
    </row>
    <row r="43" spans="1:17" x14ac:dyDescent="0.25">
      <c r="A43" s="5" t="s">
        <v>14</v>
      </c>
      <c r="B43" s="5" t="s">
        <v>20</v>
      </c>
      <c r="C43" s="5" t="s">
        <v>82</v>
      </c>
      <c r="D43" s="5" t="s">
        <v>70</v>
      </c>
      <c r="E43" s="5" t="s">
        <v>20</v>
      </c>
      <c r="F43" s="5" t="s">
        <v>14</v>
      </c>
      <c r="G43" s="8" t="s">
        <v>240</v>
      </c>
      <c r="H43" s="9">
        <v>1E-4</v>
      </c>
      <c r="I43" s="9">
        <v>0.336897209013718</v>
      </c>
      <c r="J43" s="9">
        <v>0.20400270945141902</v>
      </c>
      <c r="K43" s="9">
        <v>1.4358226468909698</v>
      </c>
      <c r="L43" s="9">
        <v>2.96517940928732</v>
      </c>
      <c r="M43" s="9">
        <v>0.21547619656711123</v>
      </c>
      <c r="N43" s="9">
        <v>2.0271223331962459E-2</v>
      </c>
      <c r="O43" s="9">
        <v>0.70945985237555009</v>
      </c>
      <c r="P43" s="9">
        <v>8.1167301502247154E-3</v>
      </c>
      <c r="Q43" s="9">
        <v>9.5440000000000005</v>
      </c>
    </row>
    <row r="44" spans="1:17" x14ac:dyDescent="0.25">
      <c r="A44" s="5" t="s">
        <v>14</v>
      </c>
      <c r="B44" s="5" t="s">
        <v>20</v>
      </c>
      <c r="C44" s="5" t="s">
        <v>82</v>
      </c>
      <c r="D44" s="5" t="s">
        <v>70</v>
      </c>
      <c r="E44" s="5" t="s">
        <v>20</v>
      </c>
      <c r="F44" s="5" t="s">
        <v>14</v>
      </c>
      <c r="G44" s="8" t="s">
        <v>241</v>
      </c>
      <c r="H44" s="9">
        <v>1E-4</v>
      </c>
      <c r="I44" s="9">
        <v>0.27737174225732303</v>
      </c>
      <c r="J44" s="9">
        <v>0.223327332084132</v>
      </c>
      <c r="K44" s="9">
        <v>1.6311505538565698</v>
      </c>
      <c r="L44" s="9">
        <v>3.4028574373152898</v>
      </c>
      <c r="M44" s="9">
        <v>0.20681543934964944</v>
      </c>
      <c r="N44" s="9">
        <v>1E-4</v>
      </c>
      <c r="O44" s="9">
        <v>0.98756719161234396</v>
      </c>
      <c r="P44" s="9">
        <v>1E-4</v>
      </c>
      <c r="Q44" s="9">
        <v>9.4559999999999995</v>
      </c>
    </row>
    <row r="45" spans="1:17" x14ac:dyDescent="0.25">
      <c r="A45" s="5" t="s">
        <v>14</v>
      </c>
      <c r="B45" s="5" t="s">
        <v>17</v>
      </c>
      <c r="C45" s="5" t="s">
        <v>75</v>
      </c>
      <c r="D45" s="5" t="s">
        <v>70</v>
      </c>
      <c r="E45" s="5" t="s">
        <v>17</v>
      </c>
      <c r="F45" s="5" t="s">
        <v>14</v>
      </c>
      <c r="G45" s="8" t="s">
        <v>242</v>
      </c>
      <c r="H45" s="9">
        <v>0.389333207939763</v>
      </c>
      <c r="I45" s="9">
        <v>0.32565681174955202</v>
      </c>
      <c r="J45" s="9">
        <v>0.20402585677663598</v>
      </c>
      <c r="K45" s="9">
        <v>0.85624379961099795</v>
      </c>
      <c r="L45" s="9">
        <v>2.4899751854140599</v>
      </c>
      <c r="M45" s="9">
        <v>0.20132333029516433</v>
      </c>
      <c r="N45" s="9">
        <v>3.7385687419291009E-3</v>
      </c>
      <c r="O45" s="9">
        <v>0.33692906997447503</v>
      </c>
      <c r="P45" s="9">
        <v>2.2264446058560743E-2</v>
      </c>
      <c r="Q45" s="9">
        <v>82.4</v>
      </c>
    </row>
    <row r="46" spans="1:17" x14ac:dyDescent="0.25">
      <c r="A46" s="5" t="s">
        <v>14</v>
      </c>
      <c r="B46" s="5" t="s">
        <v>17</v>
      </c>
      <c r="C46" s="5" t="s">
        <v>75</v>
      </c>
      <c r="D46" s="5" t="s">
        <v>70</v>
      </c>
      <c r="E46" s="5" t="s">
        <v>17</v>
      </c>
      <c r="F46" s="5" t="s">
        <v>14</v>
      </c>
      <c r="G46" s="8" t="s">
        <v>243</v>
      </c>
      <c r="H46" s="9">
        <v>0.28932083239899298</v>
      </c>
      <c r="I46" s="9">
        <v>0.29244615364169602</v>
      </c>
      <c r="J46" s="9">
        <v>0.17047113949495099</v>
      </c>
      <c r="K46" s="9">
        <v>0.68658761542339608</v>
      </c>
      <c r="L46" s="9">
        <v>2.0120748465507901</v>
      </c>
      <c r="M46" s="9">
        <v>0.18244042275823874</v>
      </c>
      <c r="N46" s="9">
        <v>4.0800868729289176E-3</v>
      </c>
      <c r="O46" s="9">
        <v>0.593620700122233</v>
      </c>
      <c r="P46" s="9">
        <v>1.9227152237423516E-2</v>
      </c>
      <c r="Q46" s="9">
        <v>75.087999999999994</v>
      </c>
    </row>
    <row r="47" spans="1:17" x14ac:dyDescent="0.25">
      <c r="A47" s="5" t="s">
        <v>14</v>
      </c>
      <c r="B47" s="5" t="s">
        <v>17</v>
      </c>
      <c r="C47" s="5" t="s">
        <v>75</v>
      </c>
      <c r="D47" s="5" t="s">
        <v>70</v>
      </c>
      <c r="E47" s="5" t="s">
        <v>17</v>
      </c>
      <c r="F47" s="5" t="s">
        <v>14</v>
      </c>
      <c r="G47" s="8" t="s">
        <v>244</v>
      </c>
      <c r="H47" s="9">
        <v>0.142784309330132</v>
      </c>
      <c r="I47" s="9">
        <v>0.31550625310194502</v>
      </c>
      <c r="J47" s="9">
        <v>0.157228867436491</v>
      </c>
      <c r="K47" s="9">
        <v>0.80077656886135495</v>
      </c>
      <c r="L47" s="9">
        <v>2.30138214684745</v>
      </c>
      <c r="M47" s="9">
        <v>0.18115816796050696</v>
      </c>
      <c r="N47" s="9">
        <v>5.5363876721247806E-3</v>
      </c>
      <c r="O47" s="9">
        <v>0.61162373311181595</v>
      </c>
      <c r="P47" s="9">
        <v>8.2318684386141552E-3</v>
      </c>
      <c r="Q47" s="9">
        <v>81.92</v>
      </c>
    </row>
    <row r="48" spans="1:17" x14ac:dyDescent="0.25">
      <c r="A48" s="5" t="s">
        <v>14</v>
      </c>
      <c r="B48" s="5" t="s">
        <v>17</v>
      </c>
      <c r="C48" s="5" t="s">
        <v>82</v>
      </c>
      <c r="D48" s="5" t="s">
        <v>70</v>
      </c>
      <c r="E48" s="5" t="s">
        <v>17</v>
      </c>
      <c r="F48" s="5" t="s">
        <v>14</v>
      </c>
      <c r="G48" s="8" t="s">
        <v>245</v>
      </c>
      <c r="H48" s="9">
        <v>1E-4</v>
      </c>
      <c r="I48" s="9">
        <v>0.35761626141120301</v>
      </c>
      <c r="J48" s="9">
        <v>0.146234650637628</v>
      </c>
      <c r="K48" s="9">
        <v>0.86583591345957001</v>
      </c>
      <c r="L48" s="9">
        <v>1.8928065043515099</v>
      </c>
      <c r="M48" s="9">
        <v>0.2335573140776441</v>
      </c>
      <c r="N48" s="9">
        <v>1E-4</v>
      </c>
      <c r="O48" s="9">
        <v>0.15337738172989543</v>
      </c>
      <c r="P48" s="9">
        <v>1.0368886373148518E-2</v>
      </c>
      <c r="Q48" s="9">
        <v>12.744</v>
      </c>
    </row>
    <row r="49" spans="1:17" x14ac:dyDescent="0.25">
      <c r="A49" s="5" t="s">
        <v>14</v>
      </c>
      <c r="B49" s="5" t="s">
        <v>17</v>
      </c>
      <c r="C49" s="5" t="s">
        <v>82</v>
      </c>
      <c r="D49" s="5" t="s">
        <v>70</v>
      </c>
      <c r="E49" s="5" t="s">
        <v>17</v>
      </c>
      <c r="F49" s="5" t="s">
        <v>14</v>
      </c>
      <c r="G49" s="8" t="s">
        <v>246</v>
      </c>
      <c r="H49" s="9">
        <v>1E-4</v>
      </c>
      <c r="I49" s="9">
        <v>0.26016908970354297</v>
      </c>
      <c r="J49" s="9">
        <v>0.14662224439959401</v>
      </c>
      <c r="K49" s="9">
        <v>0.84634391539710097</v>
      </c>
      <c r="L49" s="9">
        <v>1.8095594186564801</v>
      </c>
      <c r="M49" s="9">
        <v>0.20271306489929616</v>
      </c>
      <c r="N49" s="9">
        <v>1.2678381869425411E-2</v>
      </c>
      <c r="O49" s="9">
        <v>0.15344203001796614</v>
      </c>
      <c r="P49" s="9">
        <v>1.0495437153761836E-2</v>
      </c>
      <c r="Q49" s="9">
        <v>10.984</v>
      </c>
    </row>
    <row r="50" spans="1:17" x14ac:dyDescent="0.25">
      <c r="A50" s="5" t="s">
        <v>14</v>
      </c>
      <c r="B50" s="5" t="s">
        <v>17</v>
      </c>
      <c r="C50" s="5" t="s">
        <v>82</v>
      </c>
      <c r="D50" s="5" t="s">
        <v>70</v>
      </c>
      <c r="E50" s="5" t="s">
        <v>17</v>
      </c>
      <c r="F50" s="5" t="s">
        <v>14</v>
      </c>
      <c r="G50" s="8" t="s">
        <v>247</v>
      </c>
      <c r="H50" s="9">
        <v>1E-4</v>
      </c>
      <c r="I50" s="9">
        <v>0.28263120505904699</v>
      </c>
      <c r="J50" s="9">
        <v>0.135700196155879</v>
      </c>
      <c r="K50" s="9">
        <v>0.86889202729444004</v>
      </c>
      <c r="L50" s="9">
        <v>1.78887937168532</v>
      </c>
      <c r="M50" s="9">
        <v>0.19767629125054714</v>
      </c>
      <c r="N50" s="9">
        <v>1E-4</v>
      </c>
      <c r="O50" s="9">
        <v>7.2919741464302953E-2</v>
      </c>
      <c r="P50" s="9">
        <v>7.9951349704030159E-3</v>
      </c>
      <c r="Q50" s="9">
        <v>12.792</v>
      </c>
    </row>
    <row r="51" spans="1:17" x14ac:dyDescent="0.25">
      <c r="A51" s="5" t="s">
        <v>14</v>
      </c>
      <c r="B51" s="5" t="s">
        <v>45</v>
      </c>
      <c r="C51" s="5" t="s">
        <v>75</v>
      </c>
      <c r="D51" s="5" t="s">
        <v>70</v>
      </c>
      <c r="E51" s="5" t="s">
        <v>45</v>
      </c>
      <c r="F51" s="5" t="s">
        <v>14</v>
      </c>
      <c r="G51" s="8" t="s">
        <v>248</v>
      </c>
      <c r="H51" s="9">
        <v>0.23529463907214099</v>
      </c>
      <c r="I51" s="9">
        <v>0.20478796191055901</v>
      </c>
      <c r="J51" s="9">
        <v>0.145303228201971</v>
      </c>
      <c r="K51" s="9">
        <v>0.76654930328700299</v>
      </c>
      <c r="L51" s="9">
        <v>2.1418752755264499</v>
      </c>
      <c r="M51" s="9">
        <v>0.1511213890511634</v>
      </c>
      <c r="N51" s="9">
        <v>7.2313692196135379E-3</v>
      </c>
      <c r="O51" s="9">
        <v>4.1912281657033187E-2</v>
      </c>
      <c r="P51" s="9">
        <v>2.1791544087543604E-2</v>
      </c>
      <c r="Q51" s="9">
        <v>61.048000000000002</v>
      </c>
    </row>
    <row r="52" spans="1:17" x14ac:dyDescent="0.25">
      <c r="A52" s="5" t="s">
        <v>14</v>
      </c>
      <c r="B52" s="5" t="s">
        <v>45</v>
      </c>
      <c r="C52" s="5" t="s">
        <v>75</v>
      </c>
      <c r="D52" s="5" t="s">
        <v>70</v>
      </c>
      <c r="E52" s="5" t="s">
        <v>45</v>
      </c>
      <c r="F52" s="5" t="s">
        <v>14</v>
      </c>
      <c r="G52" s="8" t="s">
        <v>249</v>
      </c>
      <c r="H52" s="9">
        <v>0.60042856688445501</v>
      </c>
      <c r="I52" s="9">
        <v>0.20048152417417298</v>
      </c>
      <c r="J52" s="9">
        <v>0.174083742923028</v>
      </c>
      <c r="K52" s="9">
        <v>0.90613765338491092</v>
      </c>
      <c r="L52" s="9">
        <v>2.6047370269929999</v>
      </c>
      <c r="M52" s="9">
        <v>0.15126939490712443</v>
      </c>
      <c r="N52" s="9">
        <v>5.2017472984157301E-3</v>
      </c>
      <c r="O52" s="9">
        <v>7.6726959533380712E-2</v>
      </c>
      <c r="P52" s="9">
        <v>1.4998959271106175E-2</v>
      </c>
      <c r="Q52" s="9">
        <v>67.888000000000005</v>
      </c>
    </row>
    <row r="53" spans="1:17" x14ac:dyDescent="0.25">
      <c r="A53" s="5" t="s">
        <v>14</v>
      </c>
      <c r="B53" s="5" t="s">
        <v>45</v>
      </c>
      <c r="C53" s="5" t="s">
        <v>75</v>
      </c>
      <c r="D53" s="5" t="s">
        <v>70</v>
      </c>
      <c r="E53" s="5" t="s">
        <v>45</v>
      </c>
      <c r="F53" s="5" t="s">
        <v>14</v>
      </c>
      <c r="G53" s="8" t="s">
        <v>250</v>
      </c>
      <c r="H53" s="9">
        <v>0.29149997991674897</v>
      </c>
      <c r="I53" s="9">
        <v>0.195336642152108</v>
      </c>
      <c r="J53" s="9">
        <v>0.146545842972784</v>
      </c>
      <c r="K53" s="9">
        <v>0.80548827251801902</v>
      </c>
      <c r="L53" s="9">
        <v>2.2676628064348998</v>
      </c>
      <c r="M53" s="9">
        <v>0.15861498442366451</v>
      </c>
      <c r="N53" s="9">
        <v>5.72102872959253E-3</v>
      </c>
      <c r="O53" s="9">
        <v>0.19764547073081956</v>
      </c>
      <c r="P53" s="9">
        <v>9.4447201255147967E-3</v>
      </c>
      <c r="Q53" s="9">
        <v>61.503999999999998</v>
      </c>
    </row>
    <row r="54" spans="1:17" x14ac:dyDescent="0.25">
      <c r="A54" s="5" t="s">
        <v>14</v>
      </c>
      <c r="B54" s="5" t="s">
        <v>45</v>
      </c>
      <c r="C54" s="5" t="s">
        <v>82</v>
      </c>
      <c r="D54" s="5" t="s">
        <v>70</v>
      </c>
      <c r="E54" s="5" t="s">
        <v>45</v>
      </c>
      <c r="F54" s="5" t="s">
        <v>14</v>
      </c>
      <c r="G54" s="8" t="s">
        <v>251</v>
      </c>
      <c r="H54" s="9">
        <v>0.70572989388317897</v>
      </c>
      <c r="I54" s="9">
        <v>0.30171815334100399</v>
      </c>
      <c r="J54" s="9">
        <v>0.229217239533655</v>
      </c>
      <c r="K54" s="9">
        <v>1.15888437502271</v>
      </c>
      <c r="L54" s="9">
        <v>2.0944712074985499</v>
      </c>
      <c r="M54" s="9">
        <v>0.22791611957297597</v>
      </c>
      <c r="N54" s="9">
        <v>5.1636985342032506E-3</v>
      </c>
      <c r="O54" s="9">
        <v>2.0880814760513941E-2</v>
      </c>
      <c r="P54" s="9">
        <v>1E-4</v>
      </c>
      <c r="Q54" s="9">
        <v>18.312000000000001</v>
      </c>
    </row>
    <row r="55" spans="1:17" x14ac:dyDescent="0.25">
      <c r="A55" s="5" t="s">
        <v>14</v>
      </c>
      <c r="B55" s="5" t="s">
        <v>45</v>
      </c>
      <c r="C55" s="5" t="s">
        <v>82</v>
      </c>
      <c r="D55" s="5" t="s">
        <v>70</v>
      </c>
      <c r="E55" s="5" t="s">
        <v>45</v>
      </c>
      <c r="F55" s="5" t="s">
        <v>14</v>
      </c>
      <c r="G55" s="8" t="s">
        <v>252</v>
      </c>
      <c r="H55" s="9">
        <v>6.9819817644085833E-2</v>
      </c>
      <c r="I55" s="9">
        <v>0.250548586754131</v>
      </c>
      <c r="J55" s="9">
        <v>0.138801441993335</v>
      </c>
      <c r="K55" s="9">
        <v>0.85945587679286395</v>
      </c>
      <c r="L55" s="9">
        <v>1.8222706469894601</v>
      </c>
      <c r="M55" s="9">
        <v>0.21095616389709748</v>
      </c>
      <c r="N55" s="9">
        <v>2.3680106388073639E-2</v>
      </c>
      <c r="O55" s="9">
        <v>0.10481687317445583</v>
      </c>
      <c r="P55" s="9">
        <v>1.0892967433992644E-2</v>
      </c>
      <c r="Q55" s="9">
        <v>9.7919999999999998</v>
      </c>
    </row>
    <row r="56" spans="1:17" x14ac:dyDescent="0.25">
      <c r="A56" s="5" t="s">
        <v>14</v>
      </c>
      <c r="B56" s="5" t="s">
        <v>45</v>
      </c>
      <c r="C56" s="5" t="s">
        <v>82</v>
      </c>
      <c r="D56" s="5" t="s">
        <v>70</v>
      </c>
      <c r="E56" s="5" t="s">
        <v>45</v>
      </c>
      <c r="F56" s="5" t="s">
        <v>14</v>
      </c>
      <c r="G56" s="8" t="s">
        <v>253</v>
      </c>
      <c r="H56" s="9">
        <v>1E-4</v>
      </c>
      <c r="I56" s="9">
        <v>0.23740325555376099</v>
      </c>
      <c r="J56" s="9">
        <v>0.12640770816730201</v>
      </c>
      <c r="K56" s="9">
        <v>0.89783807116248104</v>
      </c>
      <c r="L56" s="9">
        <v>1.88430483204833</v>
      </c>
      <c r="M56" s="9">
        <v>0.21628680167124567</v>
      </c>
      <c r="N56" s="9">
        <v>1E-4</v>
      </c>
      <c r="O56" s="9">
        <v>0.10200991504822529</v>
      </c>
      <c r="P56" s="9">
        <v>1E-4</v>
      </c>
      <c r="Q56" s="9">
        <v>9.8800000000000008</v>
      </c>
    </row>
    <row r="57" spans="1:17" x14ac:dyDescent="0.25">
      <c r="A57" s="5" t="s">
        <v>14</v>
      </c>
      <c r="B57" s="5" t="s">
        <v>13</v>
      </c>
      <c r="C57" s="5" t="s">
        <v>75</v>
      </c>
      <c r="D57" s="5" t="s">
        <v>70</v>
      </c>
      <c r="E57" s="5" t="s">
        <v>13</v>
      </c>
      <c r="F57" s="5" t="s">
        <v>14</v>
      </c>
      <c r="G57" s="8" t="s">
        <v>254</v>
      </c>
      <c r="H57" s="9">
        <v>1.2098147272438899</v>
      </c>
      <c r="I57" s="9">
        <v>0.279375174660971</v>
      </c>
      <c r="J57" s="9">
        <v>0.204596493637524</v>
      </c>
      <c r="K57" s="9">
        <v>0.98188644032732697</v>
      </c>
      <c r="L57" s="9">
        <v>2.6738736968616599</v>
      </c>
      <c r="M57" s="9">
        <v>0.19024918689110717</v>
      </c>
      <c r="N57" s="9">
        <v>6.2429059309889361E-3</v>
      </c>
      <c r="O57" s="9">
        <v>0.10271973233422706</v>
      </c>
      <c r="P57" s="9">
        <v>1.0649103524842139E-2</v>
      </c>
      <c r="Q57" s="9">
        <v>88.96</v>
      </c>
    </row>
    <row r="58" spans="1:17" x14ac:dyDescent="0.25">
      <c r="A58" s="5" t="s">
        <v>14</v>
      </c>
      <c r="B58" s="5" t="s">
        <v>13</v>
      </c>
      <c r="C58" s="5" t="s">
        <v>75</v>
      </c>
      <c r="D58" s="5" t="s">
        <v>70</v>
      </c>
      <c r="E58" s="5" t="s">
        <v>13</v>
      </c>
      <c r="F58" s="5" t="s">
        <v>14</v>
      </c>
      <c r="G58" s="8" t="s">
        <v>255</v>
      </c>
      <c r="H58" s="9">
        <v>0.44207401713153899</v>
      </c>
      <c r="I58" s="9">
        <v>0.21347334446517202</v>
      </c>
      <c r="J58" s="9">
        <v>0.166788808086378</v>
      </c>
      <c r="K58" s="9">
        <v>0.75072051724744004</v>
      </c>
      <c r="L58" s="9">
        <v>2.15462155836574</v>
      </c>
      <c r="M58" s="9">
        <v>0.16605519796673346</v>
      </c>
      <c r="N58" s="9">
        <v>5.7109979863365287E-3</v>
      </c>
      <c r="O58" s="9">
        <v>0.21458133780695041</v>
      </c>
      <c r="P58" s="9">
        <v>1.7158396688515359E-2</v>
      </c>
      <c r="Q58" s="9">
        <v>74.319999999999993</v>
      </c>
    </row>
    <row r="59" spans="1:17" x14ac:dyDescent="0.25">
      <c r="A59" s="5" t="s">
        <v>14</v>
      </c>
      <c r="B59" s="5" t="s">
        <v>13</v>
      </c>
      <c r="C59" s="5" t="s">
        <v>75</v>
      </c>
      <c r="D59" s="5" t="s">
        <v>70</v>
      </c>
      <c r="E59" s="5" t="s">
        <v>13</v>
      </c>
      <c r="F59" s="5" t="s">
        <v>14</v>
      </c>
      <c r="G59" s="8" t="s">
        <v>256</v>
      </c>
      <c r="H59" s="9">
        <v>0.51139815726673299</v>
      </c>
      <c r="I59" s="9">
        <v>0.26569534576399201</v>
      </c>
      <c r="J59" s="9">
        <v>0.16635520567881801</v>
      </c>
      <c r="K59" s="9">
        <v>0.86668983695747004</v>
      </c>
      <c r="L59" s="9">
        <v>2.3386984327153599</v>
      </c>
      <c r="M59" s="9">
        <v>0.14180000000000001</v>
      </c>
      <c r="N59" s="9">
        <v>3.8999999999999998E-3</v>
      </c>
      <c r="O59" s="9">
        <v>0.16750000000000001</v>
      </c>
      <c r="P59" s="9">
        <v>1.0692909098682727E-2</v>
      </c>
      <c r="Q59" s="9">
        <v>80.239999999999995</v>
      </c>
    </row>
    <row r="60" spans="1:17" x14ac:dyDescent="0.25">
      <c r="A60" s="5" t="s">
        <v>14</v>
      </c>
      <c r="B60" s="5" t="s">
        <v>13</v>
      </c>
      <c r="C60" s="5" t="s">
        <v>82</v>
      </c>
      <c r="D60" s="5" t="s">
        <v>70</v>
      </c>
      <c r="E60" s="5" t="s">
        <v>13</v>
      </c>
      <c r="F60" s="5" t="s">
        <v>14</v>
      </c>
      <c r="G60" s="8" t="s">
        <v>257</v>
      </c>
      <c r="H60" s="9">
        <v>1E-4</v>
      </c>
      <c r="I60" s="9">
        <v>0.28823087938049896</v>
      </c>
      <c r="J60" s="9">
        <v>0.130584370344899</v>
      </c>
      <c r="K60" s="9">
        <v>0.876905356811431</v>
      </c>
      <c r="L60" s="9">
        <v>1.9202036544202898</v>
      </c>
      <c r="M60" s="9">
        <v>0.18518904980430032</v>
      </c>
      <c r="N60" s="9">
        <v>1E-4</v>
      </c>
      <c r="O60" s="9">
        <v>4.8265096143223087E-2</v>
      </c>
      <c r="P60" s="9">
        <v>1.15E-2</v>
      </c>
      <c r="Q60" s="9">
        <v>11.12</v>
      </c>
    </row>
    <row r="61" spans="1:17" x14ac:dyDescent="0.25">
      <c r="A61" s="5" t="s">
        <v>14</v>
      </c>
      <c r="B61" s="5" t="s">
        <v>13</v>
      </c>
      <c r="C61" s="5" t="s">
        <v>82</v>
      </c>
      <c r="D61" s="5" t="s">
        <v>70</v>
      </c>
      <c r="E61" s="5" t="s">
        <v>13</v>
      </c>
      <c r="F61" s="5" t="s">
        <v>14</v>
      </c>
      <c r="G61" s="8" t="s">
        <v>258</v>
      </c>
      <c r="H61" s="9">
        <v>0.89410645267789202</v>
      </c>
      <c r="I61" s="9">
        <v>0.27865919285470797</v>
      </c>
      <c r="J61" s="9">
        <v>0.22811469086749603</v>
      </c>
      <c r="K61" s="9">
        <v>1.2051367653407501</v>
      </c>
      <c r="L61" s="9">
        <v>2.4654932319166498</v>
      </c>
      <c r="M61" s="9">
        <v>0.1979517101931528</v>
      </c>
      <c r="N61" s="9">
        <v>6.256867141904229E-3</v>
      </c>
      <c r="O61" s="9">
        <v>1.0768902547814612E-2</v>
      </c>
      <c r="P61" s="9">
        <v>1E-4</v>
      </c>
      <c r="Q61" s="9">
        <v>16.2</v>
      </c>
    </row>
    <row r="62" spans="1:17" x14ac:dyDescent="0.25">
      <c r="A62" s="5" t="s">
        <v>14</v>
      </c>
      <c r="B62" s="5" t="s">
        <v>13</v>
      </c>
      <c r="C62" s="5" t="s">
        <v>82</v>
      </c>
      <c r="D62" s="5" t="s">
        <v>70</v>
      </c>
      <c r="E62" s="5" t="s">
        <v>13</v>
      </c>
      <c r="F62" s="5" t="s">
        <v>14</v>
      </c>
      <c r="G62" s="8" t="s">
        <v>259</v>
      </c>
      <c r="H62" s="9">
        <v>0.72700098482170694</v>
      </c>
      <c r="I62" s="9">
        <v>0.23698450039024299</v>
      </c>
      <c r="J62" s="9">
        <v>0.22640203667224398</v>
      </c>
      <c r="K62" s="9">
        <v>1.16882703478584</v>
      </c>
      <c r="L62" s="9">
        <v>2.4675736060885498</v>
      </c>
      <c r="M62" s="9">
        <v>0.20150662132037858</v>
      </c>
      <c r="N62" s="9">
        <v>5.4186241904185075E-4</v>
      </c>
      <c r="O62" s="9">
        <v>1E-4</v>
      </c>
      <c r="P62" s="9">
        <v>1E-4</v>
      </c>
      <c r="Q62" s="9">
        <v>15.888</v>
      </c>
    </row>
    <row r="63" spans="1:17" x14ac:dyDescent="0.25">
      <c r="A63" s="5" t="s">
        <v>14</v>
      </c>
      <c r="B63" s="5" t="s">
        <v>20</v>
      </c>
      <c r="C63" s="5" t="s">
        <v>82</v>
      </c>
      <c r="D63" s="5" t="s">
        <v>69</v>
      </c>
      <c r="E63" s="5" t="s">
        <v>20</v>
      </c>
      <c r="F63" s="5" t="s">
        <v>14</v>
      </c>
      <c r="G63" s="6" t="s">
        <v>219</v>
      </c>
      <c r="H63" s="7">
        <v>1.254002899698749E-3</v>
      </c>
      <c r="I63" s="7">
        <v>0.27618712582156402</v>
      </c>
      <c r="J63" s="7">
        <v>0.17602237907749033</v>
      </c>
      <c r="K63" s="7">
        <v>1.2936896615339923</v>
      </c>
      <c r="L63" s="7">
        <v>2.8153806136448232</v>
      </c>
      <c r="M63" s="7">
        <v>0.20859294299969211</v>
      </c>
      <c r="N63" s="7">
        <v>1.1187366571016778E-2</v>
      </c>
      <c r="O63" s="7">
        <v>0.6581819809102224</v>
      </c>
      <c r="P63" s="7">
        <v>6.3999574602800749E-3</v>
      </c>
      <c r="Q63" s="7">
        <v>10.528</v>
      </c>
    </row>
    <row r="64" spans="1:17" x14ac:dyDescent="0.25">
      <c r="A64" s="5" t="s">
        <v>14</v>
      </c>
      <c r="B64" s="5" t="s">
        <v>17</v>
      </c>
      <c r="C64" s="5" t="s">
        <v>82</v>
      </c>
      <c r="D64" s="5" t="s">
        <v>69</v>
      </c>
      <c r="E64" s="5" t="s">
        <v>17</v>
      </c>
      <c r="F64" s="5" t="s">
        <v>14</v>
      </c>
      <c r="G64" s="6" t="s">
        <v>220</v>
      </c>
      <c r="H64" s="7">
        <v>1E-4</v>
      </c>
      <c r="I64" s="7">
        <v>0.30013885205793095</v>
      </c>
      <c r="J64" s="7">
        <v>0.14285236373103369</v>
      </c>
      <c r="K64" s="7">
        <v>0.86035728538370371</v>
      </c>
      <c r="L64" s="7">
        <v>1.8304150982311034</v>
      </c>
      <c r="M64" s="7">
        <v>0.2113155567424958</v>
      </c>
      <c r="N64" s="7">
        <v>4.2927939564751365E-3</v>
      </c>
      <c r="O64" s="7">
        <v>0.12657971773738816</v>
      </c>
      <c r="P64" s="7">
        <v>9.6198194991044556E-3</v>
      </c>
      <c r="Q64" s="7">
        <v>12.173333333333334</v>
      </c>
    </row>
    <row r="65" spans="1:17" x14ac:dyDescent="0.25">
      <c r="A65" s="5" t="s">
        <v>14</v>
      </c>
      <c r="B65" s="5" t="s">
        <v>45</v>
      </c>
      <c r="C65" s="5" t="s">
        <v>82</v>
      </c>
      <c r="D65" s="5" t="s">
        <v>69</v>
      </c>
      <c r="E65" s="5" t="s">
        <v>45</v>
      </c>
      <c r="F65" s="5" t="s">
        <v>14</v>
      </c>
      <c r="G65" s="6" t="s">
        <v>221</v>
      </c>
      <c r="H65" s="7">
        <v>0.2585499038424216</v>
      </c>
      <c r="I65" s="7">
        <v>0.26322333188296532</v>
      </c>
      <c r="J65" s="7">
        <v>0.16480879656476402</v>
      </c>
      <c r="K65" s="7">
        <v>0.97205944099268493</v>
      </c>
      <c r="L65" s="7">
        <v>1.9336822288454467</v>
      </c>
      <c r="M65" s="7">
        <v>0.21838636171377304</v>
      </c>
      <c r="N65" s="7">
        <v>9.647934974092295E-3</v>
      </c>
      <c r="O65" s="7">
        <v>7.5902534327731683E-2</v>
      </c>
      <c r="P65" s="7">
        <v>3.6976558113308807E-3</v>
      </c>
      <c r="Q65" s="7">
        <v>12.661333333333333</v>
      </c>
    </row>
    <row r="66" spans="1:17" x14ac:dyDescent="0.25">
      <c r="A66" s="5" t="s">
        <v>14</v>
      </c>
      <c r="B66" s="5" t="s">
        <v>13</v>
      </c>
      <c r="C66" s="5" t="s">
        <v>82</v>
      </c>
      <c r="D66" s="5" t="s">
        <v>69</v>
      </c>
      <c r="E66" s="5" t="s">
        <v>13</v>
      </c>
      <c r="F66" s="5" t="s">
        <v>14</v>
      </c>
      <c r="G66" s="6" t="s">
        <v>222</v>
      </c>
      <c r="H66" s="7">
        <v>0.54040247916653295</v>
      </c>
      <c r="I66" s="7">
        <v>0.26795819087514999</v>
      </c>
      <c r="J66" s="7">
        <v>0.19503369929487968</v>
      </c>
      <c r="K66" s="7">
        <v>1.0836230523126738</v>
      </c>
      <c r="L66" s="7">
        <v>2.2844234974751632</v>
      </c>
      <c r="M66" s="7">
        <v>0.19488246043927723</v>
      </c>
      <c r="N66" s="7">
        <v>2.29957652031536E-3</v>
      </c>
      <c r="O66" s="7">
        <v>1.9711332897012566E-2</v>
      </c>
      <c r="P66" s="7">
        <v>3.8999999999999994E-3</v>
      </c>
      <c r="Q66" s="7">
        <v>14.402666666666667</v>
      </c>
    </row>
  </sheetData>
  <mergeCells count="1">
    <mergeCell ref="H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8838-7085-4D41-8B77-E35539EF068B}">
  <dimension ref="A1:Z25"/>
  <sheetViews>
    <sheetView showGridLines="0" workbookViewId="0">
      <selection activeCell="M15" sqref="A1:XFD1048576"/>
    </sheetView>
  </sheetViews>
  <sheetFormatPr baseColWidth="10" defaultRowHeight="15" x14ac:dyDescent="0.25"/>
  <cols>
    <col min="1" max="1" width="12.7109375" style="5" customWidth="1"/>
    <col min="2" max="2" width="14.7109375" style="5" customWidth="1"/>
    <col min="3" max="3" width="13.140625" style="5" customWidth="1"/>
    <col min="4" max="11" width="11.42578125" style="5"/>
    <col min="12" max="12" width="14.140625" style="5" customWidth="1"/>
    <col min="13" max="16384" width="11.42578125" style="5"/>
  </cols>
  <sheetData>
    <row r="1" spans="1:26" x14ac:dyDescent="0.25">
      <c r="D1" s="31" t="s">
        <v>295</v>
      </c>
      <c r="E1" s="31"/>
      <c r="F1" s="31"/>
      <c r="G1" s="31"/>
      <c r="H1" s="31"/>
      <c r="I1" s="31"/>
      <c r="J1" s="3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x14ac:dyDescent="0.25">
      <c r="A2" s="32" t="s">
        <v>71</v>
      </c>
      <c r="B2" s="32" t="s">
        <v>68</v>
      </c>
      <c r="C2" s="32" t="s">
        <v>223</v>
      </c>
      <c r="D2" s="30">
        <v>0</v>
      </c>
      <c r="E2" s="30">
        <v>7</v>
      </c>
      <c r="F2" s="30">
        <v>15</v>
      </c>
      <c r="G2" s="30">
        <v>21</v>
      </c>
      <c r="H2" s="30">
        <v>28</v>
      </c>
      <c r="I2" s="30">
        <v>34</v>
      </c>
      <c r="J2" s="30">
        <v>41</v>
      </c>
      <c r="L2" s="16" t="s">
        <v>267</v>
      </c>
      <c r="N2"/>
      <c r="O2"/>
      <c r="P2"/>
      <c r="Q2"/>
      <c r="R2"/>
      <c r="S2"/>
      <c r="T2"/>
      <c r="U2"/>
      <c r="V2"/>
      <c r="W2"/>
      <c r="X2"/>
      <c r="Y2"/>
      <c r="Z2"/>
    </row>
    <row r="3" spans="1:26" x14ac:dyDescent="0.25">
      <c r="A3" s="5" t="s">
        <v>293</v>
      </c>
      <c r="B3" s="5" t="s">
        <v>70</v>
      </c>
      <c r="C3" s="5" t="s">
        <v>75</v>
      </c>
      <c r="D3" s="5">
        <v>8</v>
      </c>
      <c r="E3" s="5">
        <v>7</v>
      </c>
      <c r="F3" s="5">
        <v>8</v>
      </c>
      <c r="G3" s="5">
        <v>8</v>
      </c>
      <c r="H3" s="5">
        <v>8</v>
      </c>
      <c r="I3" s="5">
        <v>7</v>
      </c>
      <c r="J3" s="5">
        <v>7</v>
      </c>
      <c r="L3" s="17" t="s">
        <v>68</v>
      </c>
      <c r="M3" s="18" t="s">
        <v>268</v>
      </c>
      <c r="N3"/>
      <c r="O3"/>
      <c r="P3"/>
      <c r="Q3"/>
      <c r="R3"/>
      <c r="S3"/>
      <c r="T3"/>
      <c r="U3"/>
      <c r="V3"/>
      <c r="W3"/>
      <c r="X3"/>
      <c r="Y3"/>
      <c r="Z3"/>
    </row>
    <row r="4" spans="1:26" x14ac:dyDescent="0.25">
      <c r="A4" s="5" t="s">
        <v>293</v>
      </c>
      <c r="B4" s="5" t="s">
        <v>70</v>
      </c>
      <c r="C4" s="5" t="s">
        <v>82</v>
      </c>
      <c r="D4" s="5">
        <v>8</v>
      </c>
      <c r="E4" s="5">
        <v>7</v>
      </c>
      <c r="F4" s="5">
        <v>8</v>
      </c>
      <c r="G4" s="5">
        <v>8</v>
      </c>
      <c r="H4" s="5">
        <v>8</v>
      </c>
      <c r="I4" s="5">
        <v>7</v>
      </c>
      <c r="J4" s="5">
        <v>7</v>
      </c>
      <c r="L4" s="17" t="s">
        <v>71</v>
      </c>
      <c r="M4" s="18" t="s">
        <v>269</v>
      </c>
      <c r="N4"/>
      <c r="O4"/>
      <c r="P4"/>
      <c r="Q4"/>
      <c r="R4"/>
      <c r="S4"/>
      <c r="T4"/>
      <c r="U4"/>
      <c r="V4"/>
      <c r="W4"/>
      <c r="X4"/>
      <c r="Y4"/>
      <c r="Z4"/>
    </row>
    <row r="5" spans="1:26" x14ac:dyDescent="0.25">
      <c r="A5" s="5" t="s">
        <v>294</v>
      </c>
      <c r="B5" s="5" t="s">
        <v>70</v>
      </c>
      <c r="C5" s="5" t="s">
        <v>75</v>
      </c>
      <c r="D5" s="5">
        <v>7</v>
      </c>
      <c r="E5" s="5">
        <v>7</v>
      </c>
      <c r="F5" s="5">
        <v>8</v>
      </c>
      <c r="G5" s="5">
        <v>8</v>
      </c>
      <c r="H5" s="5">
        <v>8</v>
      </c>
      <c r="I5" s="5">
        <v>7</v>
      </c>
      <c r="J5" s="5">
        <v>7</v>
      </c>
      <c r="L5" s="17" t="s">
        <v>223</v>
      </c>
      <c r="M5" s="18" t="s">
        <v>275</v>
      </c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5">
      <c r="A6" s="5" t="s">
        <v>294</v>
      </c>
      <c r="B6" s="5" t="s">
        <v>70</v>
      </c>
      <c r="C6" s="5" t="s">
        <v>82</v>
      </c>
      <c r="D6" s="5">
        <v>7</v>
      </c>
      <c r="E6" s="5">
        <v>7</v>
      </c>
      <c r="F6" s="5">
        <v>8</v>
      </c>
      <c r="G6" s="5">
        <v>7</v>
      </c>
      <c r="H6" s="5">
        <v>7</v>
      </c>
      <c r="I6" s="5">
        <v>7</v>
      </c>
      <c r="J6" s="5">
        <v>8</v>
      </c>
      <c r="L6" s="17" t="s">
        <v>297</v>
      </c>
      <c r="M6" s="18" t="s">
        <v>298</v>
      </c>
      <c r="N6"/>
      <c r="O6"/>
      <c r="P6"/>
      <c r="Q6"/>
      <c r="R6"/>
      <c r="S6"/>
      <c r="T6"/>
      <c r="U6"/>
      <c r="V6"/>
      <c r="W6"/>
      <c r="X6"/>
      <c r="Y6"/>
      <c r="Z6"/>
    </row>
    <row r="7" spans="1:26" x14ac:dyDescent="0.25">
      <c r="A7" s="5" t="s">
        <v>293</v>
      </c>
      <c r="B7" s="5" t="s">
        <v>69</v>
      </c>
      <c r="C7" s="5" t="s">
        <v>82</v>
      </c>
      <c r="D7" s="5">
        <v>7</v>
      </c>
      <c r="E7" s="5">
        <v>7</v>
      </c>
      <c r="F7" s="5">
        <v>8</v>
      </c>
      <c r="G7" s="5">
        <v>7</v>
      </c>
      <c r="H7" s="5">
        <v>7</v>
      </c>
      <c r="I7" s="5">
        <v>7</v>
      </c>
      <c r="J7" s="5">
        <v>8</v>
      </c>
    </row>
    <row r="8" spans="1:26" x14ac:dyDescent="0.25">
      <c r="A8" s="5" t="s">
        <v>294</v>
      </c>
      <c r="B8" s="5" t="s">
        <v>69</v>
      </c>
      <c r="C8" s="5" t="s">
        <v>82</v>
      </c>
      <c r="D8" s="5">
        <v>8</v>
      </c>
      <c r="E8" s="5">
        <v>7</v>
      </c>
      <c r="F8" s="5">
        <v>8</v>
      </c>
      <c r="G8" s="5">
        <v>7</v>
      </c>
      <c r="H8" s="5">
        <v>7</v>
      </c>
      <c r="I8" s="5">
        <v>7</v>
      </c>
      <c r="J8" s="5">
        <v>8</v>
      </c>
    </row>
    <row r="12" spans="1:26" x14ac:dyDescent="0.25">
      <c r="D12" s="31" t="s">
        <v>296</v>
      </c>
      <c r="E12" s="31"/>
      <c r="F12" s="31"/>
      <c r="G12" s="31"/>
      <c r="H12" s="31"/>
      <c r="I12" s="31"/>
      <c r="J12" s="31"/>
    </row>
    <row r="13" spans="1:26" x14ac:dyDescent="0.25">
      <c r="A13" s="32" t="s">
        <v>71</v>
      </c>
      <c r="B13" s="32" t="s">
        <v>68</v>
      </c>
      <c r="C13" s="32" t="s">
        <v>223</v>
      </c>
      <c r="D13" s="30">
        <v>0</v>
      </c>
      <c r="E13" s="30">
        <v>7</v>
      </c>
      <c r="F13" s="30">
        <v>15</v>
      </c>
      <c r="G13" s="30">
        <v>21</v>
      </c>
      <c r="H13" s="30">
        <v>28</v>
      </c>
      <c r="I13" s="30">
        <v>34</v>
      </c>
      <c r="J13" s="30">
        <v>41</v>
      </c>
    </row>
    <row r="14" spans="1:26" x14ac:dyDescent="0.25">
      <c r="A14" s="5" t="s">
        <v>20</v>
      </c>
      <c r="B14" s="5" t="s">
        <v>70</v>
      </c>
      <c r="C14" s="5" t="s">
        <v>75</v>
      </c>
      <c r="D14" s="5">
        <v>7</v>
      </c>
      <c r="E14" s="5">
        <v>7</v>
      </c>
      <c r="F14" s="5">
        <v>7</v>
      </c>
      <c r="G14" s="5">
        <v>7</v>
      </c>
      <c r="H14" s="5">
        <v>7</v>
      </c>
      <c r="I14" s="5">
        <v>7</v>
      </c>
      <c r="J14" s="5">
        <v>7</v>
      </c>
    </row>
    <row r="15" spans="1:26" x14ac:dyDescent="0.25">
      <c r="A15" s="5" t="s">
        <v>20</v>
      </c>
      <c r="B15" s="5" t="s">
        <v>70</v>
      </c>
      <c r="C15" s="5" t="s">
        <v>82</v>
      </c>
      <c r="D15" s="5">
        <v>7</v>
      </c>
      <c r="E15" s="5">
        <v>7</v>
      </c>
      <c r="F15" s="5">
        <v>7</v>
      </c>
      <c r="G15" s="5">
        <v>8</v>
      </c>
      <c r="H15" s="5">
        <v>7</v>
      </c>
      <c r="I15" s="5">
        <v>7</v>
      </c>
      <c r="J15" s="5">
        <v>7</v>
      </c>
    </row>
    <row r="16" spans="1:26" x14ac:dyDescent="0.25">
      <c r="A16" s="5" t="s">
        <v>17</v>
      </c>
      <c r="B16" s="5" t="s">
        <v>70</v>
      </c>
      <c r="C16" s="5" t="s">
        <v>75</v>
      </c>
      <c r="D16" s="5">
        <v>7</v>
      </c>
      <c r="E16" s="5">
        <v>7</v>
      </c>
      <c r="F16" s="5">
        <v>7</v>
      </c>
      <c r="G16" s="5">
        <v>7</v>
      </c>
      <c r="H16" s="5">
        <v>7</v>
      </c>
      <c r="I16" s="5">
        <v>7</v>
      </c>
      <c r="J16" s="5">
        <v>7</v>
      </c>
    </row>
    <row r="17" spans="1:10" x14ac:dyDescent="0.25">
      <c r="A17" s="5" t="s">
        <v>17</v>
      </c>
      <c r="B17" s="5" t="s">
        <v>70</v>
      </c>
      <c r="C17" s="5" t="s">
        <v>82</v>
      </c>
      <c r="D17" s="5">
        <v>7</v>
      </c>
      <c r="E17" s="5">
        <v>7</v>
      </c>
      <c r="F17" s="5">
        <v>7</v>
      </c>
      <c r="G17" s="5">
        <v>7</v>
      </c>
      <c r="H17" s="5">
        <v>7</v>
      </c>
      <c r="I17" s="5">
        <v>7</v>
      </c>
      <c r="J17" s="5">
        <v>7</v>
      </c>
    </row>
    <row r="18" spans="1:10" x14ac:dyDescent="0.25">
      <c r="A18" s="5" t="s">
        <v>13</v>
      </c>
      <c r="B18" s="5" t="s">
        <v>70</v>
      </c>
      <c r="C18" s="5" t="s">
        <v>75</v>
      </c>
      <c r="D18" s="5">
        <v>7</v>
      </c>
      <c r="E18" s="5">
        <v>7</v>
      </c>
      <c r="F18" s="5">
        <v>7</v>
      </c>
      <c r="G18" s="5">
        <v>7</v>
      </c>
      <c r="H18" s="5">
        <v>7</v>
      </c>
      <c r="I18" s="5">
        <v>7</v>
      </c>
      <c r="J18" s="5">
        <v>7</v>
      </c>
    </row>
    <row r="19" spans="1:10" x14ac:dyDescent="0.25">
      <c r="A19" s="5" t="s">
        <v>13</v>
      </c>
      <c r="B19" s="5" t="s">
        <v>70</v>
      </c>
      <c r="C19" s="5" t="s">
        <v>82</v>
      </c>
      <c r="D19" s="5">
        <v>7</v>
      </c>
      <c r="E19" s="5">
        <v>7</v>
      </c>
      <c r="F19" s="5">
        <v>7</v>
      </c>
      <c r="G19" s="5">
        <v>8</v>
      </c>
      <c r="H19" s="5">
        <v>7</v>
      </c>
      <c r="I19" s="5">
        <v>7</v>
      </c>
      <c r="J19" s="5">
        <v>7</v>
      </c>
    </row>
    <row r="20" spans="1:10" x14ac:dyDescent="0.25">
      <c r="A20" s="5" t="s">
        <v>45</v>
      </c>
      <c r="B20" s="5" t="s">
        <v>70</v>
      </c>
      <c r="C20" s="5" t="s">
        <v>75</v>
      </c>
      <c r="D20" s="5">
        <v>7</v>
      </c>
      <c r="E20" s="5">
        <v>7</v>
      </c>
      <c r="F20" s="5">
        <v>7</v>
      </c>
      <c r="G20" s="5">
        <v>7</v>
      </c>
      <c r="H20" s="5">
        <v>7</v>
      </c>
      <c r="I20" s="5">
        <v>7</v>
      </c>
      <c r="J20" s="5">
        <v>7</v>
      </c>
    </row>
    <row r="21" spans="1:10" x14ac:dyDescent="0.25">
      <c r="A21" s="5" t="s">
        <v>45</v>
      </c>
      <c r="B21" s="5" t="s">
        <v>70</v>
      </c>
      <c r="C21" s="5" t="s">
        <v>82</v>
      </c>
      <c r="D21" s="5">
        <v>7</v>
      </c>
      <c r="E21" s="5">
        <v>7</v>
      </c>
      <c r="F21" s="5">
        <v>7</v>
      </c>
      <c r="G21" s="5">
        <v>7</v>
      </c>
      <c r="H21" s="5">
        <v>7</v>
      </c>
      <c r="I21" s="5">
        <v>7</v>
      </c>
      <c r="J21" s="5">
        <v>7</v>
      </c>
    </row>
    <row r="22" spans="1:10" x14ac:dyDescent="0.25">
      <c r="A22" s="5" t="s">
        <v>20</v>
      </c>
      <c r="B22" s="5" t="s">
        <v>69</v>
      </c>
      <c r="C22" s="5" t="s">
        <v>82</v>
      </c>
      <c r="D22" s="5">
        <v>7</v>
      </c>
      <c r="E22" s="5">
        <v>7</v>
      </c>
      <c r="F22" s="5">
        <v>7</v>
      </c>
      <c r="G22" s="5">
        <v>7</v>
      </c>
      <c r="H22" s="5">
        <v>7</v>
      </c>
      <c r="I22" s="5">
        <v>7</v>
      </c>
      <c r="J22" s="5">
        <v>7</v>
      </c>
    </row>
    <row r="23" spans="1:10" x14ac:dyDescent="0.25">
      <c r="A23" s="5" t="s">
        <v>17</v>
      </c>
      <c r="B23" s="5" t="s">
        <v>69</v>
      </c>
      <c r="C23" s="5" t="s">
        <v>82</v>
      </c>
      <c r="D23" s="5">
        <v>7</v>
      </c>
      <c r="E23" s="5">
        <v>7</v>
      </c>
      <c r="F23" s="5">
        <v>7</v>
      </c>
      <c r="G23" s="5">
        <v>8</v>
      </c>
      <c r="H23" s="5">
        <v>7</v>
      </c>
      <c r="I23" s="5">
        <v>7</v>
      </c>
      <c r="J23" s="5">
        <v>7</v>
      </c>
    </row>
    <row r="24" spans="1:10" x14ac:dyDescent="0.25">
      <c r="A24" s="5" t="s">
        <v>13</v>
      </c>
      <c r="B24" s="5" t="s">
        <v>69</v>
      </c>
      <c r="C24" s="5" t="s">
        <v>82</v>
      </c>
      <c r="D24" s="5">
        <v>7</v>
      </c>
      <c r="E24" s="5">
        <v>7</v>
      </c>
      <c r="F24" s="5">
        <v>7</v>
      </c>
      <c r="G24" s="5">
        <v>7</v>
      </c>
      <c r="H24" s="5">
        <v>7</v>
      </c>
      <c r="I24" s="5">
        <v>7</v>
      </c>
      <c r="J24" s="5">
        <v>7</v>
      </c>
    </row>
    <row r="25" spans="1:10" x14ac:dyDescent="0.25">
      <c r="A25" s="5" t="s">
        <v>45</v>
      </c>
      <c r="B25" s="5" t="s">
        <v>69</v>
      </c>
      <c r="C25" s="5" t="s">
        <v>82</v>
      </c>
      <c r="D25" s="5">
        <v>7</v>
      </c>
      <c r="E25" s="5">
        <v>7</v>
      </c>
      <c r="F25" s="5">
        <v>7</v>
      </c>
      <c r="G25" s="5">
        <v>7</v>
      </c>
      <c r="H25" s="5">
        <v>7</v>
      </c>
      <c r="I25" s="5">
        <v>7</v>
      </c>
      <c r="J25" s="5">
        <v>7</v>
      </c>
    </row>
  </sheetData>
  <mergeCells count="2">
    <mergeCell ref="D1:J1"/>
    <mergeCell ref="D12:J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E30E-B629-4904-81DE-50154F2652D4}">
  <dimension ref="A1:Z25"/>
  <sheetViews>
    <sheetView showGridLines="0" workbookViewId="0">
      <selection activeCell="F30" sqref="F30"/>
    </sheetView>
  </sheetViews>
  <sheetFormatPr baseColWidth="10" defaultRowHeight="15" x14ac:dyDescent="0.25"/>
  <cols>
    <col min="1" max="1" width="12.7109375" style="5" customWidth="1"/>
    <col min="2" max="2" width="14.7109375" style="5" customWidth="1"/>
    <col min="3" max="3" width="13.140625" style="5" customWidth="1"/>
    <col min="4" max="11" width="11.42578125" style="5"/>
    <col min="12" max="12" width="14.140625" style="5" customWidth="1"/>
    <col min="13" max="16384" width="11.42578125" style="5"/>
  </cols>
  <sheetData>
    <row r="1" spans="1:26" x14ac:dyDescent="0.25">
      <c r="D1" s="31" t="s">
        <v>295</v>
      </c>
      <c r="E1" s="31"/>
      <c r="F1" s="31"/>
      <c r="G1" s="31"/>
      <c r="H1" s="31"/>
      <c r="I1" s="31"/>
      <c r="J1" s="3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x14ac:dyDescent="0.25">
      <c r="A2" s="32" t="s">
        <v>71</v>
      </c>
      <c r="B2" s="32" t="s">
        <v>68</v>
      </c>
      <c r="C2" s="32" t="s">
        <v>223</v>
      </c>
      <c r="D2" s="30">
        <v>0</v>
      </c>
      <c r="E2" s="30">
        <v>7</v>
      </c>
      <c r="F2" s="30">
        <v>15</v>
      </c>
      <c r="G2" s="30">
        <v>21</v>
      </c>
      <c r="H2" s="30">
        <v>28</v>
      </c>
      <c r="I2" s="30">
        <v>34</v>
      </c>
      <c r="J2" s="30">
        <v>41</v>
      </c>
      <c r="L2" s="16" t="s">
        <v>267</v>
      </c>
      <c r="N2"/>
      <c r="O2"/>
      <c r="P2"/>
      <c r="Q2"/>
      <c r="R2"/>
      <c r="S2"/>
      <c r="T2"/>
      <c r="U2"/>
      <c r="V2"/>
      <c r="W2"/>
      <c r="X2"/>
      <c r="Y2"/>
      <c r="Z2"/>
    </row>
    <row r="3" spans="1:26" x14ac:dyDescent="0.25">
      <c r="A3" s="5" t="s">
        <v>293</v>
      </c>
      <c r="B3" s="5" t="s">
        <v>70</v>
      </c>
      <c r="C3" s="5" t="s">
        <v>75</v>
      </c>
      <c r="D3" s="5">
        <v>5.54</v>
      </c>
      <c r="E3" s="5">
        <v>9.02</v>
      </c>
      <c r="F3" s="5">
        <v>9.5299999999999994</v>
      </c>
      <c r="G3" s="5">
        <v>9.4</v>
      </c>
      <c r="H3" s="5">
        <v>9.0500000000000007</v>
      </c>
      <c r="I3" s="5">
        <v>9.76</v>
      </c>
      <c r="J3" s="5">
        <v>9.68</v>
      </c>
      <c r="L3" s="17" t="s">
        <v>68</v>
      </c>
      <c r="M3" s="18" t="s">
        <v>268</v>
      </c>
      <c r="N3"/>
      <c r="O3"/>
      <c r="P3"/>
      <c r="Q3"/>
      <c r="R3"/>
      <c r="S3"/>
      <c r="T3"/>
      <c r="U3"/>
      <c r="V3"/>
      <c r="W3"/>
      <c r="X3"/>
      <c r="Y3"/>
      <c r="Z3"/>
    </row>
    <row r="4" spans="1:26" x14ac:dyDescent="0.25">
      <c r="A4" s="5" t="s">
        <v>293</v>
      </c>
      <c r="B4" s="5" t="s">
        <v>70</v>
      </c>
      <c r="C4" s="5" t="s">
        <v>82</v>
      </c>
      <c r="D4" s="5">
        <v>5.35</v>
      </c>
      <c r="E4" s="5">
        <v>6.15</v>
      </c>
      <c r="F4" s="5">
        <v>7.5</v>
      </c>
      <c r="G4" s="5">
        <v>7</v>
      </c>
      <c r="H4" s="5">
        <v>7.25</v>
      </c>
      <c r="I4" s="5">
        <v>7.66</v>
      </c>
      <c r="J4" s="5">
        <v>7.44</v>
      </c>
      <c r="L4" s="17" t="s">
        <v>71</v>
      </c>
      <c r="M4" s="18" t="s">
        <v>269</v>
      </c>
      <c r="N4"/>
      <c r="O4"/>
      <c r="P4"/>
      <c r="Q4"/>
      <c r="R4"/>
      <c r="S4"/>
      <c r="T4"/>
      <c r="U4"/>
      <c r="V4"/>
      <c r="W4"/>
      <c r="X4"/>
      <c r="Y4"/>
      <c r="Z4"/>
    </row>
    <row r="5" spans="1:26" x14ac:dyDescent="0.25">
      <c r="A5" s="5" t="s">
        <v>294</v>
      </c>
      <c r="B5" s="5" t="s">
        <v>70</v>
      </c>
      <c r="C5" s="5" t="s">
        <v>75</v>
      </c>
      <c r="D5" s="5">
        <v>0.09</v>
      </c>
      <c r="E5" s="5">
        <v>0.1</v>
      </c>
      <c r="F5" s="5">
        <v>0.1</v>
      </c>
      <c r="G5" s="5">
        <v>0.1</v>
      </c>
      <c r="H5" s="5">
        <v>0.1</v>
      </c>
      <c r="I5" s="5">
        <v>0.1</v>
      </c>
      <c r="J5" s="5">
        <v>0.1</v>
      </c>
      <c r="L5" s="17" t="s">
        <v>223</v>
      </c>
      <c r="M5" s="18" t="s">
        <v>275</v>
      </c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5">
      <c r="A6" s="5" t="s">
        <v>294</v>
      </c>
      <c r="B6" s="5" t="s">
        <v>70</v>
      </c>
      <c r="C6" s="5" t="s">
        <v>82</v>
      </c>
      <c r="D6" s="5">
        <v>0.09</v>
      </c>
      <c r="E6" s="5">
        <v>0.09</v>
      </c>
      <c r="F6" s="5">
        <v>0.1</v>
      </c>
      <c r="G6" s="5">
        <v>0.1</v>
      </c>
      <c r="H6" s="5">
        <v>0.1</v>
      </c>
      <c r="I6" s="5">
        <v>0.1</v>
      </c>
      <c r="J6" s="5">
        <v>0.1</v>
      </c>
      <c r="L6" s="17" t="s">
        <v>297</v>
      </c>
      <c r="M6" s="18" t="s">
        <v>299</v>
      </c>
      <c r="N6"/>
      <c r="O6"/>
      <c r="P6"/>
      <c r="Q6"/>
      <c r="R6"/>
      <c r="S6"/>
      <c r="T6"/>
      <c r="U6"/>
      <c r="V6"/>
      <c r="W6"/>
      <c r="X6"/>
      <c r="Y6"/>
      <c r="Z6"/>
    </row>
    <row r="7" spans="1:26" x14ac:dyDescent="0.25">
      <c r="A7" s="5" t="s">
        <v>293</v>
      </c>
      <c r="B7" s="5" t="s">
        <v>69</v>
      </c>
      <c r="C7" s="5" t="s">
        <v>82</v>
      </c>
      <c r="D7" s="5">
        <v>4.8</v>
      </c>
      <c r="E7" s="5">
        <v>7.37</v>
      </c>
      <c r="F7" s="5">
        <v>7.48</v>
      </c>
      <c r="G7" s="5">
        <v>5.5</v>
      </c>
      <c r="H7" s="5">
        <v>6.3</v>
      </c>
      <c r="I7" s="5">
        <v>7.27</v>
      </c>
      <c r="J7" s="5">
        <v>7.7</v>
      </c>
    </row>
    <row r="8" spans="1:26" x14ac:dyDescent="0.25">
      <c r="A8" s="5" t="s">
        <v>294</v>
      </c>
      <c r="B8" s="5" t="s">
        <v>69</v>
      </c>
      <c r="C8" s="5" t="s">
        <v>82</v>
      </c>
      <c r="D8" s="5">
        <v>0.09</v>
      </c>
      <c r="E8" s="5">
        <v>0.09</v>
      </c>
      <c r="F8" s="5">
        <v>0.1</v>
      </c>
      <c r="G8" s="5">
        <v>0.1</v>
      </c>
      <c r="H8" s="5">
        <v>0.1</v>
      </c>
      <c r="I8" s="5">
        <v>0.1</v>
      </c>
      <c r="J8" s="5">
        <v>0.1</v>
      </c>
    </row>
    <row r="12" spans="1:26" x14ac:dyDescent="0.25">
      <c r="D12" s="31" t="s">
        <v>296</v>
      </c>
      <c r="E12" s="31"/>
      <c r="F12" s="31"/>
      <c r="G12" s="31"/>
      <c r="H12" s="31"/>
      <c r="I12" s="31"/>
      <c r="J12" s="31"/>
    </row>
    <row r="13" spans="1:26" x14ac:dyDescent="0.25">
      <c r="A13" s="32" t="s">
        <v>71</v>
      </c>
      <c r="B13" s="32" t="s">
        <v>68</v>
      </c>
      <c r="C13" s="32" t="s">
        <v>223</v>
      </c>
      <c r="D13" s="30">
        <v>0</v>
      </c>
      <c r="E13" s="30">
        <v>7</v>
      </c>
      <c r="F13" s="30">
        <v>15</v>
      </c>
      <c r="G13" s="30">
        <v>21</v>
      </c>
      <c r="H13" s="30">
        <v>28</v>
      </c>
      <c r="I13" s="30">
        <v>34</v>
      </c>
      <c r="J13" s="30">
        <v>41</v>
      </c>
    </row>
    <row r="14" spans="1:26" x14ac:dyDescent="0.25">
      <c r="A14" s="5" t="s">
        <v>20</v>
      </c>
      <c r="B14" s="5" t="s">
        <v>70</v>
      </c>
      <c r="C14" s="5" t="s">
        <v>75</v>
      </c>
      <c r="D14" s="5">
        <v>8.5500000000000007</v>
      </c>
      <c r="E14" s="5">
        <v>8.6</v>
      </c>
      <c r="F14" s="5">
        <v>9.4</v>
      </c>
      <c r="G14" s="5">
        <v>9.19</v>
      </c>
      <c r="H14" s="5">
        <v>9.3000000000000007</v>
      </c>
      <c r="I14" s="5">
        <v>9.25</v>
      </c>
      <c r="J14" s="5">
        <v>9.1300000000000008</v>
      </c>
    </row>
    <row r="15" spans="1:26" x14ac:dyDescent="0.25">
      <c r="A15" s="5" t="s">
        <v>20</v>
      </c>
      <c r="B15" s="5" t="s">
        <v>70</v>
      </c>
      <c r="C15" s="5" t="s">
        <v>82</v>
      </c>
      <c r="D15" s="5">
        <v>9.2200000000000006</v>
      </c>
      <c r="E15" s="5">
        <v>6.18</v>
      </c>
      <c r="F15" s="5">
        <v>9.23</v>
      </c>
      <c r="G15" s="5">
        <v>9.15</v>
      </c>
      <c r="H15" s="5">
        <v>8.9700000000000006</v>
      </c>
      <c r="I15" s="5">
        <v>8.52</v>
      </c>
      <c r="J15" s="5">
        <v>8.8000000000000007</v>
      </c>
    </row>
    <row r="16" spans="1:26" x14ac:dyDescent="0.25">
      <c r="A16" s="5" t="s">
        <v>17</v>
      </c>
      <c r="B16" s="5" t="s">
        <v>70</v>
      </c>
      <c r="C16" s="5" t="s">
        <v>75</v>
      </c>
      <c r="D16" s="5">
        <v>0.15</v>
      </c>
      <c r="E16" s="5">
        <v>0.14000000000000001</v>
      </c>
      <c r="F16" s="5">
        <v>0.14000000000000001</v>
      </c>
      <c r="G16" s="5">
        <v>0.14000000000000001</v>
      </c>
      <c r="H16" s="5">
        <v>0.1</v>
      </c>
      <c r="I16" s="5">
        <v>0.14000000000000001</v>
      </c>
      <c r="J16" s="5">
        <v>0.14000000000000001</v>
      </c>
    </row>
    <row r="17" spans="1:10" x14ac:dyDescent="0.25">
      <c r="A17" s="5" t="s">
        <v>17</v>
      </c>
      <c r="B17" s="5" t="s">
        <v>70</v>
      </c>
      <c r="C17" s="5" t="s">
        <v>82</v>
      </c>
      <c r="D17" s="5">
        <v>0.14000000000000001</v>
      </c>
      <c r="E17" s="5">
        <v>0.1</v>
      </c>
      <c r="F17" s="5">
        <v>0.14000000000000001</v>
      </c>
      <c r="G17" s="5">
        <v>0.1</v>
      </c>
      <c r="H17" s="5">
        <v>0.14000000000000001</v>
      </c>
      <c r="I17" s="5">
        <v>0.1</v>
      </c>
      <c r="J17" s="5">
        <v>0.14000000000000001</v>
      </c>
    </row>
    <row r="18" spans="1:10" x14ac:dyDescent="0.25">
      <c r="A18" s="5" t="s">
        <v>13</v>
      </c>
      <c r="B18" s="5" t="s">
        <v>70</v>
      </c>
      <c r="C18" s="5" t="s">
        <v>75</v>
      </c>
      <c r="D18" s="5">
        <v>0.1</v>
      </c>
      <c r="E18" s="5">
        <v>0.1</v>
      </c>
      <c r="F18" s="5">
        <v>0.11</v>
      </c>
      <c r="G18" s="5">
        <v>0.1</v>
      </c>
      <c r="H18" s="5">
        <v>0.9</v>
      </c>
      <c r="I18" s="5">
        <v>0.1</v>
      </c>
      <c r="J18" s="5">
        <v>0.1</v>
      </c>
    </row>
    <row r="19" spans="1:10" x14ac:dyDescent="0.25">
      <c r="A19" s="5" t="s">
        <v>13</v>
      </c>
      <c r="B19" s="5" t="s">
        <v>70</v>
      </c>
      <c r="C19" s="5" t="s">
        <v>82</v>
      </c>
      <c r="D19" s="5">
        <v>0.1</v>
      </c>
      <c r="E19" s="5">
        <v>0.14000000000000001</v>
      </c>
      <c r="F19" s="5">
        <v>0.11</v>
      </c>
      <c r="G19" s="5">
        <v>0.1</v>
      </c>
      <c r="H19" s="5">
        <v>0.1</v>
      </c>
      <c r="I19" s="5">
        <v>0.1</v>
      </c>
      <c r="J19" s="5">
        <v>0.1</v>
      </c>
    </row>
    <row r="20" spans="1:10" x14ac:dyDescent="0.25">
      <c r="A20" s="5" t="s">
        <v>45</v>
      </c>
      <c r="B20" s="5" t="s">
        <v>70</v>
      </c>
      <c r="C20" s="5" t="s">
        <v>75</v>
      </c>
      <c r="D20" s="5">
        <v>8.8800000000000008</v>
      </c>
      <c r="E20" s="5">
        <v>9.02</v>
      </c>
      <c r="F20" s="5">
        <v>9.15</v>
      </c>
      <c r="G20" s="5">
        <v>8.1199999999999992</v>
      </c>
      <c r="H20" s="5">
        <v>8.6199999999999992</v>
      </c>
      <c r="I20" s="5">
        <v>8.94</v>
      </c>
      <c r="J20" s="5">
        <v>9.0399999999999991</v>
      </c>
    </row>
    <row r="21" spans="1:10" x14ac:dyDescent="0.25">
      <c r="A21" s="5" t="s">
        <v>45</v>
      </c>
      <c r="B21" s="5" t="s">
        <v>70</v>
      </c>
      <c r="C21" s="5" t="s">
        <v>82</v>
      </c>
      <c r="D21" s="5">
        <v>8.4700000000000006</v>
      </c>
      <c r="E21" s="5">
        <v>8.73</v>
      </c>
      <c r="F21" s="5">
        <v>8.65</v>
      </c>
      <c r="G21" s="5">
        <v>8.7899999999999991</v>
      </c>
      <c r="H21" s="5">
        <v>8.41</v>
      </c>
      <c r="I21" s="5">
        <v>8.56</v>
      </c>
      <c r="J21" s="5">
        <v>8.68</v>
      </c>
    </row>
    <row r="22" spans="1:10" x14ac:dyDescent="0.25">
      <c r="A22" s="5" t="s">
        <v>20</v>
      </c>
      <c r="B22" s="5" t="s">
        <v>69</v>
      </c>
      <c r="C22" s="5" t="s">
        <v>82</v>
      </c>
      <c r="D22" s="5">
        <v>8.6</v>
      </c>
      <c r="E22" s="5">
        <v>9.1</v>
      </c>
      <c r="F22" s="5">
        <v>8.58</v>
      </c>
      <c r="G22" s="5">
        <v>8.6300000000000008</v>
      </c>
      <c r="H22" s="5">
        <v>8.6199999999999992</v>
      </c>
      <c r="I22" s="5">
        <v>8.6</v>
      </c>
      <c r="J22" s="5">
        <v>8.59</v>
      </c>
    </row>
    <row r="23" spans="1:10" x14ac:dyDescent="0.25">
      <c r="A23" s="5" t="s">
        <v>17</v>
      </c>
      <c r="B23" s="5" t="s">
        <v>69</v>
      </c>
      <c r="C23" s="5" t="s">
        <v>82</v>
      </c>
      <c r="D23" s="5">
        <v>0.14000000000000001</v>
      </c>
      <c r="E23" s="5">
        <v>0.1</v>
      </c>
      <c r="F23" s="5">
        <v>0.15</v>
      </c>
      <c r="G23" s="5">
        <v>0.12</v>
      </c>
      <c r="H23" s="5">
        <v>0.13</v>
      </c>
      <c r="I23" s="5">
        <v>0.11</v>
      </c>
      <c r="J23" s="5">
        <v>0.14000000000000001</v>
      </c>
    </row>
    <row r="24" spans="1:10" x14ac:dyDescent="0.25">
      <c r="A24" s="5" t="s">
        <v>13</v>
      </c>
      <c r="B24" s="5" t="s">
        <v>69</v>
      </c>
      <c r="C24" s="5" t="s">
        <v>82</v>
      </c>
      <c r="D24" s="5">
        <v>0.1</v>
      </c>
      <c r="E24" s="5">
        <v>0.1</v>
      </c>
      <c r="F24" s="5">
        <v>0.11</v>
      </c>
      <c r="G24" s="5">
        <v>0.09</v>
      </c>
      <c r="H24" s="5">
        <v>0.1</v>
      </c>
      <c r="I24" s="5">
        <v>0.12</v>
      </c>
      <c r="J24" s="5">
        <v>0.1</v>
      </c>
    </row>
    <row r="25" spans="1:10" x14ac:dyDescent="0.25">
      <c r="A25" s="5" t="s">
        <v>45</v>
      </c>
      <c r="B25" s="5" t="s">
        <v>69</v>
      </c>
      <c r="C25" s="5" t="s">
        <v>82</v>
      </c>
      <c r="D25" s="5">
        <v>8.65</v>
      </c>
      <c r="E25" s="5">
        <v>8.41</v>
      </c>
      <c r="F25" s="5">
        <v>8.67</v>
      </c>
      <c r="G25" s="5">
        <v>8.66</v>
      </c>
      <c r="H25" s="5">
        <v>8.68</v>
      </c>
      <c r="I25" s="5">
        <v>8.64</v>
      </c>
      <c r="J25" s="5">
        <v>8.65</v>
      </c>
    </row>
  </sheetData>
  <mergeCells count="2">
    <mergeCell ref="D1:J1"/>
    <mergeCell ref="D12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read_me</vt:lpstr>
      <vt:lpstr>alpha_indices</vt:lpstr>
      <vt:lpstr>microbial_activity</vt:lpstr>
      <vt:lpstr>hydrochemistry</vt:lpstr>
      <vt:lpstr>pH</vt:lpstr>
      <vt:lpstr>oxygenation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Borreca</dc:creator>
  <cp:lastModifiedBy>Adrien Borreca</cp:lastModifiedBy>
  <dcterms:created xsi:type="dcterms:W3CDTF">2024-10-23T11:44:56Z</dcterms:created>
  <dcterms:modified xsi:type="dcterms:W3CDTF">2024-10-29T14:53:30Z</dcterms:modified>
</cp:coreProperties>
</file>