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475711E-13C2-4D2E-88E8-181BDAEE4872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廠商資料" sheetId="11" r:id="rId1"/>
    <sheet name="排放源鑑別" sheetId="1" r:id="rId2"/>
    <sheet name="排放量計算" sheetId="12" r:id="rId3"/>
    <sheet name="碳盤查彙整表" sheetId="21" r:id="rId4"/>
    <sheet name="係數管理表" sheetId="5" r:id="rId5"/>
    <sheet name="冷媒GWP" sheetId="17" r:id="rId6"/>
    <sheet name="製表用" sheetId="2" state="hidden" r:id="rId7"/>
    <sheet name="設備之冷媒逸散率排放因子及相關係數" sheetId="18" r:id="rId8"/>
  </sheets>
  <externalReferences>
    <externalReference r:id="rId9"/>
  </externalReferences>
  <definedNames>
    <definedName name="_xlnm._FilterDatabase" localSheetId="1" hidden="1">排放源鑑別!$B$2:$M$54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1" l="1"/>
  <c r="M6" i="21"/>
  <c r="K6" i="21"/>
  <c r="J7" i="21"/>
  <c r="J5" i="21"/>
  <c r="J6" i="21"/>
  <c r="J4" i="21"/>
  <c r="H7" i="21"/>
  <c r="H6" i="21"/>
  <c r="H5" i="21"/>
  <c r="H4" i="21"/>
  <c r="H3" i="21"/>
  <c r="AN41" i="12"/>
  <c r="AN42" i="12"/>
  <c r="AN43" i="12"/>
  <c r="AN44" i="12"/>
  <c r="AN45" i="12"/>
  <c r="AN46" i="12"/>
  <c r="AP46" i="12" s="1"/>
  <c r="AQ46" i="12" s="1"/>
  <c r="AN47" i="12"/>
  <c r="AN48" i="12"/>
  <c r="AP48" i="12" s="1"/>
  <c r="AQ48" i="12" s="1"/>
  <c r="AN49" i="12"/>
  <c r="AN50" i="12"/>
  <c r="AN51" i="12"/>
  <c r="AN52" i="12"/>
  <c r="AN53" i="12"/>
  <c r="AN54" i="12"/>
  <c r="AN55" i="12"/>
  <c r="AN56" i="12"/>
  <c r="AP56" i="12" s="1"/>
  <c r="AO56" i="12"/>
  <c r="AI56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54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5" i="12"/>
  <c r="AO52" i="12"/>
  <c r="AO51" i="12"/>
  <c r="AO50" i="12"/>
  <c r="AO49" i="12"/>
  <c r="AO48" i="12"/>
  <c r="AO47" i="12"/>
  <c r="AO46" i="12"/>
  <c r="AO45" i="12"/>
  <c r="AO44" i="12"/>
  <c r="AO43" i="12"/>
  <c r="AP42" i="12"/>
  <c r="AQ42" i="12" s="1"/>
  <c r="AP43" i="12"/>
  <c r="AQ43" i="12" s="1"/>
  <c r="AP45" i="12"/>
  <c r="AQ45" i="12" s="1"/>
  <c r="AP50" i="12"/>
  <c r="AQ50" i="12" s="1"/>
  <c r="AP52" i="12"/>
  <c r="AQ52" i="12" s="1"/>
  <c r="AP41" i="12"/>
  <c r="AO42" i="12"/>
  <c r="AO41" i="12"/>
  <c r="AI52" i="12"/>
  <c r="AI42" i="12"/>
  <c r="AI43" i="12"/>
  <c r="AI44" i="12"/>
  <c r="AI45" i="12"/>
  <c r="AI46" i="12"/>
  <c r="AI47" i="12"/>
  <c r="AI48" i="12"/>
  <c r="AI49" i="12"/>
  <c r="AI50" i="12"/>
  <c r="AI51" i="12"/>
  <c r="AI41" i="12"/>
  <c r="S53" i="12"/>
  <c r="AN75" i="12"/>
  <c r="AP75" i="12" s="1"/>
  <c r="AK75" i="12"/>
  <c r="AI75" i="12"/>
  <c r="AO75" i="12" s="1"/>
  <c r="AO74" i="12"/>
  <c r="AN74" i="12"/>
  <c r="AP74" i="12" s="1"/>
  <c r="AK74" i="12"/>
  <c r="AI74" i="12"/>
  <c r="AN73" i="12"/>
  <c r="AP73" i="12" s="1"/>
  <c r="AK73" i="12"/>
  <c r="AI73" i="12"/>
  <c r="AO73" i="12" s="1"/>
  <c r="AP72" i="12"/>
  <c r="AO72" i="12"/>
  <c r="AN72" i="12"/>
  <c r="AK72" i="12"/>
  <c r="AI72" i="12"/>
  <c r="AP71" i="12"/>
  <c r="AN71" i="12"/>
  <c r="AK71" i="12"/>
  <c r="AI71" i="12"/>
  <c r="AO71" i="12" s="1"/>
  <c r="AO70" i="12"/>
  <c r="AN70" i="12"/>
  <c r="AP70" i="12" s="1"/>
  <c r="AK70" i="12"/>
  <c r="AI70" i="12"/>
  <c r="AP69" i="12"/>
  <c r="AN69" i="12"/>
  <c r="AK69" i="12"/>
  <c r="AI69" i="12"/>
  <c r="AO69" i="12" s="1"/>
  <c r="AN68" i="12"/>
  <c r="AP68" i="12" s="1"/>
  <c r="AK68" i="12"/>
  <c r="AI68" i="12"/>
  <c r="AO68" i="12" s="1"/>
  <c r="AN67" i="12"/>
  <c r="AP67" i="12" s="1"/>
  <c r="AK67" i="12"/>
  <c r="AI67" i="12"/>
  <c r="AO67" i="12" s="1"/>
  <c r="AP66" i="12"/>
  <c r="AN66" i="12"/>
  <c r="AK66" i="12"/>
  <c r="AI66" i="12"/>
  <c r="AO66" i="12" s="1"/>
  <c r="AP65" i="12"/>
  <c r="AO65" i="12"/>
  <c r="AN65" i="12"/>
  <c r="AK65" i="12"/>
  <c r="AI65" i="12"/>
  <c r="AO64" i="12"/>
  <c r="AN64" i="12"/>
  <c r="AP64" i="12" s="1"/>
  <c r="AK64" i="12"/>
  <c r="AI64" i="12"/>
  <c r="AN63" i="12"/>
  <c r="AP63" i="12" s="1"/>
  <c r="AK63" i="12"/>
  <c r="AI63" i="12"/>
  <c r="AO63" i="12" s="1"/>
  <c r="AO62" i="12"/>
  <c r="AN62" i="12"/>
  <c r="AP62" i="12" s="1"/>
  <c r="AK62" i="12"/>
  <c r="AI62" i="12"/>
  <c r="AN61" i="12"/>
  <c r="AP61" i="12" s="1"/>
  <c r="AK61" i="12"/>
  <c r="AI61" i="12"/>
  <c r="AO61" i="12" s="1"/>
  <c r="AP60" i="12"/>
  <c r="AO60" i="12"/>
  <c r="AN60" i="12"/>
  <c r="AK60" i="12"/>
  <c r="AI60" i="12"/>
  <c r="AP59" i="12"/>
  <c r="AN59" i="12"/>
  <c r="AK59" i="12"/>
  <c r="AI59" i="12"/>
  <c r="AO59" i="12" s="1"/>
  <c r="AO58" i="12"/>
  <c r="AN58" i="12"/>
  <c r="AP58" i="12" s="1"/>
  <c r="AK58" i="12"/>
  <c r="AI58" i="12"/>
  <c r="AP57" i="12"/>
  <c r="AN57" i="12"/>
  <c r="AK57" i="12"/>
  <c r="AI57" i="12"/>
  <c r="AO57" i="12" s="1"/>
  <c r="AP55" i="12"/>
  <c r="AQ55" i="12" s="1"/>
  <c r="AK55" i="12"/>
  <c r="AI55" i="12"/>
  <c r="AO55" i="12" s="1"/>
  <c r="AP54" i="12"/>
  <c r="AK54" i="12"/>
  <c r="AI54" i="12"/>
  <c r="AO54" i="12" s="1"/>
  <c r="AP53" i="12"/>
  <c r="AQ53" i="12" s="1"/>
  <c r="AO53" i="12"/>
  <c r="AK53" i="12"/>
  <c r="AI53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O71" i="1"/>
  <c r="P71" i="1"/>
  <c r="Q71" i="1"/>
  <c r="R71" i="1"/>
  <c r="S71" i="1"/>
  <c r="T71" i="1"/>
  <c r="U71" i="1"/>
  <c r="W71" i="1"/>
  <c r="AD71" i="1" s="1"/>
  <c r="X71" i="1"/>
  <c r="Y71" i="1"/>
  <c r="Z71" i="1"/>
  <c r="AA71" i="1"/>
  <c r="AB71" i="1"/>
  <c r="AC71" i="1"/>
  <c r="O72" i="1"/>
  <c r="P72" i="1"/>
  <c r="Q72" i="1"/>
  <c r="R72" i="1"/>
  <c r="S72" i="1"/>
  <c r="T72" i="1"/>
  <c r="U72" i="1"/>
  <c r="W72" i="1"/>
  <c r="X72" i="1"/>
  <c r="Y72" i="1"/>
  <c r="Z72" i="1"/>
  <c r="AA72" i="1"/>
  <c r="AB72" i="1"/>
  <c r="AC72" i="1"/>
  <c r="AD72" i="1"/>
  <c r="AE72" i="1"/>
  <c r="K72" i="12" s="1"/>
  <c r="Q72" i="12" s="1"/>
  <c r="R72" i="12" s="1"/>
  <c r="AF72" i="1"/>
  <c r="S72" i="12" s="1"/>
  <c r="Y72" i="12" s="1"/>
  <c r="AG72" i="1"/>
  <c r="AA72" i="12" s="1"/>
  <c r="AG72" i="12" s="1"/>
  <c r="O73" i="1"/>
  <c r="P73" i="1"/>
  <c r="Q73" i="1"/>
  <c r="R73" i="1"/>
  <c r="S73" i="1"/>
  <c r="T73" i="1"/>
  <c r="U73" i="1"/>
  <c r="W73" i="1"/>
  <c r="AD73" i="1" s="1"/>
  <c r="X73" i="1"/>
  <c r="Y73" i="1"/>
  <c r="Z73" i="1"/>
  <c r="AA73" i="1"/>
  <c r="AB73" i="1"/>
  <c r="AC73" i="1"/>
  <c r="O74" i="1"/>
  <c r="P74" i="1"/>
  <c r="Q74" i="1"/>
  <c r="R74" i="1"/>
  <c r="S74" i="1"/>
  <c r="T74" i="1"/>
  <c r="U74" i="1"/>
  <c r="W74" i="1"/>
  <c r="X74" i="1"/>
  <c r="Y74" i="1"/>
  <c r="Z74" i="1"/>
  <c r="AA74" i="1"/>
  <c r="AB74" i="1"/>
  <c r="AC74" i="1"/>
  <c r="AD74" i="1"/>
  <c r="AE74" i="1"/>
  <c r="AF74" i="1"/>
  <c r="S74" i="12" s="1"/>
  <c r="Y74" i="12" s="1"/>
  <c r="AG74" i="1"/>
  <c r="AA74" i="12" s="1"/>
  <c r="AG74" i="12" s="1"/>
  <c r="O75" i="1"/>
  <c r="P75" i="1"/>
  <c r="Q75" i="1"/>
  <c r="R75" i="1"/>
  <c r="S75" i="1"/>
  <c r="T75" i="1"/>
  <c r="U75" i="1"/>
  <c r="W75" i="1"/>
  <c r="AD75" i="1" s="1"/>
  <c r="X75" i="1"/>
  <c r="Y75" i="1"/>
  <c r="Z75" i="1"/>
  <c r="AA75" i="1"/>
  <c r="AB75" i="1"/>
  <c r="AC75" i="1"/>
  <c r="K74" i="12"/>
  <c r="Q74" i="12" s="1"/>
  <c r="P71" i="12"/>
  <c r="U71" i="12"/>
  <c r="X71" i="12"/>
  <c r="Z71" i="12"/>
  <c r="AC71" i="12"/>
  <c r="AF71" i="12"/>
  <c r="AH71" i="12" s="1"/>
  <c r="P72" i="12"/>
  <c r="U72" i="12"/>
  <c r="X72" i="12"/>
  <c r="Z72" i="12" s="1"/>
  <c r="AC72" i="12"/>
  <c r="AF72" i="12"/>
  <c r="AH72" i="12" s="1"/>
  <c r="P73" i="12"/>
  <c r="U73" i="12"/>
  <c r="X73" i="12"/>
  <c r="Z73" i="12" s="1"/>
  <c r="AC73" i="12"/>
  <c r="AF73" i="12"/>
  <c r="AH73" i="12" s="1"/>
  <c r="P74" i="12"/>
  <c r="U74" i="12"/>
  <c r="X74" i="12"/>
  <c r="Z74" i="12"/>
  <c r="AC74" i="12"/>
  <c r="AF74" i="12"/>
  <c r="AH74" i="12" s="1"/>
  <c r="P75" i="12"/>
  <c r="U75" i="12"/>
  <c r="X75" i="12"/>
  <c r="Z75" i="12"/>
  <c r="AC75" i="12"/>
  <c r="AF75" i="12"/>
  <c r="AH75" i="12" s="1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F75" i="1"/>
  <c r="F70" i="1"/>
  <c r="F71" i="1"/>
  <c r="F72" i="1"/>
  <c r="F73" i="1"/>
  <c r="F74" i="1"/>
  <c r="F65" i="1"/>
  <c r="F66" i="1"/>
  <c r="F67" i="1"/>
  <c r="F68" i="1"/>
  <c r="F69" i="1"/>
  <c r="F61" i="1"/>
  <c r="F62" i="1"/>
  <c r="F63" i="1"/>
  <c r="F64" i="1"/>
  <c r="AP49" i="12" l="1"/>
  <c r="AQ49" i="12" s="1"/>
  <c r="AP47" i="12"/>
  <c r="AQ47" i="12" s="1"/>
  <c r="AP51" i="12"/>
  <c r="AQ51" i="12" s="1"/>
  <c r="AP44" i="12"/>
  <c r="AQ44" i="12" s="1"/>
  <c r="AE75" i="1"/>
  <c r="K75" i="12" s="1"/>
  <c r="Q75" i="12" s="1"/>
  <c r="AF75" i="1"/>
  <c r="S75" i="12" s="1"/>
  <c r="Y75" i="12" s="1"/>
  <c r="AG75" i="1"/>
  <c r="AA75" i="12" s="1"/>
  <c r="AG75" i="12" s="1"/>
  <c r="AG71" i="1"/>
  <c r="AA71" i="12" s="1"/>
  <c r="AG71" i="12" s="1"/>
  <c r="AE71" i="1"/>
  <c r="K71" i="12" s="1"/>
  <c r="Q71" i="12" s="1"/>
  <c r="R71" i="12" s="1"/>
  <c r="AF71" i="1"/>
  <c r="S71" i="12" s="1"/>
  <c r="Y71" i="12" s="1"/>
  <c r="AE73" i="1"/>
  <c r="K73" i="12" s="1"/>
  <c r="Q73" i="12" s="1"/>
  <c r="R73" i="12" s="1"/>
  <c r="AF73" i="1"/>
  <c r="S73" i="12" s="1"/>
  <c r="Y73" i="12" s="1"/>
  <c r="AG73" i="1"/>
  <c r="AA73" i="12" s="1"/>
  <c r="AG73" i="12" s="1"/>
  <c r="R75" i="12"/>
  <c r="R74" i="12"/>
  <c r="N3" i="21"/>
  <c r="O3" i="21"/>
  <c r="M3" i="21"/>
  <c r="P3" i="21"/>
  <c r="P70" i="12"/>
  <c r="P69" i="12"/>
  <c r="P68" i="12"/>
  <c r="P67" i="12"/>
  <c r="P66" i="12"/>
  <c r="P65" i="12"/>
  <c r="P64" i="12"/>
  <c r="P63" i="12"/>
  <c r="P62" i="12"/>
  <c r="P61" i="12"/>
  <c r="L58" i="12"/>
  <c r="P58" i="12" s="1"/>
  <c r="L57" i="12"/>
  <c r="P57" i="12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O55" i="1"/>
  <c r="P55" i="1"/>
  <c r="Q55" i="1"/>
  <c r="R55" i="1"/>
  <c r="S55" i="1"/>
  <c r="W55" i="1"/>
  <c r="X55" i="1"/>
  <c r="Y55" i="1"/>
  <c r="Z55" i="1"/>
  <c r="AA55" i="1"/>
  <c r="O56" i="1"/>
  <c r="P56" i="1"/>
  <c r="Q56" i="1"/>
  <c r="R56" i="1"/>
  <c r="S56" i="1"/>
  <c r="W56" i="1"/>
  <c r="X56" i="1"/>
  <c r="Y56" i="1"/>
  <c r="Z56" i="1"/>
  <c r="AA56" i="1"/>
  <c r="O57" i="1"/>
  <c r="P57" i="1"/>
  <c r="Q57" i="1"/>
  <c r="R57" i="1"/>
  <c r="S57" i="1"/>
  <c r="W57" i="1"/>
  <c r="X57" i="1"/>
  <c r="Y57" i="1"/>
  <c r="Z57" i="1"/>
  <c r="AA57" i="1"/>
  <c r="O58" i="1"/>
  <c r="P58" i="1"/>
  <c r="Q58" i="1"/>
  <c r="R58" i="1"/>
  <c r="S58" i="1"/>
  <c r="W58" i="1"/>
  <c r="X58" i="1"/>
  <c r="Y58" i="1"/>
  <c r="Z58" i="1"/>
  <c r="AA58" i="1"/>
  <c r="O59" i="1"/>
  <c r="P59" i="1"/>
  <c r="Q59" i="1"/>
  <c r="R59" i="1"/>
  <c r="S59" i="1"/>
  <c r="W59" i="1"/>
  <c r="X59" i="1"/>
  <c r="Y59" i="1"/>
  <c r="Z59" i="1"/>
  <c r="AA59" i="1"/>
  <c r="O60" i="1"/>
  <c r="P60" i="1"/>
  <c r="Q60" i="1"/>
  <c r="R60" i="1"/>
  <c r="S60" i="1"/>
  <c r="W60" i="1"/>
  <c r="X60" i="1"/>
  <c r="Y60" i="1"/>
  <c r="Z60" i="1"/>
  <c r="AA60" i="1"/>
  <c r="O61" i="1"/>
  <c r="P61" i="1"/>
  <c r="Q61" i="1"/>
  <c r="R61" i="1"/>
  <c r="S61" i="1"/>
  <c r="W61" i="1"/>
  <c r="X61" i="1"/>
  <c r="Y61" i="1"/>
  <c r="Z61" i="1"/>
  <c r="AA61" i="1"/>
  <c r="O62" i="1"/>
  <c r="P62" i="1"/>
  <c r="Q62" i="1"/>
  <c r="R62" i="1"/>
  <c r="S62" i="1"/>
  <c r="W62" i="1"/>
  <c r="X62" i="1"/>
  <c r="Y62" i="1"/>
  <c r="Z62" i="1"/>
  <c r="AA62" i="1"/>
  <c r="O63" i="1"/>
  <c r="P63" i="1"/>
  <c r="Q63" i="1"/>
  <c r="R63" i="1"/>
  <c r="S63" i="1"/>
  <c r="W63" i="1"/>
  <c r="X63" i="1"/>
  <c r="Y63" i="1"/>
  <c r="Z63" i="1"/>
  <c r="AA63" i="1"/>
  <c r="O64" i="1"/>
  <c r="P64" i="1"/>
  <c r="Q64" i="1"/>
  <c r="R64" i="1"/>
  <c r="S64" i="1"/>
  <c r="W64" i="1"/>
  <c r="X64" i="1"/>
  <c r="Y64" i="1"/>
  <c r="Z64" i="1"/>
  <c r="AA64" i="1"/>
  <c r="O65" i="1"/>
  <c r="P65" i="1"/>
  <c r="Q65" i="1"/>
  <c r="R65" i="1"/>
  <c r="S65" i="1"/>
  <c r="W65" i="1"/>
  <c r="X65" i="1"/>
  <c r="Y65" i="1"/>
  <c r="Z65" i="1"/>
  <c r="AA65" i="1"/>
  <c r="O66" i="1"/>
  <c r="P66" i="1"/>
  <c r="Q66" i="1"/>
  <c r="R66" i="1"/>
  <c r="S66" i="1"/>
  <c r="W66" i="1"/>
  <c r="X66" i="1"/>
  <c r="Y66" i="1"/>
  <c r="Z66" i="1"/>
  <c r="AA66" i="1"/>
  <c r="O67" i="1"/>
  <c r="P67" i="1"/>
  <c r="Q67" i="1"/>
  <c r="R67" i="1"/>
  <c r="S67" i="1"/>
  <c r="W67" i="1"/>
  <c r="X67" i="1"/>
  <c r="Y67" i="1"/>
  <c r="Z67" i="1"/>
  <c r="AA67" i="1"/>
  <c r="O68" i="1"/>
  <c r="P68" i="1"/>
  <c r="Q68" i="1"/>
  <c r="R68" i="1"/>
  <c r="S68" i="1"/>
  <c r="W68" i="1"/>
  <c r="X68" i="1"/>
  <c r="Y68" i="1"/>
  <c r="Z68" i="1"/>
  <c r="AA68" i="1"/>
  <c r="O69" i="1"/>
  <c r="P69" i="1"/>
  <c r="Q69" i="1"/>
  <c r="R69" i="1"/>
  <c r="S69" i="1"/>
  <c r="W69" i="1"/>
  <c r="X69" i="1"/>
  <c r="Y69" i="1"/>
  <c r="Z69" i="1"/>
  <c r="AA69" i="1"/>
  <c r="O70" i="1"/>
  <c r="P70" i="1"/>
  <c r="Q70" i="1"/>
  <c r="R70" i="1"/>
  <c r="S70" i="1"/>
  <c r="W70" i="1"/>
  <c r="X70" i="1"/>
  <c r="Y70" i="1"/>
  <c r="Z70" i="1"/>
  <c r="AA70" i="1"/>
  <c r="L54" i="12"/>
  <c r="P54" i="12" s="1"/>
  <c r="E63" i="12"/>
  <c r="E66" i="12"/>
  <c r="E68" i="12"/>
  <c r="F55" i="1"/>
  <c r="E55" i="12" s="1"/>
  <c r="F56" i="1"/>
  <c r="E56" i="12" s="1"/>
  <c r="F57" i="1"/>
  <c r="E57" i="12" s="1"/>
  <c r="F58" i="1"/>
  <c r="F59" i="1"/>
  <c r="F60" i="1"/>
  <c r="E62" i="12"/>
  <c r="C70" i="12"/>
  <c r="D70" i="12"/>
  <c r="U70" i="12"/>
  <c r="X70" i="12"/>
  <c r="Z70" i="12" s="1"/>
  <c r="AC70" i="12"/>
  <c r="AF70" i="12"/>
  <c r="AH70" i="12" s="1"/>
  <c r="C55" i="12"/>
  <c r="D55" i="12"/>
  <c r="P55" i="12"/>
  <c r="U55" i="12"/>
  <c r="X55" i="12"/>
  <c r="Z55" i="12" s="1"/>
  <c r="AC55" i="12"/>
  <c r="AF55" i="12"/>
  <c r="AH55" i="12" s="1"/>
  <c r="C56" i="12"/>
  <c r="D56" i="12"/>
  <c r="U56" i="12"/>
  <c r="X56" i="12"/>
  <c r="Z56" i="12" s="1"/>
  <c r="AC56" i="12"/>
  <c r="AF56" i="12"/>
  <c r="AH56" i="12" s="1"/>
  <c r="C57" i="12"/>
  <c r="D57" i="12"/>
  <c r="U57" i="12"/>
  <c r="X57" i="12"/>
  <c r="Z57" i="12" s="1"/>
  <c r="AC57" i="12"/>
  <c r="AF57" i="12"/>
  <c r="AH57" i="12" s="1"/>
  <c r="C58" i="12"/>
  <c r="D58" i="12"/>
  <c r="U58" i="12"/>
  <c r="X58" i="12"/>
  <c r="Z58" i="12" s="1"/>
  <c r="AC58" i="12"/>
  <c r="AF58" i="12"/>
  <c r="AH58" i="12" s="1"/>
  <c r="C59" i="12"/>
  <c r="D59" i="12"/>
  <c r="P59" i="12"/>
  <c r="U59" i="12"/>
  <c r="X59" i="12"/>
  <c r="Z59" i="12" s="1"/>
  <c r="AC59" i="12"/>
  <c r="AF59" i="12"/>
  <c r="AH59" i="12" s="1"/>
  <c r="C60" i="12"/>
  <c r="D60" i="12"/>
  <c r="P60" i="12"/>
  <c r="U60" i="12"/>
  <c r="X60" i="12"/>
  <c r="Z60" i="12" s="1"/>
  <c r="AC60" i="12"/>
  <c r="AF60" i="12"/>
  <c r="AH60" i="12" s="1"/>
  <c r="C61" i="12"/>
  <c r="D61" i="12"/>
  <c r="U61" i="12"/>
  <c r="X61" i="12"/>
  <c r="Z61" i="12" s="1"/>
  <c r="AC61" i="12"/>
  <c r="AF61" i="12"/>
  <c r="AH61" i="12" s="1"/>
  <c r="C62" i="12"/>
  <c r="D62" i="12"/>
  <c r="U62" i="12"/>
  <c r="X62" i="12"/>
  <c r="Z62" i="12" s="1"/>
  <c r="AC62" i="12"/>
  <c r="AF62" i="12"/>
  <c r="AH62" i="12" s="1"/>
  <c r="C63" i="12"/>
  <c r="D63" i="12"/>
  <c r="U63" i="12"/>
  <c r="X63" i="12"/>
  <c r="Z63" i="12" s="1"/>
  <c r="AC63" i="12"/>
  <c r="AF63" i="12"/>
  <c r="AH63" i="12" s="1"/>
  <c r="C64" i="12"/>
  <c r="D64" i="12"/>
  <c r="U64" i="12"/>
  <c r="X64" i="12"/>
  <c r="Z64" i="12" s="1"/>
  <c r="AC64" i="12"/>
  <c r="AF64" i="12"/>
  <c r="AH64" i="12" s="1"/>
  <c r="C65" i="12"/>
  <c r="D65" i="12"/>
  <c r="U65" i="12"/>
  <c r="X65" i="12"/>
  <c r="Z65" i="12" s="1"/>
  <c r="AC65" i="12"/>
  <c r="AF65" i="12"/>
  <c r="AH65" i="12" s="1"/>
  <c r="C66" i="12"/>
  <c r="D66" i="12"/>
  <c r="U66" i="12"/>
  <c r="X66" i="12"/>
  <c r="Z66" i="12" s="1"/>
  <c r="AC66" i="12"/>
  <c r="AF66" i="12"/>
  <c r="AH66" i="12" s="1"/>
  <c r="C67" i="12"/>
  <c r="D67" i="12"/>
  <c r="U67" i="12"/>
  <c r="X67" i="12"/>
  <c r="Z67" i="12" s="1"/>
  <c r="AC67" i="12"/>
  <c r="AF67" i="12"/>
  <c r="AH67" i="12" s="1"/>
  <c r="C68" i="12"/>
  <c r="D68" i="12"/>
  <c r="U68" i="12"/>
  <c r="X68" i="12"/>
  <c r="Z68" i="12" s="1"/>
  <c r="AC68" i="12"/>
  <c r="AF68" i="12"/>
  <c r="AH68" i="12" s="1"/>
  <c r="C69" i="12"/>
  <c r="D69" i="12"/>
  <c r="U69" i="12"/>
  <c r="X69" i="12"/>
  <c r="Z69" i="12" s="1"/>
  <c r="AC69" i="12"/>
  <c r="AF69" i="12"/>
  <c r="AH69" i="12" s="1"/>
  <c r="C11" i="12"/>
  <c r="X43" i="12"/>
  <c r="Z43" i="12" s="1"/>
  <c r="X44" i="12"/>
  <c r="Z44" i="12" s="1"/>
  <c r="X45" i="12"/>
  <c r="Z45" i="12" s="1"/>
  <c r="X51" i="12"/>
  <c r="Z51" i="12" s="1"/>
  <c r="X52" i="12"/>
  <c r="Z52" i="12" s="1"/>
  <c r="X53" i="12"/>
  <c r="Z53" i="12" s="1"/>
  <c r="AF54" i="12"/>
  <c r="AH54" i="12" s="1"/>
  <c r="AF41" i="12"/>
  <c r="AH41" i="12" s="1"/>
  <c r="AF42" i="12"/>
  <c r="AH42" i="12" s="1"/>
  <c r="AF43" i="12"/>
  <c r="AH43" i="12" s="1"/>
  <c r="AF44" i="12"/>
  <c r="AH44" i="12" s="1"/>
  <c r="AF45" i="12"/>
  <c r="AH45" i="12" s="1"/>
  <c r="AF46" i="12"/>
  <c r="AH46" i="12" s="1"/>
  <c r="AF47" i="12"/>
  <c r="AH47" i="12" s="1"/>
  <c r="AF48" i="12"/>
  <c r="AH48" i="12" s="1"/>
  <c r="AF49" i="12"/>
  <c r="AH49" i="12" s="1"/>
  <c r="AF50" i="12"/>
  <c r="AH50" i="12" s="1"/>
  <c r="AF51" i="12"/>
  <c r="AH51" i="12" s="1"/>
  <c r="AF52" i="12"/>
  <c r="AH52" i="12" s="1"/>
  <c r="AF53" i="12"/>
  <c r="AH53" i="12" s="1"/>
  <c r="X41" i="12"/>
  <c r="Z41" i="12" s="1"/>
  <c r="X42" i="12"/>
  <c r="Z42" i="12" s="1"/>
  <c r="X46" i="12"/>
  <c r="Z46" i="12" s="1"/>
  <c r="X47" i="12"/>
  <c r="Z47" i="12" s="1"/>
  <c r="X48" i="12"/>
  <c r="Z48" i="12" s="1"/>
  <c r="X49" i="12"/>
  <c r="Z49" i="12" s="1"/>
  <c r="X50" i="12"/>
  <c r="Z50" i="12" s="1"/>
  <c r="X54" i="12"/>
  <c r="Z54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F5" i="1"/>
  <c r="E5" i="12" s="1"/>
  <c r="T8" i="21" l="1"/>
  <c r="E59" i="12"/>
  <c r="E61" i="12"/>
  <c r="E60" i="12"/>
  <c r="E70" i="12"/>
  <c r="E65" i="12"/>
  <c r="E69" i="12"/>
  <c r="E67" i="12"/>
  <c r="E64" i="12"/>
  <c r="E58" i="12"/>
  <c r="AD69" i="1"/>
  <c r="AE69" i="1" s="1"/>
  <c r="AD67" i="1"/>
  <c r="AE67" i="1" s="1"/>
  <c r="AD65" i="1"/>
  <c r="AF65" i="1" s="1"/>
  <c r="AD63" i="1"/>
  <c r="AG63" i="1" s="1"/>
  <c r="AD61" i="1"/>
  <c r="AF61" i="1" s="1"/>
  <c r="AD59" i="1"/>
  <c r="AE59" i="1" s="1"/>
  <c r="AD57" i="1"/>
  <c r="AE57" i="1" s="1"/>
  <c r="AD55" i="1"/>
  <c r="AE55" i="1" s="1"/>
  <c r="AD70" i="1"/>
  <c r="AG70" i="1" s="1"/>
  <c r="AD68" i="1"/>
  <c r="AF68" i="1" s="1"/>
  <c r="AD66" i="1"/>
  <c r="AF66" i="1" s="1"/>
  <c r="AD64" i="1"/>
  <c r="AE64" i="1" s="1"/>
  <c r="AD62" i="1"/>
  <c r="AF62" i="1" s="1"/>
  <c r="AD60" i="1"/>
  <c r="AF60" i="1" s="1"/>
  <c r="AD58" i="1"/>
  <c r="AE58" i="1" s="1"/>
  <c r="AD56" i="1"/>
  <c r="AE56" i="1" s="1"/>
  <c r="D5" i="12"/>
  <c r="G32" i="21" l="1"/>
  <c r="AF63" i="1"/>
  <c r="AE63" i="1"/>
  <c r="K63" i="12" s="1"/>
  <c r="Q63" i="12" s="1"/>
  <c r="R63" i="12" s="1"/>
  <c r="AF67" i="1"/>
  <c r="S67" i="12" s="1"/>
  <c r="Y67" i="12" s="1"/>
  <c r="AG65" i="1"/>
  <c r="AG67" i="1"/>
  <c r="AA67" i="12" s="1"/>
  <c r="AG67" i="12" s="1"/>
  <c r="AE65" i="1"/>
  <c r="AG69" i="1"/>
  <c r="S68" i="12"/>
  <c r="Y68" i="12" s="1"/>
  <c r="AA70" i="12"/>
  <c r="AG70" i="12" s="1"/>
  <c r="K69" i="12"/>
  <c r="Q69" i="12" s="1"/>
  <c r="R69" i="12" s="1"/>
  <c r="S66" i="12"/>
  <c r="Y66" i="12" s="1"/>
  <c r="AA63" i="12"/>
  <c r="AG63" i="12" s="1"/>
  <c r="AF70" i="1"/>
  <c r="K58" i="12"/>
  <c r="Q58" i="12" s="1"/>
  <c r="R58" i="12" s="1"/>
  <c r="AQ56" i="12"/>
  <c r="AE70" i="1"/>
  <c r="S60" i="12"/>
  <c r="Y60" i="12" s="1"/>
  <c r="S62" i="12"/>
  <c r="Y62" i="12" s="1"/>
  <c r="K64" i="12"/>
  <c r="Q64" i="12" s="1"/>
  <c r="R64" i="12" s="1"/>
  <c r="K67" i="12"/>
  <c r="Q67" i="12" s="1"/>
  <c r="R67" i="12" s="1"/>
  <c r="AG66" i="1"/>
  <c r="AE66" i="1"/>
  <c r="S65" i="12"/>
  <c r="Y65" i="12" s="1"/>
  <c r="K57" i="12"/>
  <c r="Q57" i="12" s="1"/>
  <c r="R57" i="12" s="1"/>
  <c r="K59" i="12"/>
  <c r="Q59" i="12" s="1"/>
  <c r="R59" i="12" s="1"/>
  <c r="K55" i="12"/>
  <c r="Q55" i="12" s="1"/>
  <c r="R55" i="12" s="1"/>
  <c r="AG68" i="1"/>
  <c r="AE68" i="1"/>
  <c r="AF69" i="1"/>
  <c r="S61" i="12"/>
  <c r="Y61" i="12" s="1"/>
  <c r="AE61" i="1"/>
  <c r="AG64" i="1"/>
  <c r="AF64" i="1"/>
  <c r="AF58" i="1"/>
  <c r="AG57" i="1"/>
  <c r="AG60" i="1"/>
  <c r="AF57" i="1"/>
  <c r="AG59" i="1"/>
  <c r="AE60" i="1"/>
  <c r="AF59" i="1"/>
  <c r="AG55" i="1"/>
  <c r="AG58" i="1"/>
  <c r="AF55" i="1"/>
  <c r="AG61" i="1"/>
  <c r="AG56" i="1"/>
  <c r="AF56" i="1"/>
  <c r="AG62" i="1"/>
  <c r="AE62" i="1"/>
  <c r="G71" i="17"/>
  <c r="B71" i="17" s="1"/>
  <c r="G67" i="17"/>
  <c r="B67" i="17" s="1"/>
  <c r="G66" i="17"/>
  <c r="B66" i="17" s="1"/>
  <c r="B6" i="17"/>
  <c r="B4" i="17"/>
  <c r="B5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8" i="17"/>
  <c r="B69" i="17"/>
  <c r="B70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3" i="17"/>
  <c r="O175" i="5"/>
  <c r="T175" i="5" s="1"/>
  <c r="O174" i="5"/>
  <c r="T174" i="5" s="1"/>
  <c r="O173" i="5"/>
  <c r="T173" i="5" s="1"/>
  <c r="O172" i="5"/>
  <c r="T172" i="5" s="1"/>
  <c r="K171" i="5"/>
  <c r="O171" i="5" s="1"/>
  <c r="T171" i="5" s="1"/>
  <c r="O170" i="5"/>
  <c r="T170" i="5" s="1"/>
  <c r="O169" i="5"/>
  <c r="T169" i="5" s="1"/>
  <c r="O168" i="5"/>
  <c r="T168" i="5" s="1"/>
  <c r="O167" i="5"/>
  <c r="T167" i="5" s="1"/>
  <c r="O166" i="5"/>
  <c r="T166" i="5" s="1"/>
  <c r="O165" i="5"/>
  <c r="T165" i="5" s="1"/>
  <c r="O164" i="5"/>
  <c r="T164" i="5" s="1"/>
  <c r="O163" i="5"/>
  <c r="T163" i="5" s="1"/>
  <c r="O162" i="5"/>
  <c r="T162" i="5" s="1"/>
  <c r="O161" i="5"/>
  <c r="T161" i="5" s="1"/>
  <c r="O160" i="5"/>
  <c r="T160" i="5" s="1"/>
  <c r="O159" i="5"/>
  <c r="T159" i="5" s="1"/>
  <c r="O158" i="5"/>
  <c r="T158" i="5" s="1"/>
  <c r="O157" i="5"/>
  <c r="T157" i="5" s="1"/>
  <c r="O156" i="5"/>
  <c r="T156" i="5" s="1"/>
  <c r="O155" i="5"/>
  <c r="T155" i="5" s="1"/>
  <c r="O154" i="5"/>
  <c r="T154" i="5" s="1"/>
  <c r="O153" i="5"/>
  <c r="T153" i="5" s="1"/>
  <c r="O152" i="5"/>
  <c r="T152" i="5" s="1"/>
  <c r="O151" i="5"/>
  <c r="T151" i="5" s="1"/>
  <c r="O150" i="5"/>
  <c r="T150" i="5" s="1"/>
  <c r="O149" i="5"/>
  <c r="T149" i="5" s="1"/>
  <c r="O148" i="5"/>
  <c r="T148" i="5" s="1"/>
  <c r="O147" i="5"/>
  <c r="T147" i="5" s="1"/>
  <c r="O146" i="5"/>
  <c r="T146" i="5" s="1"/>
  <c r="O145" i="5"/>
  <c r="T145" i="5" s="1"/>
  <c r="O144" i="5"/>
  <c r="T144" i="5" s="1"/>
  <c r="O143" i="5"/>
  <c r="T143" i="5" s="1"/>
  <c r="O142" i="5"/>
  <c r="T142" i="5" s="1"/>
  <c r="O141" i="5"/>
  <c r="T141" i="5" s="1"/>
  <c r="O140" i="5"/>
  <c r="T140" i="5" s="1"/>
  <c r="O139" i="5"/>
  <c r="O138" i="5"/>
  <c r="O137" i="5"/>
  <c r="O136" i="5"/>
  <c r="O135" i="5"/>
  <c r="O134" i="5"/>
  <c r="O133" i="5"/>
  <c r="O132" i="5"/>
  <c r="O131" i="5"/>
  <c r="O130" i="5"/>
  <c r="T130" i="5" s="1"/>
  <c r="O129" i="5"/>
  <c r="T129" i="5" s="1"/>
  <c r="O128" i="5"/>
  <c r="T128" i="5" s="1"/>
  <c r="O127" i="5"/>
  <c r="T127" i="5" s="1"/>
  <c r="O126" i="5"/>
  <c r="T126" i="5" s="1"/>
  <c r="O125" i="5"/>
  <c r="T125" i="5" s="1"/>
  <c r="O124" i="5"/>
  <c r="T124" i="5" s="1"/>
  <c r="O123" i="5"/>
  <c r="T123" i="5" s="1"/>
  <c r="O122" i="5"/>
  <c r="T122" i="5" s="1"/>
  <c r="O121" i="5"/>
  <c r="T121" i="5" s="1"/>
  <c r="O120" i="5"/>
  <c r="T120" i="5" s="1"/>
  <c r="O119" i="5"/>
  <c r="T119" i="5" s="1"/>
  <c r="O115" i="5"/>
  <c r="T115" i="5" s="1"/>
  <c r="O114" i="5"/>
  <c r="T114" i="5" s="1"/>
  <c r="O113" i="5"/>
  <c r="T113" i="5" s="1"/>
  <c r="O112" i="5"/>
  <c r="T112" i="5" s="1"/>
  <c r="O111" i="5"/>
  <c r="T111" i="5" s="1"/>
  <c r="O110" i="5"/>
  <c r="T110" i="5" s="1"/>
  <c r="O109" i="5"/>
  <c r="T109" i="5" s="1"/>
  <c r="O108" i="5"/>
  <c r="T108" i="5" s="1"/>
  <c r="O107" i="5"/>
  <c r="T107" i="5" s="1"/>
  <c r="O106" i="5"/>
  <c r="T106" i="5" s="1"/>
  <c r="O105" i="5"/>
  <c r="T105" i="5" s="1"/>
  <c r="O104" i="5"/>
  <c r="T104" i="5" s="1"/>
  <c r="O103" i="5"/>
  <c r="T103" i="5" s="1"/>
  <c r="O102" i="5"/>
  <c r="T102" i="5" s="1"/>
  <c r="O101" i="5"/>
  <c r="T101" i="5" s="1"/>
  <c r="O100" i="5"/>
  <c r="T100" i="5" s="1"/>
  <c r="O99" i="5"/>
  <c r="T99" i="5" s="1"/>
  <c r="O98" i="5"/>
  <c r="T98" i="5" s="1"/>
  <c r="O97" i="5"/>
  <c r="T97" i="5" s="1"/>
  <c r="O96" i="5"/>
  <c r="T96" i="5" s="1"/>
  <c r="O95" i="5"/>
  <c r="T95" i="5" s="1"/>
  <c r="O94" i="5"/>
  <c r="T94" i="5" s="1"/>
  <c r="O93" i="5"/>
  <c r="T93" i="5" s="1"/>
  <c r="O92" i="5"/>
  <c r="T92" i="5" s="1"/>
  <c r="O91" i="5"/>
  <c r="T91" i="5" s="1"/>
  <c r="O90" i="5"/>
  <c r="T90" i="5" s="1"/>
  <c r="O89" i="5"/>
  <c r="T89" i="5" s="1"/>
  <c r="O88" i="5"/>
  <c r="T88" i="5" s="1"/>
  <c r="O87" i="5"/>
  <c r="T87" i="5" s="1"/>
  <c r="O86" i="5"/>
  <c r="T86" i="5" s="1"/>
  <c r="O85" i="5"/>
  <c r="T85" i="5" s="1"/>
  <c r="O84" i="5"/>
  <c r="T84" i="5" s="1"/>
  <c r="O83" i="5"/>
  <c r="T83" i="5" s="1"/>
  <c r="O82" i="5"/>
  <c r="T82" i="5" s="1"/>
  <c r="O81" i="5"/>
  <c r="T81" i="5" s="1"/>
  <c r="O80" i="5"/>
  <c r="T80" i="5" s="1"/>
  <c r="O79" i="5"/>
  <c r="T79" i="5" s="1"/>
  <c r="O78" i="5"/>
  <c r="T78" i="5" s="1"/>
  <c r="O77" i="5"/>
  <c r="T77" i="5" s="1"/>
  <c r="O76" i="5"/>
  <c r="T76" i="5" s="1"/>
  <c r="O75" i="5"/>
  <c r="T75" i="5" s="1"/>
  <c r="O74" i="5"/>
  <c r="T74" i="5" s="1"/>
  <c r="O73" i="5"/>
  <c r="T73" i="5" s="1"/>
  <c r="O72" i="5"/>
  <c r="T72" i="5" s="1"/>
  <c r="O71" i="5"/>
  <c r="T71" i="5" s="1"/>
  <c r="O70" i="5"/>
  <c r="T70" i="5" s="1"/>
  <c r="O69" i="5"/>
  <c r="T69" i="5" s="1"/>
  <c r="O68" i="5"/>
  <c r="T68" i="5" s="1"/>
  <c r="O67" i="5"/>
  <c r="T67" i="5" s="1"/>
  <c r="O66" i="5"/>
  <c r="T66" i="5" s="1"/>
  <c r="O65" i="5"/>
  <c r="T65" i="5" s="1"/>
  <c r="O61" i="5"/>
  <c r="T61" i="5" s="1"/>
  <c r="O60" i="5"/>
  <c r="T60" i="5" s="1"/>
  <c r="O59" i="5"/>
  <c r="T59" i="5" s="1"/>
  <c r="O58" i="5"/>
  <c r="T58" i="5" s="1"/>
  <c r="O57" i="5"/>
  <c r="T57" i="5" s="1"/>
  <c r="O56" i="5"/>
  <c r="T56" i="5" s="1"/>
  <c r="O55" i="5"/>
  <c r="T55" i="5" s="1"/>
  <c r="O54" i="5"/>
  <c r="T54" i="5" s="1"/>
  <c r="O53" i="5"/>
  <c r="T53" i="5" s="1"/>
  <c r="O52" i="5"/>
  <c r="T52" i="5" s="1"/>
  <c r="O51" i="5"/>
  <c r="T51" i="5" s="1"/>
  <c r="O50" i="5"/>
  <c r="T50" i="5" s="1"/>
  <c r="O49" i="5"/>
  <c r="T49" i="5" s="1"/>
  <c r="O48" i="5"/>
  <c r="T48" i="5" s="1"/>
  <c r="O47" i="5"/>
  <c r="T47" i="5" s="1"/>
  <c r="O46" i="5"/>
  <c r="T46" i="5" s="1"/>
  <c r="O45" i="5"/>
  <c r="T45" i="5" s="1"/>
  <c r="O44" i="5"/>
  <c r="T44" i="5" s="1"/>
  <c r="O43" i="5"/>
  <c r="T43" i="5" s="1"/>
  <c r="O42" i="5"/>
  <c r="T42" i="5" s="1"/>
  <c r="O41" i="5"/>
  <c r="T41" i="5" s="1"/>
  <c r="O40" i="5"/>
  <c r="T40" i="5" s="1"/>
  <c r="O39" i="5"/>
  <c r="T39" i="5" s="1"/>
  <c r="O38" i="5"/>
  <c r="T38" i="5" s="1"/>
  <c r="O37" i="5"/>
  <c r="T37" i="5" s="1"/>
  <c r="O36" i="5"/>
  <c r="T36" i="5" s="1"/>
  <c r="O35" i="5"/>
  <c r="T35" i="5" s="1"/>
  <c r="O34" i="5"/>
  <c r="T34" i="5" s="1"/>
  <c r="O33" i="5"/>
  <c r="T33" i="5" s="1"/>
  <c r="O32" i="5"/>
  <c r="T32" i="5" s="1"/>
  <c r="O31" i="5"/>
  <c r="T31" i="5" s="1"/>
  <c r="O30" i="5"/>
  <c r="T30" i="5" s="1"/>
  <c r="O29" i="5"/>
  <c r="T29" i="5" s="1"/>
  <c r="O28" i="5"/>
  <c r="T28" i="5" s="1"/>
  <c r="O27" i="5"/>
  <c r="T27" i="5" s="1"/>
  <c r="O26" i="5"/>
  <c r="T26" i="5" s="1"/>
  <c r="O25" i="5"/>
  <c r="T25" i="5" s="1"/>
  <c r="O24" i="5"/>
  <c r="T24" i="5" s="1"/>
  <c r="O23" i="5"/>
  <c r="T23" i="5" s="1"/>
  <c r="O22" i="5"/>
  <c r="T22" i="5" s="1"/>
  <c r="O21" i="5"/>
  <c r="T21" i="5" s="1"/>
  <c r="O20" i="5"/>
  <c r="T20" i="5" s="1"/>
  <c r="O19" i="5"/>
  <c r="T19" i="5" s="1"/>
  <c r="O18" i="5"/>
  <c r="T18" i="5" s="1"/>
  <c r="O17" i="5"/>
  <c r="T17" i="5" s="1"/>
  <c r="O16" i="5"/>
  <c r="T16" i="5" s="1"/>
  <c r="O15" i="5"/>
  <c r="T15" i="5" s="1"/>
  <c r="O14" i="5"/>
  <c r="T14" i="5" s="1"/>
  <c r="O13" i="5"/>
  <c r="T13" i="5" s="1"/>
  <c r="O12" i="5"/>
  <c r="T12" i="5" s="1"/>
  <c r="O11" i="5"/>
  <c r="T11" i="5" s="1"/>
  <c r="O10" i="5"/>
  <c r="T10" i="5" s="1"/>
  <c r="O9" i="5"/>
  <c r="T9" i="5" s="1"/>
  <c r="O8" i="5"/>
  <c r="T8" i="5" s="1"/>
  <c r="O7" i="5"/>
  <c r="T7" i="5" s="1"/>
  <c r="O6" i="5"/>
  <c r="T6" i="5" s="1"/>
  <c r="O5" i="5"/>
  <c r="T5" i="5" s="1"/>
  <c r="F12" i="1"/>
  <c r="F13" i="1"/>
  <c r="F14" i="1"/>
  <c r="S63" i="12" l="1"/>
  <c r="Y63" i="12" s="1"/>
  <c r="AA69" i="12"/>
  <c r="AG69" i="12" s="1"/>
  <c r="K65" i="12"/>
  <c r="Q65" i="12" s="1"/>
  <c r="R65" i="12" s="1"/>
  <c r="AA65" i="12"/>
  <c r="AG65" i="12" s="1"/>
  <c r="L38" i="12"/>
  <c r="P38" i="12" s="1"/>
  <c r="L20" i="12"/>
  <c r="P20" i="12" s="1"/>
  <c r="T26" i="12"/>
  <c r="X26" i="12" s="1"/>
  <c r="L11" i="12"/>
  <c r="P11" i="12" s="1"/>
  <c r="T15" i="12"/>
  <c r="X15" i="12" s="1"/>
  <c r="L15" i="12"/>
  <c r="P15" i="12" s="1"/>
  <c r="T16" i="12"/>
  <c r="X16" i="12" s="1"/>
  <c r="L30" i="12"/>
  <c r="P30" i="12" s="1"/>
  <c r="T34" i="12"/>
  <c r="X34" i="12" s="1"/>
  <c r="T35" i="12"/>
  <c r="X35" i="12" s="1"/>
  <c r="AB38" i="12"/>
  <c r="AF38" i="12" s="1"/>
  <c r="AB39" i="12"/>
  <c r="AF39" i="12" s="1"/>
  <c r="AA58" i="12"/>
  <c r="AG58" i="12" s="1"/>
  <c r="K70" i="12"/>
  <c r="Q70" i="12" s="1"/>
  <c r="R70" i="12" s="1"/>
  <c r="E14" i="12"/>
  <c r="L22" i="12"/>
  <c r="P22" i="12" s="1"/>
  <c r="S64" i="12"/>
  <c r="Y64" i="12" s="1"/>
  <c r="AB13" i="12"/>
  <c r="AF13" i="12" s="1"/>
  <c r="AA66" i="12"/>
  <c r="AG66" i="12" s="1"/>
  <c r="T19" i="12"/>
  <c r="X19" i="12" s="1"/>
  <c r="T38" i="12"/>
  <c r="X38" i="12" s="1"/>
  <c r="AB8" i="12"/>
  <c r="AF8" i="12" s="1"/>
  <c r="T23" i="12"/>
  <c r="X23" i="12" s="1"/>
  <c r="AA64" i="12"/>
  <c r="AG64" i="12" s="1"/>
  <c r="T27" i="12"/>
  <c r="X27" i="12" s="1"/>
  <c r="L9" i="12"/>
  <c r="P9" i="12" s="1"/>
  <c r="L27" i="12"/>
  <c r="P27" i="12" s="1"/>
  <c r="L16" i="12"/>
  <c r="P16" i="12" s="1"/>
  <c r="L34" i="12"/>
  <c r="P34" i="12" s="1"/>
  <c r="AA55" i="12"/>
  <c r="AG55" i="12" s="1"/>
  <c r="T6" i="12"/>
  <c r="X6" i="12" s="1"/>
  <c r="T10" i="12"/>
  <c r="X10" i="12" s="1"/>
  <c r="AB16" i="12"/>
  <c r="AF16" i="12" s="1"/>
  <c r="L24" i="12"/>
  <c r="P24" i="12" s="1"/>
  <c r="T31" i="12"/>
  <c r="X31" i="12" s="1"/>
  <c r="AB34" i="12"/>
  <c r="AF34" i="12" s="1"/>
  <c r="AB35" i="12"/>
  <c r="AF35" i="12" s="1"/>
  <c r="L40" i="12"/>
  <c r="P40" i="12" s="1"/>
  <c r="S59" i="12"/>
  <c r="Y59" i="12" s="1"/>
  <c r="S56" i="12"/>
  <c r="Y56" i="12" s="1"/>
  <c r="L8" i="12"/>
  <c r="P8" i="12" s="1"/>
  <c r="L29" i="12"/>
  <c r="P29" i="12" s="1"/>
  <c r="AB11" i="12"/>
  <c r="AF11" i="12" s="1"/>
  <c r="AB33" i="12"/>
  <c r="AF33" i="12" s="1"/>
  <c r="K61" i="12"/>
  <c r="Q61" i="12" s="1"/>
  <c r="R61" i="12" s="1"/>
  <c r="AB9" i="12"/>
  <c r="AF9" i="12" s="1"/>
  <c r="AB30" i="12"/>
  <c r="AF30" i="12" s="1"/>
  <c r="T17" i="12"/>
  <c r="X17" i="12" s="1"/>
  <c r="AB20" i="12"/>
  <c r="AF20" i="12" s="1"/>
  <c r="AB24" i="12"/>
  <c r="AF24" i="12" s="1"/>
  <c r="L31" i="12"/>
  <c r="P31" i="12" s="1"/>
  <c r="T36" i="12"/>
  <c r="X36" i="12" s="1"/>
  <c r="AB40" i="12"/>
  <c r="AF40" i="12" s="1"/>
  <c r="K60" i="12"/>
  <c r="Q60" i="12" s="1"/>
  <c r="R60" i="12" s="1"/>
  <c r="G12" i="21" s="1"/>
  <c r="AB18" i="12"/>
  <c r="AF18" i="12" s="1"/>
  <c r="E13" i="12"/>
  <c r="T33" i="12"/>
  <c r="X33" i="12" s="1"/>
  <c r="AB29" i="12"/>
  <c r="AF29" i="12" s="1"/>
  <c r="T5" i="12"/>
  <c r="X5" i="12" s="1"/>
  <c r="L39" i="12"/>
  <c r="P39" i="12" s="1"/>
  <c r="L10" i="12"/>
  <c r="P10" i="12" s="1"/>
  <c r="AB10" i="12"/>
  <c r="AF10" i="12" s="1"/>
  <c r="L14" i="12"/>
  <c r="P14" i="12" s="1"/>
  <c r="L17" i="12"/>
  <c r="P17" i="12" s="1"/>
  <c r="T21" i="12"/>
  <c r="X21" i="12" s="1"/>
  <c r="AB31" i="12"/>
  <c r="AF31" i="12" s="1"/>
  <c r="L36" i="12"/>
  <c r="P36" i="12" s="1"/>
  <c r="AA59" i="12"/>
  <c r="AG59" i="12" s="1"/>
  <c r="S69" i="12"/>
  <c r="Y69" i="12" s="1"/>
  <c r="T8" i="12"/>
  <c r="X8" i="12" s="1"/>
  <c r="AB37" i="12"/>
  <c r="AF37" i="12" s="1"/>
  <c r="AB22" i="12"/>
  <c r="AF22" i="12" s="1"/>
  <c r="AA56" i="12"/>
  <c r="AG56" i="12" s="1"/>
  <c r="AB26" i="12"/>
  <c r="AF26" i="12" s="1"/>
  <c r="AB19" i="12"/>
  <c r="AF19" i="12" s="1"/>
  <c r="S55" i="12"/>
  <c r="Y55" i="12" s="1"/>
  <c r="L5" i="12"/>
  <c r="AB23" i="12"/>
  <c r="AF23" i="12" s="1"/>
  <c r="AB27" i="12"/>
  <c r="AF27" i="12" s="1"/>
  <c r="T14" i="12"/>
  <c r="X14" i="12" s="1"/>
  <c r="T7" i="12"/>
  <c r="X7" i="12" s="1"/>
  <c r="L21" i="12"/>
  <c r="P21" i="12" s="1"/>
  <c r="T25" i="12"/>
  <c r="X25" i="12" s="1"/>
  <c r="S57" i="12"/>
  <c r="Y57" i="12" s="1"/>
  <c r="K68" i="12"/>
  <c r="Q68" i="12" s="1"/>
  <c r="R68" i="12" s="1"/>
  <c r="K66" i="12"/>
  <c r="Q66" i="12" s="1"/>
  <c r="R66" i="12" s="1"/>
  <c r="S70" i="12"/>
  <c r="Y70" i="12" s="1"/>
  <c r="T11" i="12"/>
  <c r="X11" i="12" s="1"/>
  <c r="AB32" i="12"/>
  <c r="AF32" i="12" s="1"/>
  <c r="S58" i="12"/>
  <c r="Y58" i="12" s="1"/>
  <c r="E12" i="12"/>
  <c r="L19" i="12"/>
  <c r="P19" i="12" s="1"/>
  <c r="T39" i="12"/>
  <c r="X39" i="12" s="1"/>
  <c r="AA61" i="12"/>
  <c r="AG61" i="12" s="1"/>
  <c r="AB15" i="12"/>
  <c r="AF15" i="12" s="1"/>
  <c r="T30" i="12"/>
  <c r="X30" i="12" s="1"/>
  <c r="T20" i="12"/>
  <c r="X20" i="12" s="1"/>
  <c r="AB5" i="12"/>
  <c r="T24" i="12"/>
  <c r="X24" i="12" s="1"/>
  <c r="L35" i="12"/>
  <c r="P35" i="12" s="1"/>
  <c r="T40" i="12"/>
  <c r="X40" i="12" s="1"/>
  <c r="L6" i="12"/>
  <c r="P6" i="12" s="1"/>
  <c r="T12" i="12"/>
  <c r="X12" i="12" s="1"/>
  <c r="AB6" i="12"/>
  <c r="AF6" i="12" s="1"/>
  <c r="L12" i="12"/>
  <c r="P12" i="12" s="1"/>
  <c r="AB12" i="12"/>
  <c r="AF12" i="12" s="1"/>
  <c r="AB14" i="12"/>
  <c r="AF14" i="12" s="1"/>
  <c r="AB17" i="12"/>
  <c r="AF17" i="12" s="1"/>
  <c r="T28" i="12"/>
  <c r="X28" i="12" s="1"/>
  <c r="T32" i="12"/>
  <c r="X32" i="12" s="1"/>
  <c r="AB36" i="12"/>
  <c r="AF36" i="12" s="1"/>
  <c r="L7" i="12"/>
  <c r="P7" i="12" s="1"/>
  <c r="T13" i="12"/>
  <c r="X13" i="12" s="1"/>
  <c r="T18" i="12"/>
  <c r="X18" i="12" s="1"/>
  <c r="AB21" i="12"/>
  <c r="AF21" i="12" s="1"/>
  <c r="L25" i="12"/>
  <c r="P25" i="12" s="1"/>
  <c r="L28" i="12"/>
  <c r="P28" i="12" s="1"/>
  <c r="T37" i="12"/>
  <c r="X37" i="12" s="1"/>
  <c r="K62" i="12"/>
  <c r="Q62" i="12" s="1"/>
  <c r="R62" i="12" s="1"/>
  <c r="AA60" i="12"/>
  <c r="AG60" i="12" s="1"/>
  <c r="T29" i="12"/>
  <c r="X29" i="12" s="1"/>
  <c r="AA68" i="12"/>
  <c r="AG68" i="12" s="1"/>
  <c r="L26" i="12"/>
  <c r="P26" i="12" s="1"/>
  <c r="L33" i="12"/>
  <c r="P33" i="12" s="1"/>
  <c r="T9" i="12"/>
  <c r="X9" i="12" s="1"/>
  <c r="L23" i="12"/>
  <c r="P23" i="12" s="1"/>
  <c r="AB7" i="12"/>
  <c r="AF7" i="12" s="1"/>
  <c r="L13" i="12"/>
  <c r="P13" i="12" s="1"/>
  <c r="L18" i="12"/>
  <c r="P18" i="12" s="1"/>
  <c r="T22" i="12"/>
  <c r="X22" i="12" s="1"/>
  <c r="AB25" i="12"/>
  <c r="AF25" i="12" s="1"/>
  <c r="AB28" i="12"/>
  <c r="AF28" i="12" s="1"/>
  <c r="L32" i="12"/>
  <c r="P32" i="12" s="1"/>
  <c r="L37" i="12"/>
  <c r="P37" i="12" s="1"/>
  <c r="AA62" i="12"/>
  <c r="AG62" i="12" s="1"/>
  <c r="AA57" i="12"/>
  <c r="AG57" i="12" s="1"/>
  <c r="F11" i="1"/>
  <c r="F10" i="1"/>
  <c r="F9" i="1"/>
  <c r="F8" i="1"/>
  <c r="F7" i="1"/>
  <c r="F6" i="1"/>
  <c r="G20" i="21" l="1"/>
  <c r="T6" i="21"/>
  <c r="T7" i="21"/>
  <c r="G26" i="21"/>
  <c r="G15" i="21"/>
  <c r="T5" i="21"/>
  <c r="T4" i="21"/>
  <c r="E8" i="12"/>
  <c r="E6" i="12"/>
  <c r="E7" i="12"/>
  <c r="E10" i="12"/>
  <c r="E9" i="12"/>
  <c r="E11" i="12"/>
  <c r="AF5" i="12"/>
  <c r="P5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U1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4" i="12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AA5" i="1"/>
  <c r="Z5" i="1"/>
  <c r="Y5" i="1"/>
  <c r="X5" i="1"/>
  <c r="W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T5" i="1"/>
  <c r="P5" i="1"/>
  <c r="Q5" i="1"/>
  <c r="R5" i="1"/>
  <c r="S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" i="1"/>
  <c r="C5" i="12"/>
  <c r="F11" i="21" l="1"/>
  <c r="G29" i="21"/>
  <c r="G28" i="21"/>
  <c r="G23" i="21"/>
  <c r="G22" i="21"/>
  <c r="G21" i="21"/>
  <c r="G19" i="21"/>
  <c r="G27" i="21"/>
  <c r="G24" i="21"/>
  <c r="G33" i="21"/>
  <c r="G18" i="21"/>
  <c r="G31" i="21"/>
  <c r="G17" i="21"/>
  <c r="G25" i="21"/>
  <c r="G30" i="21"/>
  <c r="G16" i="21"/>
  <c r="G13" i="21"/>
  <c r="G14" i="21"/>
  <c r="E17" i="12"/>
  <c r="E40" i="12"/>
  <c r="E28" i="12"/>
  <c r="E16" i="12"/>
  <c r="E29" i="12"/>
  <c r="E52" i="12"/>
  <c r="E51" i="12"/>
  <c r="E39" i="12"/>
  <c r="E27" i="12"/>
  <c r="E15" i="12"/>
  <c r="E53" i="12"/>
  <c r="E38" i="12"/>
  <c r="E50" i="12"/>
  <c r="E49" i="12"/>
  <c r="E37" i="12"/>
  <c r="E25" i="12"/>
  <c r="E41" i="12"/>
  <c r="E26" i="12"/>
  <c r="E48" i="12"/>
  <c r="E36" i="12"/>
  <c r="E24" i="12"/>
  <c r="E47" i="12"/>
  <c r="E46" i="12"/>
  <c r="E45" i="12"/>
  <c r="E33" i="12"/>
  <c r="E21" i="12"/>
  <c r="E34" i="12"/>
  <c r="E44" i="12"/>
  <c r="E20" i="12"/>
  <c r="E23" i="12"/>
  <c r="E22" i="12"/>
  <c r="E31" i="12"/>
  <c r="E35" i="12"/>
  <c r="E32" i="12"/>
  <c r="E43" i="12"/>
  <c r="E19" i="12"/>
  <c r="E54" i="12"/>
  <c r="E42" i="12"/>
  <c r="E30" i="12"/>
  <c r="E18" i="12"/>
  <c r="AD54" i="1"/>
  <c r="AE54" i="1" s="1"/>
  <c r="AD42" i="1"/>
  <c r="AF42" i="1" s="1"/>
  <c r="AD50" i="1"/>
  <c r="AG50" i="1" s="1"/>
  <c r="AD46" i="1"/>
  <c r="AE46" i="1" s="1"/>
  <c r="AD38" i="1"/>
  <c r="AE38" i="1" s="1"/>
  <c r="AD34" i="1"/>
  <c r="AF34" i="1" s="1"/>
  <c r="AD30" i="1"/>
  <c r="AF30" i="1" s="1"/>
  <c r="AD26" i="1"/>
  <c r="AE26" i="1" s="1"/>
  <c r="AD22" i="1"/>
  <c r="AF22" i="1" s="1"/>
  <c r="AD18" i="1"/>
  <c r="AE18" i="1" s="1"/>
  <c r="AD10" i="1"/>
  <c r="AE10" i="1" s="1"/>
  <c r="AD6" i="1"/>
  <c r="AG6" i="1" s="1"/>
  <c r="AD53" i="1"/>
  <c r="AE53" i="1" s="1"/>
  <c r="AD49" i="1"/>
  <c r="AF49" i="1" s="1"/>
  <c r="AD45" i="1"/>
  <c r="AF45" i="1" s="1"/>
  <c r="AD41" i="1"/>
  <c r="AG41" i="1" s="1"/>
  <c r="AD37" i="1"/>
  <c r="AE37" i="1" s="1"/>
  <c r="AD33" i="1"/>
  <c r="AE33" i="1" s="1"/>
  <c r="AD29" i="1"/>
  <c r="AG29" i="1" s="1"/>
  <c r="AD25" i="1"/>
  <c r="AE25" i="1" s="1"/>
  <c r="AD21" i="1"/>
  <c r="AF21" i="1" s="1"/>
  <c r="AD17" i="1"/>
  <c r="AF17" i="1" s="1"/>
  <c r="AD5" i="1"/>
  <c r="AF5" i="1" s="1"/>
  <c r="AD51" i="1"/>
  <c r="AE51" i="1" s="1"/>
  <c r="AD47" i="1"/>
  <c r="AE47" i="1" s="1"/>
  <c r="AD43" i="1"/>
  <c r="AF43" i="1" s="1"/>
  <c r="AD39" i="1"/>
  <c r="AE39" i="1" s="1"/>
  <c r="AD35" i="1"/>
  <c r="AE35" i="1" s="1"/>
  <c r="AD31" i="1"/>
  <c r="AF31" i="1" s="1"/>
  <c r="AD27" i="1"/>
  <c r="AF27" i="1" s="1"/>
  <c r="AD23" i="1"/>
  <c r="AE23" i="1" s="1"/>
  <c r="AD19" i="1"/>
  <c r="AE19" i="1" s="1"/>
  <c r="AD15" i="1"/>
  <c r="AG15" i="1" s="1"/>
  <c r="AD52" i="1"/>
  <c r="AE52" i="1" s="1"/>
  <c r="AD48" i="1"/>
  <c r="AG48" i="1" s="1"/>
  <c r="AD44" i="1"/>
  <c r="AE44" i="1" s="1"/>
  <c r="AD40" i="1"/>
  <c r="AG40" i="1" s="1"/>
  <c r="AD36" i="1"/>
  <c r="AF36" i="1" s="1"/>
  <c r="AD32" i="1"/>
  <c r="AE32" i="1" s="1"/>
  <c r="AD28" i="1"/>
  <c r="AE28" i="1" s="1"/>
  <c r="AD24" i="1"/>
  <c r="AG24" i="1" s="1"/>
  <c r="AD20" i="1"/>
  <c r="AE20" i="1" s="1"/>
  <c r="AD16" i="1"/>
  <c r="AE16" i="1" s="1"/>
  <c r="AD11" i="1"/>
  <c r="AG11" i="1" s="1"/>
  <c r="AD13" i="1"/>
  <c r="AE13" i="1" s="1"/>
  <c r="AD12" i="1"/>
  <c r="AG12" i="1" s="1"/>
  <c r="AD14" i="1"/>
  <c r="AF14" i="1" s="1"/>
  <c r="AD9" i="1"/>
  <c r="AG9" i="1" s="1"/>
  <c r="AD8" i="1"/>
  <c r="AE8" i="1" s="1"/>
  <c r="AD7" i="1"/>
  <c r="AF7" i="1" s="1"/>
  <c r="AG53" i="1" l="1"/>
  <c r="AA53" i="12" s="1"/>
  <c r="AG53" i="12" s="1"/>
  <c r="AG26" i="1"/>
  <c r="AG30" i="1"/>
  <c r="AA30" i="12" s="1"/>
  <c r="AG30" i="12" s="1"/>
  <c r="AH30" i="12" s="1"/>
  <c r="AE30" i="1"/>
  <c r="AE34" i="1"/>
  <c r="AF32" i="1"/>
  <c r="S32" i="12" s="1"/>
  <c r="Y32" i="12" s="1"/>
  <c r="Z32" i="12" s="1"/>
  <c r="AG46" i="1"/>
  <c r="AG17" i="1"/>
  <c r="S43" i="12"/>
  <c r="Y43" i="12" s="1"/>
  <c r="S42" i="12"/>
  <c r="Y42" i="12" s="1"/>
  <c r="S14" i="12"/>
  <c r="Y14" i="12" s="1"/>
  <c r="Z14" i="12" s="1"/>
  <c r="K54" i="12"/>
  <c r="Q54" i="12" s="1"/>
  <c r="R54" i="12" s="1"/>
  <c r="S36" i="12"/>
  <c r="Y36" i="12" s="1"/>
  <c r="Z36" i="12" s="1"/>
  <c r="AA40" i="12"/>
  <c r="AG40" i="12" s="1"/>
  <c r="AH40" i="12" s="1"/>
  <c r="K10" i="12"/>
  <c r="Q10" i="12" s="1"/>
  <c r="R10" i="12" s="1"/>
  <c r="K18" i="12"/>
  <c r="Q18" i="12" s="1"/>
  <c r="R18" i="12" s="1"/>
  <c r="S22" i="12"/>
  <c r="Y22" i="12" s="1"/>
  <c r="Z22" i="12" s="1"/>
  <c r="S21" i="12"/>
  <c r="Y21" i="12" s="1"/>
  <c r="Z21" i="12" s="1"/>
  <c r="K23" i="12"/>
  <c r="Q23" i="12" s="1"/>
  <c r="R23" i="12" s="1"/>
  <c r="AA29" i="12"/>
  <c r="AG29" i="12" s="1"/>
  <c r="AH29" i="12" s="1"/>
  <c r="K26" i="12"/>
  <c r="Q26" i="12" s="1"/>
  <c r="R26" i="12" s="1"/>
  <c r="AA48" i="12"/>
  <c r="AG48" i="12" s="1"/>
  <c r="S30" i="12"/>
  <c r="Y30" i="12" s="1"/>
  <c r="Z30" i="12" s="1"/>
  <c r="K20" i="12"/>
  <c r="Q20" i="12" s="1"/>
  <c r="R20" i="12" s="1"/>
  <c r="S27" i="12"/>
  <c r="Y27" i="12" s="1"/>
  <c r="Z27" i="12" s="1"/>
  <c r="K33" i="12"/>
  <c r="Q33" i="12" s="1"/>
  <c r="R33" i="12" s="1"/>
  <c r="AG49" i="1"/>
  <c r="K19" i="12"/>
  <c r="Q19" i="12" s="1"/>
  <c r="R19" i="12" s="1"/>
  <c r="S7" i="12"/>
  <c r="Y7" i="12" s="1"/>
  <c r="Z7" i="12" s="1"/>
  <c r="AE36" i="1"/>
  <c r="S31" i="12"/>
  <c r="Y31" i="12" s="1"/>
  <c r="Z31" i="12" s="1"/>
  <c r="K37" i="12"/>
  <c r="Q37" i="12" s="1"/>
  <c r="R37" i="12" s="1"/>
  <c r="S34" i="12"/>
  <c r="Y34" i="12" s="1"/>
  <c r="Z34" i="12" s="1"/>
  <c r="S49" i="12"/>
  <c r="Y49" i="12" s="1"/>
  <c r="AE49" i="1"/>
  <c r="S5" i="12"/>
  <c r="Y5" i="12" s="1"/>
  <c r="Z5" i="12" s="1"/>
  <c r="AF53" i="1"/>
  <c r="K13" i="12"/>
  <c r="Q13" i="12" s="1"/>
  <c r="R13" i="12" s="1"/>
  <c r="K8" i="12"/>
  <c r="Q8" i="12" s="1"/>
  <c r="R8" i="12" s="1"/>
  <c r="AF40" i="1"/>
  <c r="K35" i="12"/>
  <c r="Q35" i="12" s="1"/>
  <c r="R35" i="12" s="1"/>
  <c r="AA41" i="12"/>
  <c r="AG41" i="12" s="1"/>
  <c r="K38" i="12"/>
  <c r="Q38" i="12" s="1"/>
  <c r="R38" i="12" s="1"/>
  <c r="AA50" i="12"/>
  <c r="AG50" i="12" s="1"/>
  <c r="S17" i="12"/>
  <c r="Y17" i="12" s="1"/>
  <c r="Z17" i="12" s="1"/>
  <c r="K25" i="12"/>
  <c r="Q25" i="12" s="1"/>
  <c r="R25" i="12" s="1"/>
  <c r="K16" i="12"/>
  <c r="Q16" i="12" s="1"/>
  <c r="R16" i="12" s="1"/>
  <c r="AA24" i="12"/>
  <c r="AG24" i="12" s="1"/>
  <c r="AH24" i="12" s="1"/>
  <c r="K28" i="12"/>
  <c r="Q28" i="12" s="1"/>
  <c r="R28" i="12" s="1"/>
  <c r="AE42" i="1"/>
  <c r="K32" i="12"/>
  <c r="Q32" i="12" s="1"/>
  <c r="R32" i="12" s="1"/>
  <c r="K39" i="12"/>
  <c r="Q39" i="12" s="1"/>
  <c r="R39" i="12" s="1"/>
  <c r="S45" i="12"/>
  <c r="Y45" i="12" s="1"/>
  <c r="AF6" i="1"/>
  <c r="AG38" i="1"/>
  <c r="AF50" i="1"/>
  <c r="AG42" i="1"/>
  <c r="AG18" i="1"/>
  <c r="AG54" i="1"/>
  <c r="AG20" i="1"/>
  <c r="AG33" i="1"/>
  <c r="AF54" i="1"/>
  <c r="AF18" i="1"/>
  <c r="AG22" i="1"/>
  <c r="AG34" i="1"/>
  <c r="AG28" i="1"/>
  <c r="AE40" i="1"/>
  <c r="AA6" i="12"/>
  <c r="AG6" i="12" s="1"/>
  <c r="AH6" i="12" s="1"/>
  <c r="AF20" i="1"/>
  <c r="AE6" i="1"/>
  <c r="AE22" i="1"/>
  <c r="AF33" i="1"/>
  <c r="AF38" i="1"/>
  <c r="AF46" i="1"/>
  <c r="AF24" i="1"/>
  <c r="AG52" i="1"/>
  <c r="AF52" i="1"/>
  <c r="AF51" i="1"/>
  <c r="AG51" i="1"/>
  <c r="AE50" i="1"/>
  <c r="AE48" i="1"/>
  <c r="AF48" i="1"/>
  <c r="AG45" i="1"/>
  <c r="AE45" i="1"/>
  <c r="AG43" i="1"/>
  <c r="AE43" i="1"/>
  <c r="AF41" i="1"/>
  <c r="AE41" i="1"/>
  <c r="AG39" i="1"/>
  <c r="AF39" i="1"/>
  <c r="AG37" i="1"/>
  <c r="AG36" i="1"/>
  <c r="AF35" i="1"/>
  <c r="AG32" i="1"/>
  <c r="AG31" i="1"/>
  <c r="AE31" i="1"/>
  <c r="AF29" i="1"/>
  <c r="AE29" i="1"/>
  <c r="AF28" i="1"/>
  <c r="AE27" i="1"/>
  <c r="AG27" i="1"/>
  <c r="AF26" i="1"/>
  <c r="AF25" i="1"/>
  <c r="AF23" i="1"/>
  <c r="AG23" i="1"/>
  <c r="AE21" i="1"/>
  <c r="AG21" i="1"/>
  <c r="AF19" i="1"/>
  <c r="AG19" i="1"/>
  <c r="AE17" i="1"/>
  <c r="AA15" i="12"/>
  <c r="AG15" i="12" s="1"/>
  <c r="AH15" i="12" s="1"/>
  <c r="AA12" i="12"/>
  <c r="AG12" i="12" s="1"/>
  <c r="AH12" i="12" s="1"/>
  <c r="AA11" i="12"/>
  <c r="AG11" i="12" s="1"/>
  <c r="AH11" i="12" s="1"/>
  <c r="AF10" i="1"/>
  <c r="AG10" i="1"/>
  <c r="AA9" i="12"/>
  <c r="AG9" i="12" s="1"/>
  <c r="AH9" i="12" s="1"/>
  <c r="AG16" i="1"/>
  <c r="AG13" i="1"/>
  <c r="AF16" i="1"/>
  <c r="AG5" i="1"/>
  <c r="AE5" i="1"/>
  <c r="AE24" i="1"/>
  <c r="AG35" i="1"/>
  <c r="AG25" i="1"/>
  <c r="AF44" i="1"/>
  <c r="AF47" i="1"/>
  <c r="AG44" i="1"/>
  <c r="AF15" i="1"/>
  <c r="AG47" i="1"/>
  <c r="AE15" i="1"/>
  <c r="AF37" i="1"/>
  <c r="AE11" i="1"/>
  <c r="AF11" i="1"/>
  <c r="AF13" i="1"/>
  <c r="AE14" i="1"/>
  <c r="AF8" i="1"/>
  <c r="AG8" i="1"/>
  <c r="AF12" i="1"/>
  <c r="AE12" i="1"/>
  <c r="AF9" i="1"/>
  <c r="AE9" i="1"/>
  <c r="AG14" i="1"/>
  <c r="AE7" i="1"/>
  <c r="AG7" i="1"/>
  <c r="AA26" i="12" l="1"/>
  <c r="AG26" i="12" s="1"/>
  <c r="AH26" i="12" s="1"/>
  <c r="K34" i="12"/>
  <c r="Q34" i="12" s="1"/>
  <c r="R34" i="12" s="1"/>
  <c r="K30" i="12"/>
  <c r="Q30" i="12" s="1"/>
  <c r="R30" i="12" s="1"/>
  <c r="AA46" i="12"/>
  <c r="AG46" i="12" s="1"/>
  <c r="AA17" i="12"/>
  <c r="AG17" i="12" s="1"/>
  <c r="AH17" i="12" s="1"/>
  <c r="K36" i="12"/>
  <c r="Q36" i="12" s="1"/>
  <c r="R36" i="12" s="1"/>
  <c r="S9" i="12"/>
  <c r="Y9" i="12" s="1"/>
  <c r="Z9" i="12" s="1"/>
  <c r="S15" i="12"/>
  <c r="Y15" i="12" s="1"/>
  <c r="Z15" i="12" s="1"/>
  <c r="AA23" i="12"/>
  <c r="AG23" i="12" s="1"/>
  <c r="AH23" i="12" s="1"/>
  <c r="S35" i="12"/>
  <c r="Y35" i="12" s="1"/>
  <c r="Z35" i="12" s="1"/>
  <c r="S20" i="12"/>
  <c r="Y20" i="12" s="1"/>
  <c r="Z20" i="12" s="1"/>
  <c r="AA42" i="12"/>
  <c r="AG42" i="12" s="1"/>
  <c r="K9" i="12"/>
  <c r="Q9" i="12" s="1"/>
  <c r="R9" i="12" s="1"/>
  <c r="AA18" i="12"/>
  <c r="AG18" i="12" s="1"/>
  <c r="K12" i="12"/>
  <c r="AA44" i="12"/>
  <c r="AG44" i="12" s="1"/>
  <c r="S23" i="12"/>
  <c r="Y23" i="12" s="1"/>
  <c r="Z23" i="12" s="1"/>
  <c r="AA36" i="12"/>
  <c r="AG36" i="12" s="1"/>
  <c r="AH36" i="12" s="1"/>
  <c r="S50" i="12"/>
  <c r="Y50" i="12" s="1"/>
  <c r="AA32" i="12"/>
  <c r="AG32" i="12" s="1"/>
  <c r="AH32" i="12" s="1"/>
  <c r="Y53" i="12"/>
  <c r="S12" i="12"/>
  <c r="Y12" i="12" s="1"/>
  <c r="Z12" i="12" s="1"/>
  <c r="S47" i="12"/>
  <c r="Y47" i="12" s="1"/>
  <c r="S10" i="12"/>
  <c r="Y10" i="12" s="1"/>
  <c r="Z10" i="12" s="1"/>
  <c r="S25" i="12"/>
  <c r="Y25" i="12" s="1"/>
  <c r="Z25" i="12" s="1"/>
  <c r="AA37" i="12"/>
  <c r="AG37" i="12" s="1"/>
  <c r="AH37" i="12" s="1"/>
  <c r="AA51" i="12"/>
  <c r="AG51" i="12" s="1"/>
  <c r="K40" i="12"/>
  <c r="Q40" i="12" s="1"/>
  <c r="R40" i="12" s="1"/>
  <c r="AA38" i="12"/>
  <c r="AG38" i="12" s="1"/>
  <c r="AH38" i="12" s="1"/>
  <c r="K6" i="12"/>
  <c r="Q6" i="12" s="1"/>
  <c r="R6" i="12" s="1"/>
  <c r="S44" i="12"/>
  <c r="Y44" i="12" s="1"/>
  <c r="S26" i="12"/>
  <c r="Y26" i="12" s="1"/>
  <c r="Z26" i="12" s="1"/>
  <c r="S39" i="12"/>
  <c r="Y39" i="12" s="1"/>
  <c r="Z39" i="12" s="1"/>
  <c r="S51" i="12"/>
  <c r="Y51" i="12" s="1"/>
  <c r="AA28" i="12"/>
  <c r="AG28" i="12" s="1"/>
  <c r="AH28" i="12" s="1"/>
  <c r="S6" i="12"/>
  <c r="Y6" i="12" s="1"/>
  <c r="Z6" i="12" s="1"/>
  <c r="K4" i="21" s="1"/>
  <c r="S8" i="12"/>
  <c r="Y8" i="12" s="1"/>
  <c r="Z8" i="12" s="1"/>
  <c r="AA25" i="12"/>
  <c r="AG25" i="12" s="1"/>
  <c r="AH25" i="12" s="1"/>
  <c r="AA27" i="12"/>
  <c r="AG27" i="12" s="1"/>
  <c r="AH27" i="12" s="1"/>
  <c r="AA39" i="12"/>
  <c r="AG39" i="12" s="1"/>
  <c r="AH39" i="12" s="1"/>
  <c r="S52" i="12"/>
  <c r="Y52" i="12" s="1"/>
  <c r="AA34" i="12"/>
  <c r="AG34" i="12" s="1"/>
  <c r="AH34" i="12" s="1"/>
  <c r="S40" i="12"/>
  <c r="Y40" i="12" s="1"/>
  <c r="Z40" i="12" s="1"/>
  <c r="K14" i="12"/>
  <c r="Q14" i="12" s="1"/>
  <c r="R14" i="12" s="1"/>
  <c r="AA35" i="12"/>
  <c r="AG35" i="12" s="1"/>
  <c r="AH35" i="12" s="1"/>
  <c r="K27" i="12"/>
  <c r="Q27" i="12" s="1"/>
  <c r="R27" i="12" s="1"/>
  <c r="AA52" i="12"/>
  <c r="AG52" i="12" s="1"/>
  <c r="AA22" i="12"/>
  <c r="AG22" i="12" s="1"/>
  <c r="AH22" i="12" s="1"/>
  <c r="S24" i="12"/>
  <c r="Y24" i="12" s="1"/>
  <c r="Z24" i="12" s="1"/>
  <c r="S18" i="12"/>
  <c r="Y18" i="12" s="1"/>
  <c r="Z18" i="12" s="1"/>
  <c r="AA49" i="12"/>
  <c r="AG49" i="12" s="1"/>
  <c r="AA47" i="12"/>
  <c r="AG47" i="12" s="1"/>
  <c r="K24" i="12"/>
  <c r="Q24" i="12" s="1"/>
  <c r="R24" i="12" s="1"/>
  <c r="S11" i="12"/>
  <c r="Y11" i="12" s="1"/>
  <c r="Z11" i="12" s="1"/>
  <c r="K5" i="12"/>
  <c r="Q5" i="12" s="1"/>
  <c r="R5" i="12" s="1"/>
  <c r="K17" i="12"/>
  <c r="Q17" i="12" s="1"/>
  <c r="R17" i="12" s="1"/>
  <c r="K29" i="12"/>
  <c r="Q29" i="12" s="1"/>
  <c r="R29" i="12" s="1"/>
  <c r="S46" i="12"/>
  <c r="Y46" i="12" s="1"/>
  <c r="S54" i="12"/>
  <c r="Y54" i="12" s="1"/>
  <c r="S48" i="12"/>
  <c r="Y48" i="12" s="1"/>
  <c r="S28" i="12"/>
  <c r="Y28" i="12" s="1"/>
  <c r="Z28" i="12" s="1"/>
  <c r="AA5" i="12"/>
  <c r="AG5" i="12" s="1"/>
  <c r="AH5" i="12" s="1"/>
  <c r="S38" i="12"/>
  <c r="Y38" i="12" s="1"/>
  <c r="Z38" i="12" s="1"/>
  <c r="AA33" i="12"/>
  <c r="AG33" i="12" s="1"/>
  <c r="AH33" i="12" s="1"/>
  <c r="K21" i="12"/>
  <c r="Q21" i="12" s="1"/>
  <c r="R21" i="12" s="1"/>
  <c r="S29" i="12"/>
  <c r="Y29" i="12" s="1"/>
  <c r="Z29" i="12" s="1"/>
  <c r="K7" i="12"/>
  <c r="Q7" i="12" s="1"/>
  <c r="R7" i="12" s="1"/>
  <c r="S16" i="12"/>
  <c r="Y16" i="12" s="1"/>
  <c r="Z16" i="12" s="1"/>
  <c r="K31" i="12"/>
  <c r="Q31" i="12" s="1"/>
  <c r="R31" i="12" s="1"/>
  <c r="S33" i="12"/>
  <c r="Y33" i="12" s="1"/>
  <c r="Z33" i="12" s="1"/>
  <c r="AA20" i="12"/>
  <c r="AG20" i="12" s="1"/>
  <c r="AH20" i="12" s="1"/>
  <c r="S13" i="12"/>
  <c r="Y13" i="12" s="1"/>
  <c r="Z13" i="12" s="1"/>
  <c r="S41" i="12"/>
  <c r="Y41" i="12" s="1"/>
  <c r="K11" i="12"/>
  <c r="Q11" i="12" s="1"/>
  <c r="R11" i="12" s="1"/>
  <c r="AA19" i="12"/>
  <c r="AG19" i="12" s="1"/>
  <c r="AH19" i="12" s="1"/>
  <c r="AA43" i="12"/>
  <c r="AG43" i="12" s="1"/>
  <c r="S37" i="12"/>
  <c r="Y37" i="12" s="1"/>
  <c r="Z37" i="12" s="1"/>
  <c r="S19" i="12"/>
  <c r="Y19" i="12" s="1"/>
  <c r="Z19" i="12" s="1"/>
  <c r="K15" i="12"/>
  <c r="Q15" i="12" s="1"/>
  <c r="R15" i="12" s="1"/>
  <c r="AA21" i="12"/>
  <c r="AG21" i="12" s="1"/>
  <c r="AH21" i="12" s="1"/>
  <c r="AA31" i="12"/>
  <c r="AG31" i="12" s="1"/>
  <c r="AH31" i="12" s="1"/>
  <c r="AA45" i="12"/>
  <c r="AG45" i="12" s="1"/>
  <c r="K22" i="12"/>
  <c r="Q22" i="12" s="1"/>
  <c r="R22" i="12" s="1"/>
  <c r="AA54" i="12"/>
  <c r="AG54" i="12" s="1"/>
  <c r="AA16" i="12"/>
  <c r="AG16" i="12" s="1"/>
  <c r="AH16" i="12" s="1"/>
  <c r="AA14" i="12"/>
  <c r="AG14" i="12" s="1"/>
  <c r="AH14" i="12" s="1"/>
  <c r="AA13" i="12"/>
  <c r="AG13" i="12" s="1"/>
  <c r="AH13" i="12" s="1"/>
  <c r="AA10" i="12"/>
  <c r="AG10" i="12" s="1"/>
  <c r="AH10" i="12" s="1"/>
  <c r="AA8" i="12"/>
  <c r="AG8" i="12" s="1"/>
  <c r="AH8" i="12" s="1"/>
  <c r="AA7" i="12"/>
  <c r="AG7" i="12" s="1"/>
  <c r="AH7" i="12" s="1"/>
  <c r="L5" i="21" l="1"/>
  <c r="K5" i="21"/>
  <c r="K3" i="21" s="1"/>
  <c r="L4" i="21"/>
  <c r="L3" i="21" s="1"/>
  <c r="Q12" i="12"/>
  <c r="R12" i="12" s="1"/>
  <c r="AH18" i="12"/>
  <c r="T3" i="21" l="1"/>
  <c r="AQ76" i="12"/>
  <c r="AR70" i="12" s="1"/>
  <c r="J3" i="21"/>
  <c r="AR69" i="12" l="1"/>
  <c r="AR63" i="12"/>
  <c r="AR57" i="12"/>
  <c r="AR62" i="12"/>
  <c r="AR55" i="12"/>
  <c r="AR59" i="12"/>
  <c r="T9" i="21"/>
  <c r="I4" i="21" s="1"/>
  <c r="AR68" i="12"/>
  <c r="AR58" i="12"/>
  <c r="AR67" i="12"/>
  <c r="AR64" i="12"/>
  <c r="AR65" i="12"/>
  <c r="AR60" i="12"/>
  <c r="AR66" i="12"/>
  <c r="G2" i="21"/>
  <c r="AR72" i="12"/>
  <c r="AR73" i="12"/>
  <c r="AR74" i="12"/>
  <c r="AR75" i="12"/>
  <c r="AR71" i="12"/>
  <c r="AR56" i="12"/>
  <c r="AR61" i="12"/>
  <c r="AR76" i="12"/>
  <c r="I3" i="21" l="1"/>
  <c r="I5" i="21"/>
  <c r="U9" i="21"/>
  <c r="U8" i="21"/>
  <c r="H32" i="21"/>
  <c r="H12" i="21"/>
  <c r="U4" i="21"/>
  <c r="H20" i="21"/>
  <c r="H15" i="21"/>
  <c r="U5" i="21"/>
  <c r="H26" i="21"/>
  <c r="U6" i="21"/>
  <c r="U7" i="21"/>
  <c r="H21" i="21"/>
  <c r="H13" i="21"/>
  <c r="H16" i="21"/>
  <c r="H27" i="21"/>
  <c r="H28" i="21"/>
  <c r="H24" i="21"/>
  <c r="H17" i="21"/>
  <c r="H31" i="21"/>
  <c r="H14" i="21"/>
  <c r="H18" i="21"/>
  <c r="H23" i="21"/>
  <c r="H29" i="21"/>
  <c r="H19" i="21"/>
  <c r="H22" i="21"/>
  <c r="H30" i="21"/>
  <c r="H33" i="21"/>
  <c r="H25" i="21"/>
  <c r="I7" i="21"/>
  <c r="I6" i="21"/>
  <c r="U3" i="21"/>
  <c r="AR5" i="12"/>
  <c r="AR40" i="12"/>
  <c r="AR37" i="12"/>
  <c r="AR46" i="12"/>
  <c r="AR29" i="12"/>
  <c r="AR52" i="12"/>
  <c r="AR30" i="12"/>
  <c r="AR15" i="12"/>
  <c r="AR38" i="12"/>
  <c r="AR41" i="12"/>
  <c r="AR16" i="12"/>
  <c r="AR47" i="12"/>
  <c r="AR31" i="12"/>
  <c r="AR48" i="12"/>
  <c r="AR33" i="12"/>
  <c r="AR18" i="12"/>
  <c r="AR44" i="12"/>
  <c r="AR43" i="12"/>
  <c r="AR50" i="12"/>
  <c r="AR49" i="12"/>
  <c r="AR26" i="12"/>
  <c r="AR51" i="12"/>
  <c r="AR36" i="12"/>
  <c r="AR24" i="12"/>
  <c r="AR27" i="12"/>
  <c r="AR21" i="12"/>
  <c r="AR17" i="12"/>
  <c r="AR28" i="12"/>
  <c r="AR54" i="12"/>
  <c r="AR39" i="12"/>
  <c r="AR42" i="12"/>
  <c r="AR45" i="12"/>
  <c r="AR25" i="12"/>
  <c r="AR35" i="12"/>
  <c r="AR19" i="12"/>
  <c r="AR32" i="12"/>
  <c r="AR20" i="12"/>
  <c r="AR22" i="12"/>
  <c r="AR53" i="12"/>
  <c r="AR34" i="12"/>
  <c r="AR23" i="12"/>
  <c r="AR10" i="12"/>
  <c r="AR9" i="12"/>
  <c r="AR11" i="12"/>
  <c r="AR12" i="12"/>
  <c r="AR8" i="12"/>
  <c r="AR13" i="12"/>
  <c r="AR14" i="12"/>
  <c r="AR7" i="12"/>
  <c r="AR6" i="12"/>
</calcChain>
</file>

<file path=xl/sharedStrings.xml><?xml version="1.0" encoding="utf-8"?>
<sst xmlns="http://schemas.openxmlformats.org/spreadsheetml/2006/main" count="3926" uniqueCount="686">
  <si>
    <t>GHG Protocol
Scope
範疇別</t>
    <phoneticPr fontId="1" type="noConversion"/>
  </si>
  <si>
    <t>ISO14064-1:2018 
Inventory categories
排放類別</t>
    <phoneticPr fontId="1" type="noConversion"/>
  </si>
  <si>
    <t>1.1 來自固定式燃燒源之直接排放</t>
    <phoneticPr fontId="1" type="noConversion"/>
  </si>
  <si>
    <t>1.2 來自移動式燃燒源之直接排放</t>
    <phoneticPr fontId="1" type="noConversion"/>
  </si>
  <si>
    <t>1.3 來自產業過程之直接過程排放與移除</t>
    <phoneticPr fontId="1" type="noConversion"/>
  </si>
  <si>
    <t>1.4 由人為系統所釋放的溫室氣體產生的直接逸散性排放</t>
    <phoneticPr fontId="1" type="noConversion"/>
  </si>
  <si>
    <t>1.5 來自土地使用、土地使用變更及林業(LULUCF)之直接排放與移除</t>
    <phoneticPr fontId="1" type="noConversion"/>
  </si>
  <si>
    <t>2.1 來自輸入電力的間接排放</t>
    <phoneticPr fontId="1" type="noConversion"/>
  </si>
  <si>
    <t>2.2 來自輸入能源的間接排放</t>
    <phoneticPr fontId="1" type="noConversion"/>
  </si>
  <si>
    <t>3.1 由貨物上游運輸與配送產生之排放</t>
    <phoneticPr fontId="1" type="noConversion"/>
  </si>
  <si>
    <t>3.2 由貨物下游運輸與配送產生之排放</t>
    <phoneticPr fontId="1" type="noConversion"/>
  </si>
  <si>
    <t>3.3 員工通勤產生之排放</t>
    <phoneticPr fontId="1" type="noConversion"/>
  </si>
  <si>
    <t>3.4 由輸運客戶與訪客產生之排放</t>
    <phoneticPr fontId="1" type="noConversion"/>
  </si>
  <si>
    <t>3.5 由業務旅運產生的排放</t>
    <phoneticPr fontId="1" type="noConversion"/>
  </si>
  <si>
    <t>4.1 由採購的貨物產生之排放</t>
    <phoneticPr fontId="1" type="noConversion"/>
  </si>
  <si>
    <t>4.2 由資本財產生之排放</t>
    <phoneticPr fontId="1" type="noConversion"/>
  </si>
  <si>
    <t>4.3 由處置固體與液體廢棄物產生之排放</t>
    <phoneticPr fontId="1" type="noConversion"/>
  </si>
  <si>
    <t>4.4 由資產使用產生之排放</t>
    <phoneticPr fontId="1" type="noConversion"/>
  </si>
  <si>
    <t>4.5 由服務使用產生之排放</t>
    <phoneticPr fontId="1" type="noConversion"/>
  </si>
  <si>
    <t>5.1 由產品使用階段產生之排放或移除</t>
    <phoneticPr fontId="1" type="noConversion"/>
  </si>
  <si>
    <t>5.2 由下游承租的資產產生之排放</t>
    <phoneticPr fontId="1" type="noConversion"/>
  </si>
  <si>
    <t>5.3 由產品生命終止階段產生之排放</t>
    <phoneticPr fontId="1" type="noConversion"/>
  </si>
  <si>
    <t>5.4 由投資產生之排放</t>
    <phoneticPr fontId="1" type="noConversion"/>
  </si>
  <si>
    <t>6.1 由其他來源產生的間接溫室氣體排放</t>
    <phoneticPr fontId="1" type="noConversion"/>
  </si>
  <si>
    <t>可能產生溫室氣體種類</t>
    <phoneticPr fontId="1" type="noConversion"/>
  </si>
  <si>
    <t>HFCs</t>
    <phoneticPr fontId="1" type="noConversion"/>
  </si>
  <si>
    <t>PFCs</t>
    <phoneticPr fontId="1" type="noConversion"/>
  </si>
  <si>
    <t>活動數據種類</t>
    <phoneticPr fontId="1" type="noConversion"/>
  </si>
  <si>
    <t>連續量測</t>
    <phoneticPr fontId="1" type="noConversion"/>
  </si>
  <si>
    <t>定期(間歇)量測</t>
    <phoneticPr fontId="1" type="noConversion"/>
  </si>
  <si>
    <t>財務會計推估</t>
    <phoneticPr fontId="1" type="noConversion"/>
  </si>
  <si>
    <t>自行評估</t>
    <phoneticPr fontId="1" type="noConversion"/>
  </si>
  <si>
    <t>GWP</t>
    <phoneticPr fontId="1" type="noConversion"/>
  </si>
  <si>
    <t>活動數據可信種類</t>
    <phoneticPr fontId="1" type="noConversion"/>
  </si>
  <si>
    <t>是否
屬生質能源
(Y/N)</t>
    <phoneticPr fontId="1" type="noConversion"/>
  </si>
  <si>
    <t>Y</t>
    <phoneticPr fontId="1" type="noConversion"/>
  </si>
  <si>
    <t>N</t>
    <phoneticPr fontId="1" type="noConversion"/>
  </si>
  <si>
    <t>✓</t>
    <phoneticPr fontId="1" type="noConversion"/>
  </si>
  <si>
    <t>係數種類</t>
    <phoneticPr fontId="1" type="noConversion"/>
  </si>
  <si>
    <t>(1)自廠發展係數/質量平衡所得係數</t>
    <phoneticPr fontId="1" type="noConversion"/>
  </si>
  <si>
    <t>(2)同製程/設備經驗係數</t>
    <phoneticPr fontId="1" type="noConversion"/>
  </si>
  <si>
    <t>(3)製造廠提供係數</t>
    <phoneticPr fontId="1" type="noConversion"/>
  </si>
  <si>
    <t>(4)區域排放係數</t>
    <phoneticPr fontId="1" type="noConversion"/>
  </si>
  <si>
    <t>(5)國家排放係數</t>
    <phoneticPr fontId="1" type="noConversion"/>
  </si>
  <si>
    <t>(6)國際排放係數</t>
    <phoneticPr fontId="1" type="noConversion"/>
  </si>
  <si>
    <t>(1)有進行外部校正或有多組數據茲佐證者</t>
    <phoneticPr fontId="1" type="noConversion"/>
  </si>
  <si>
    <t>(3)未進行儀器校正或未進行記錄彙整者</t>
    <phoneticPr fontId="1" type="noConversion"/>
  </si>
  <si>
    <t>(2)有進行內部校正或經過會計簽證等証明者</t>
    <phoneticPr fontId="1" type="noConversion"/>
  </si>
  <si>
    <t>A</t>
  </si>
  <si>
    <t>B</t>
  </si>
  <si>
    <t>C=A×B×(44/12)×1000</t>
  </si>
  <si>
    <t>D</t>
  </si>
  <si>
    <t>E</t>
  </si>
  <si>
    <t>G</t>
  </si>
  <si>
    <t>H=F×G</t>
  </si>
  <si>
    <t>I</t>
  </si>
  <si>
    <t>J</t>
  </si>
  <si>
    <t>Other Bituminous Coal</t>
  </si>
  <si>
    <t>kgC/GJ</t>
  </si>
  <si>
    <t>Kcal/Kg</t>
  </si>
  <si>
    <t>Anthracite</t>
  </si>
  <si>
    <t>Sub-Bituminous Coal</t>
  </si>
  <si>
    <t>Lignite</t>
  </si>
  <si>
    <t>Oil Shale and Tar Sands</t>
  </si>
  <si>
    <t>Peat</t>
  </si>
  <si>
    <t>Patent Fuel</t>
  </si>
  <si>
    <t>Coke Oven Coke and Lignite Coke</t>
  </si>
  <si>
    <t>Petroleum Coke</t>
  </si>
  <si>
    <t>Kcal/L</t>
  </si>
  <si>
    <t>Jet Kerosene</t>
  </si>
  <si>
    <t>Crude Oil</t>
  </si>
  <si>
    <t>Orimulsion</t>
  </si>
  <si>
    <t>Other Kerosene</t>
  </si>
  <si>
    <t>Shale Oil</t>
  </si>
  <si>
    <t>Gas/Diesel Oil</t>
  </si>
  <si>
    <t>Motor Gasoline</t>
  </si>
  <si>
    <t>Residual Fuel Oil</t>
  </si>
  <si>
    <t>Naphtha</t>
  </si>
  <si>
    <t>Bitumen</t>
  </si>
  <si>
    <t>Lubricants</t>
  </si>
  <si>
    <t>Other Petroleum Products</t>
  </si>
  <si>
    <t>Ethane</t>
  </si>
  <si>
    <t>Natural Gas</t>
  </si>
  <si>
    <t>Refinery Gas</t>
  </si>
  <si>
    <t>Coke Oven Gas</t>
  </si>
  <si>
    <t>Blast Furnace Gas</t>
  </si>
  <si>
    <t>Municipal Wastes</t>
  </si>
  <si>
    <t>kcal/kg</t>
  </si>
  <si>
    <t>-</t>
  </si>
  <si>
    <t>Other Primary Solid Biomass</t>
  </si>
  <si>
    <t>Other Liquid Biofuels</t>
  </si>
  <si>
    <t>Other Biogas</t>
  </si>
  <si>
    <t>Kerosene</t>
  </si>
  <si>
    <r>
      <rPr>
        <sz val="10"/>
        <color rgb="FF000000"/>
        <rFont val="微軟正黑體"/>
        <family val="2"/>
        <charset val="136"/>
      </rPr>
      <t>自產煤</t>
    </r>
  </si>
  <si>
    <r>
      <rPr>
        <sz val="10"/>
        <color rgb="FF000000"/>
        <rFont val="微軟正黑體"/>
        <family val="2"/>
        <charset val="136"/>
      </rPr>
      <t>原料煤</t>
    </r>
  </si>
  <si>
    <r>
      <rPr>
        <sz val="10"/>
        <color rgb="FF000000"/>
        <rFont val="微軟正黑體"/>
        <family val="2"/>
        <charset val="136"/>
      </rPr>
      <t>無煙煤</t>
    </r>
  </si>
  <si>
    <r>
      <rPr>
        <sz val="10"/>
        <color rgb="FF000000"/>
        <rFont val="微軟正黑體"/>
        <family val="2"/>
        <charset val="136"/>
      </rPr>
      <t>煙煤</t>
    </r>
  </si>
  <si>
    <r>
      <rPr>
        <sz val="10"/>
        <color rgb="FF000000"/>
        <rFont val="微軟正黑體"/>
        <family val="2"/>
        <charset val="136"/>
      </rPr>
      <t>褐煤</t>
    </r>
  </si>
  <si>
    <r>
      <rPr>
        <sz val="10"/>
        <color rgb="FF000000"/>
        <rFont val="微軟正黑體"/>
        <family val="2"/>
        <charset val="136"/>
      </rPr>
      <t>油頁岩</t>
    </r>
  </si>
  <si>
    <r>
      <rPr>
        <sz val="10"/>
        <color rgb="FF000000"/>
        <rFont val="微軟正黑體"/>
        <family val="2"/>
        <charset val="136"/>
      </rPr>
      <t>泥煤</t>
    </r>
  </si>
  <si>
    <r>
      <rPr>
        <sz val="10"/>
        <color rgb="FF000000"/>
        <rFont val="微軟正黑體"/>
        <family val="2"/>
        <charset val="136"/>
      </rPr>
      <t>煤球</t>
    </r>
  </si>
  <si>
    <r>
      <rPr>
        <sz val="10"/>
        <color rgb="FF000000"/>
        <rFont val="微軟正黑體"/>
        <family val="2"/>
        <charset val="136"/>
      </rPr>
      <t>焦炭</t>
    </r>
  </si>
  <si>
    <r>
      <rPr>
        <sz val="10"/>
        <color rgb="FF000000"/>
        <rFont val="微軟正黑體"/>
        <family val="2"/>
        <charset val="136"/>
      </rPr>
      <t>石油焦</t>
    </r>
  </si>
  <si>
    <r>
      <rPr>
        <sz val="10"/>
        <color rgb="FF000000"/>
        <rFont val="微軟正黑體"/>
        <family val="2"/>
        <charset val="136"/>
      </rPr>
      <t>航空燃油</t>
    </r>
  </si>
  <si>
    <r>
      <rPr>
        <sz val="10"/>
        <color rgb="FF000000"/>
        <rFont val="微軟正黑體"/>
        <family val="2"/>
        <charset val="136"/>
      </rPr>
      <t>原油</t>
    </r>
  </si>
  <si>
    <r>
      <rPr>
        <sz val="10"/>
        <color rgb="FF000000"/>
        <rFont val="微軟正黑體"/>
        <family val="2"/>
        <charset val="136"/>
      </rPr>
      <t>奧里油</t>
    </r>
  </si>
  <si>
    <r>
      <rPr>
        <sz val="10"/>
        <color rgb="FF000000"/>
        <rFont val="微軟正黑體"/>
        <family val="2"/>
        <charset val="136"/>
      </rPr>
      <t>煤油</t>
    </r>
  </si>
  <si>
    <r>
      <rPr>
        <sz val="10"/>
        <color rgb="FF000000"/>
        <rFont val="微軟正黑體"/>
        <family val="2"/>
        <charset val="136"/>
      </rPr>
      <t>頁岩油</t>
    </r>
  </si>
  <si>
    <r>
      <rPr>
        <sz val="10"/>
        <color rgb="FF000000"/>
        <rFont val="微軟正黑體"/>
        <family val="2"/>
        <charset val="136"/>
      </rPr>
      <t>柴油</t>
    </r>
  </si>
  <si>
    <r>
      <rPr>
        <sz val="10"/>
        <color rgb="FF000000"/>
        <rFont val="微軟正黑體"/>
        <family val="2"/>
        <charset val="136"/>
      </rPr>
      <t>車用汽油</t>
    </r>
  </si>
  <si>
    <r>
      <rPr>
        <sz val="10"/>
        <color rgb="FF000000"/>
        <rFont val="微軟正黑體"/>
        <family val="2"/>
        <charset val="136"/>
      </rPr>
      <t>液化石油氣</t>
    </r>
  </si>
  <si>
    <r>
      <rPr>
        <sz val="10"/>
        <color rgb="FF000000"/>
        <rFont val="微軟正黑體"/>
        <family val="2"/>
        <charset val="136"/>
      </rPr>
      <t>石油腦</t>
    </r>
  </si>
  <si>
    <r>
      <rPr>
        <sz val="10"/>
        <color rgb="FF000000"/>
        <rFont val="微軟正黑體"/>
        <family val="2"/>
        <charset val="136"/>
      </rPr>
      <t>柏油</t>
    </r>
  </si>
  <si>
    <r>
      <rPr>
        <sz val="10"/>
        <color rgb="FF000000"/>
        <rFont val="微軟正黑體"/>
        <family val="2"/>
        <charset val="136"/>
      </rPr>
      <t>潤滑油</t>
    </r>
  </si>
  <si>
    <r>
      <rPr>
        <sz val="10"/>
        <color rgb="FF000000"/>
        <rFont val="微軟正黑體"/>
        <family val="2"/>
        <charset val="136"/>
      </rPr>
      <t>其他油品</t>
    </r>
  </si>
  <si>
    <r>
      <rPr>
        <sz val="10"/>
        <color rgb="FF000000"/>
        <rFont val="微軟正黑體"/>
        <family val="2"/>
        <charset val="136"/>
      </rPr>
      <t>乙烷</t>
    </r>
  </si>
  <si>
    <r>
      <rPr>
        <sz val="10"/>
        <color rgb="FF000000"/>
        <rFont val="微軟正黑體"/>
        <family val="2"/>
        <charset val="136"/>
      </rPr>
      <t>天然氣</t>
    </r>
  </si>
  <si>
    <r>
      <rPr>
        <sz val="10"/>
        <color rgb="FF000000"/>
        <rFont val="微軟正黑體"/>
        <family val="2"/>
        <charset val="136"/>
      </rPr>
      <t>煉油氣</t>
    </r>
  </si>
  <si>
    <r>
      <rPr>
        <sz val="10"/>
        <color rgb="FF000000"/>
        <rFont val="微軟正黑體"/>
        <family val="2"/>
        <charset val="136"/>
      </rPr>
      <t>焦爐氣</t>
    </r>
  </si>
  <si>
    <r>
      <rPr>
        <sz val="10"/>
        <color rgb="FF000000"/>
        <rFont val="微軟正黑體"/>
        <family val="2"/>
        <charset val="136"/>
      </rPr>
      <t>高爐氣</t>
    </r>
  </si>
  <si>
    <r>
      <rPr>
        <sz val="10"/>
        <color rgb="FF000000"/>
        <rFont val="微軟正黑體"/>
        <family val="2"/>
        <charset val="136"/>
      </rPr>
      <t>其他燃料</t>
    </r>
  </si>
  <si>
    <r>
      <rPr>
        <sz val="10"/>
        <color rgb="FF000000"/>
        <rFont val="微軟正黑體"/>
        <family val="2"/>
        <charset val="136"/>
      </rPr>
      <t>一般廢棄物</t>
    </r>
  </si>
  <si>
    <r>
      <rPr>
        <sz val="10"/>
        <color rgb="FF000000"/>
        <rFont val="微軟正黑體"/>
        <family val="2"/>
        <charset val="136"/>
      </rPr>
      <t>其他固體生質燃料</t>
    </r>
  </si>
  <si>
    <r>
      <rPr>
        <sz val="10"/>
        <color rgb="FF000000"/>
        <rFont val="微軟正黑體"/>
        <family val="2"/>
        <charset val="136"/>
      </rPr>
      <t>其他液態生質燃料</t>
    </r>
  </si>
  <si>
    <r>
      <rPr>
        <sz val="10"/>
        <color rgb="FF000000"/>
        <rFont val="微軟正黑體"/>
        <family val="2"/>
        <charset val="136"/>
      </rPr>
      <t>其他氣態生質燃料</t>
    </r>
  </si>
  <si>
    <r>
      <rPr>
        <sz val="10"/>
        <color rgb="FF000000"/>
        <rFont val="微軟正黑體"/>
        <family val="2"/>
        <charset val="136"/>
      </rPr>
      <t>液化天然氣</t>
    </r>
  </si>
  <si>
    <r>
      <rPr>
        <sz val="10"/>
        <color rgb="FF000000"/>
        <rFont val="微軟正黑體"/>
        <family val="2"/>
        <charset val="136"/>
      </rPr>
      <t>－</t>
    </r>
  </si>
  <si>
    <t>Natural Gas Liquids</t>
  </si>
  <si>
    <t>Liquefied Petroleum Gases</t>
  </si>
  <si>
    <t>NA</t>
  </si>
  <si>
    <t>Liquefied Natural Gas</t>
  </si>
  <si>
    <t>排放型式</t>
    <phoneticPr fontId="1" type="noConversion"/>
  </si>
  <si>
    <t>固定</t>
    <phoneticPr fontId="1" type="noConversion"/>
  </si>
  <si>
    <t>移動</t>
    <phoneticPr fontId="1" type="noConversion"/>
  </si>
  <si>
    <t>製程</t>
    <phoneticPr fontId="1" type="noConversion"/>
  </si>
  <si>
    <t>逸散</t>
    <phoneticPr fontId="1" type="noConversion"/>
  </si>
  <si>
    <t>外購電力</t>
    <phoneticPr fontId="1" type="noConversion"/>
  </si>
  <si>
    <t>外購蒸氣</t>
    <phoneticPr fontId="1" type="noConversion"/>
  </si>
  <si>
    <t>NA</t>
    <phoneticPr fontId="1" type="noConversion"/>
  </si>
  <si>
    <t>單位</t>
    <phoneticPr fontId="1" type="noConversion"/>
  </si>
  <si>
    <t>公噸/公秉</t>
    <phoneticPr fontId="1" type="noConversion"/>
  </si>
  <si>
    <t>公噸/公噸</t>
    <phoneticPr fontId="1" type="noConversion"/>
  </si>
  <si>
    <t>公噸/工時</t>
    <phoneticPr fontId="1" type="noConversion"/>
  </si>
  <si>
    <t>公秉</t>
    <phoneticPr fontId="1" type="noConversion"/>
  </si>
  <si>
    <t>千立方公尺</t>
    <phoneticPr fontId="1" type="noConversion"/>
  </si>
  <si>
    <t>公噸</t>
    <phoneticPr fontId="1" type="noConversion"/>
  </si>
  <si>
    <t>千度</t>
    <phoneticPr fontId="1" type="noConversion"/>
  </si>
  <si>
    <t>工時</t>
    <phoneticPr fontId="1" type="noConversion"/>
  </si>
  <si>
    <t>公噸/千立方公尺</t>
    <phoneticPr fontId="1" type="noConversion"/>
  </si>
  <si>
    <t>公噸/千度</t>
    <phoneticPr fontId="1" type="noConversion"/>
  </si>
  <si>
    <r>
      <rPr>
        <b/>
        <sz val="10"/>
        <color theme="1"/>
        <rFont val="微軟正黑體"/>
        <family val="2"/>
        <charset val="136"/>
      </rPr>
      <t>排放源資料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</si>
  <si>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年活動數據資料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</si>
  <si>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#1-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</si>
  <si>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#2-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</si>
  <si>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#3-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</si>
  <si>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項次</t>
    </r>
    <phoneticPr fontId="1" type="noConversion"/>
  </si>
  <si>
    <r>
      <rPr>
        <b/>
        <sz val="10"/>
        <color theme="1"/>
        <rFont val="微軟正黑體"/>
        <family val="2"/>
        <charset val="136"/>
      </rPr>
      <t>原燃料或產品
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</si>
  <si>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</si>
  <si>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</si>
  <si>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數據來源
表單名稱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</si>
  <si>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保存單位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</si>
  <si>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</si>
  <si>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#1</t>
    </r>
    <phoneticPr fontId="1" type="noConversion"/>
  </si>
  <si>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</si>
  <si>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</si>
  <si>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係數來源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</si>
  <si>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</si>
  <si>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</si>
  <si>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排放當量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</si>
  <si>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#2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</si>
  <si>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#3</t>
    </r>
    <phoneticPr fontId="1" type="noConversion"/>
  </si>
  <si>
    <r>
      <rPr>
        <sz val="10"/>
        <color theme="1"/>
        <rFont val="微軟正黑體"/>
        <family val="2"/>
        <charset val="136"/>
      </rPr>
      <t>總計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</si>
  <si>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單一排放源
排放當量小計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</si>
  <si>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>單一排放源
排放占比</t>
    </r>
    <r>
      <rPr>
        <b/>
        <sz val="10"/>
        <color theme="1"/>
        <rFont val="Calibri"/>
        <family val="2"/>
      </rPr>
      <t>(%)</t>
    </r>
    <phoneticPr fontId="1" type="noConversion"/>
  </si>
  <si>
    <t>a</t>
  </si>
  <si>
    <t>b</t>
  </si>
  <si>
    <t>c</t>
  </si>
  <si>
    <t>d</t>
  </si>
  <si>
    <t>e</t>
  </si>
  <si>
    <t>f</t>
  </si>
  <si>
    <t>g</t>
  </si>
  <si>
    <t>ab</t>
  </si>
  <si>
    <t>ad</t>
  </si>
  <si>
    <t>ae</t>
  </si>
  <si>
    <t>af</t>
  </si>
  <si>
    <t>ag</t>
  </si>
  <si>
    <t>bc</t>
  </si>
  <si>
    <t>bd</t>
  </si>
  <si>
    <t>be</t>
  </si>
  <si>
    <t>bf</t>
  </si>
  <si>
    <t>bg</t>
  </si>
  <si>
    <t>cd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</si>
  <si>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</si>
  <si>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</si>
  <si>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</si>
  <si>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</si>
  <si>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</si>
  <si>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</si>
  <si>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</si>
  <si>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</si>
  <si>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</si>
  <si>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</si>
  <si>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</si>
  <si>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</si>
  <si>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</si>
  <si>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</si>
  <si>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</si>
  <si>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</si>
  <si>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</si>
  <si>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</si>
  <si>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</si>
  <si>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</si>
  <si>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</si>
  <si>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</si>
  <si>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</si>
  <si>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</si>
  <si>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</si>
  <si>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</si>
  <si>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</si>
  <si>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</si>
  <si>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</si>
  <si>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</si>
  <si>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</si>
  <si>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</si>
  <si>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</si>
  <si>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</si>
  <si>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</si>
  <si>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</si>
  <si>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</si>
  <si>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</si>
  <si>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</si>
  <si>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</si>
  <si>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r>
      <t>CO</t>
    </r>
    <r>
      <rPr>
        <b/>
        <vertAlign val="subscript"/>
        <sz val="10"/>
        <rFont val="Calibri"/>
        <family val="2"/>
      </rPr>
      <t>2</t>
    </r>
  </si>
  <si>
    <r>
      <t>CH</t>
    </r>
    <r>
      <rPr>
        <b/>
        <vertAlign val="subscript"/>
        <sz val="10"/>
        <rFont val="Calibri"/>
        <family val="2"/>
      </rPr>
      <t>4</t>
    </r>
  </si>
  <si>
    <r>
      <t>N</t>
    </r>
    <r>
      <rPr>
        <b/>
        <vertAlign val="subscript"/>
        <sz val="10"/>
        <rFont val="Calibri"/>
        <family val="2"/>
      </rPr>
      <t>2</t>
    </r>
    <r>
      <rPr>
        <b/>
        <sz val="10"/>
        <rFont val="Calibri"/>
        <family val="2"/>
      </rPr>
      <t>O</t>
    </r>
  </si>
  <si>
    <r>
      <t>HFC</t>
    </r>
    <r>
      <rPr>
        <b/>
        <vertAlign val="subscript"/>
        <sz val="10"/>
        <rFont val="Calibri"/>
        <family val="2"/>
      </rPr>
      <t>S</t>
    </r>
  </si>
  <si>
    <r>
      <t>PFC</t>
    </r>
    <r>
      <rPr>
        <b/>
        <vertAlign val="subscript"/>
        <sz val="10"/>
        <rFont val="Calibri"/>
        <family val="2"/>
      </rPr>
      <t>S</t>
    </r>
  </si>
  <si>
    <r>
      <t>SF</t>
    </r>
    <r>
      <rPr>
        <b/>
        <vertAlign val="subscript"/>
        <sz val="10"/>
        <rFont val="Calibri"/>
        <family val="2"/>
      </rPr>
      <t>6</t>
    </r>
  </si>
  <si>
    <r>
      <t>NF</t>
    </r>
    <r>
      <rPr>
        <b/>
        <vertAlign val="subscript"/>
        <sz val="10"/>
        <rFont val="Calibri"/>
        <family val="2"/>
      </rPr>
      <t>3</t>
    </r>
  </si>
  <si>
    <r>
      <rPr>
        <b/>
        <sz val="10"/>
        <color theme="1"/>
        <rFont val="微軟正黑體"/>
        <family val="2"/>
        <charset val="136"/>
      </rPr>
      <t>可能產生溫室氣體種類</t>
    </r>
    <phoneticPr fontId="1" type="noConversion"/>
  </si>
  <si>
    <r>
      <t xml:space="preserve">ISO14064-1:2018 Inventory categories
</t>
    </r>
    <r>
      <rPr>
        <b/>
        <sz val="10"/>
        <color theme="1"/>
        <rFont val="微軟正黑體"/>
        <family val="2"/>
        <charset val="136"/>
      </rPr>
      <t>排放類別</t>
    </r>
    <phoneticPr fontId="1" type="noConversion"/>
  </si>
  <si>
    <r>
      <t>CO</t>
    </r>
    <r>
      <rPr>
        <b/>
        <vertAlign val="subscript"/>
        <sz val="10"/>
        <color theme="1"/>
        <rFont val="Calibri"/>
        <family val="2"/>
      </rPr>
      <t>2</t>
    </r>
    <phoneticPr fontId="1" type="noConversion"/>
  </si>
  <si>
    <r>
      <t>CH</t>
    </r>
    <r>
      <rPr>
        <b/>
        <vertAlign val="subscript"/>
        <sz val="10"/>
        <color theme="1"/>
        <rFont val="Calibri"/>
        <family val="2"/>
      </rPr>
      <t>4</t>
    </r>
    <phoneticPr fontId="1" type="noConversion"/>
  </si>
  <si>
    <r>
      <t>N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O</t>
    </r>
    <phoneticPr fontId="1" type="noConversion"/>
  </si>
  <si>
    <r>
      <t>SF</t>
    </r>
    <r>
      <rPr>
        <b/>
        <vertAlign val="subscript"/>
        <sz val="10"/>
        <color theme="1"/>
        <rFont val="Calibri"/>
        <family val="2"/>
      </rPr>
      <t>6</t>
    </r>
    <phoneticPr fontId="1" type="noConversion"/>
  </si>
  <si>
    <r>
      <t>NF</t>
    </r>
    <r>
      <rPr>
        <b/>
        <vertAlign val="subscript"/>
        <sz val="10"/>
        <color theme="1"/>
        <rFont val="Calibri"/>
        <family val="2"/>
      </rPr>
      <t>3</t>
    </r>
    <phoneticPr fontId="1" type="noConversion"/>
  </si>
  <si>
    <t>人天</t>
    <phoneticPr fontId="1" type="noConversion"/>
  </si>
  <si>
    <t>公噸/人天</t>
    <phoneticPr fontId="1" type="noConversion"/>
  </si>
  <si>
    <t>公斤</t>
    <phoneticPr fontId="1" type="noConversion"/>
  </si>
  <si>
    <t>公噸/公斤</t>
    <phoneticPr fontId="1" type="noConversion"/>
  </si>
  <si>
    <t>統一編號</t>
    <phoneticPr fontId="1" type="noConversion"/>
  </si>
  <si>
    <t>企業規模</t>
    <phoneticPr fontId="1" type="noConversion"/>
  </si>
  <si>
    <t>工業區</t>
    <phoneticPr fontId="1" type="noConversion"/>
  </si>
  <si>
    <r>
      <t>溫室氣體排放係數管理表</t>
    </r>
    <r>
      <rPr>
        <b/>
        <sz val="10"/>
        <color rgb="FFFF0000"/>
        <rFont val="微軟正黑體"/>
        <family val="2"/>
        <charset val="136"/>
      </rPr>
      <t>6.0.4</t>
    </r>
    <r>
      <rPr>
        <b/>
        <sz val="10"/>
        <color rgb="FF000066"/>
        <rFont val="微軟正黑體"/>
        <family val="2"/>
        <charset val="136"/>
      </rPr>
      <t>版</t>
    </r>
  </si>
  <si>
    <r>
      <rPr>
        <b/>
        <sz val="10"/>
        <color rgb="FF000080"/>
        <rFont val="微軟正黑體"/>
        <family val="2"/>
        <charset val="136"/>
      </rPr>
      <t>範疇別</t>
    </r>
  </si>
  <si>
    <r>
      <rPr>
        <b/>
        <sz val="10"/>
        <color rgb="FF000080"/>
        <rFont val="微軟正黑體"/>
        <family val="2"/>
        <charset val="136"/>
      </rPr>
      <t>排放型式</t>
    </r>
  </si>
  <si>
    <r>
      <rPr>
        <b/>
        <sz val="10"/>
        <color rgb="FF000080"/>
        <rFont val="微軟正黑體"/>
        <family val="2"/>
        <charset val="136"/>
      </rPr>
      <t>溫室</t>
    </r>
    <r>
      <rPr>
        <b/>
        <sz val="10"/>
        <color rgb="FF000080"/>
        <rFont val="微軟正黑體"/>
        <family val="2"/>
        <charset val="136"/>
      </rPr>
      <t xml:space="preserve">
氣體</t>
    </r>
  </si>
  <si>
    <r>
      <rPr>
        <b/>
        <sz val="10"/>
        <color rgb="FF000080"/>
        <rFont val="微軟正黑體"/>
        <family val="2"/>
        <charset val="136"/>
      </rPr>
      <t>燃料別</t>
    </r>
  </si>
  <si>
    <r>
      <t>IPCC</t>
    </r>
    <r>
      <rPr>
        <b/>
        <sz val="10"/>
        <color rgb="FF000080"/>
        <rFont val="微軟正黑體"/>
        <family val="2"/>
        <charset val="136"/>
      </rPr>
      <t>原始係數名稱</t>
    </r>
  </si>
  <si>
    <r>
      <t>F=C×4186.8×10</t>
    </r>
    <r>
      <rPr>
        <b/>
        <vertAlign val="superscript"/>
        <sz val="10"/>
        <color rgb="FF000080"/>
        <rFont val="Traditional Arabic"/>
        <family val="1"/>
        <charset val="178"/>
      </rPr>
      <t>-9</t>
    </r>
    <r>
      <rPr>
        <b/>
        <sz val="10"/>
        <color rgb="FF000080"/>
        <rFont val="Traditional Arabic"/>
        <family val="1"/>
        <charset val="178"/>
      </rPr>
      <t>×10</t>
    </r>
    <r>
      <rPr>
        <b/>
        <vertAlign val="superscript"/>
        <sz val="10"/>
        <color rgb="FF000080"/>
        <rFont val="Traditional Arabic"/>
        <family val="1"/>
        <charset val="178"/>
      </rPr>
      <t>-3</t>
    </r>
  </si>
  <si>
    <r>
      <rPr>
        <b/>
        <sz val="10"/>
        <color rgb="FF000080"/>
        <rFont val="微軟正黑體"/>
        <family val="2"/>
        <charset val="136"/>
      </rPr>
      <t>熱值資料來源</t>
    </r>
  </si>
  <si>
    <t>熱值資料來源</t>
  </si>
  <si>
    <t>排放係數不確定數值來源</t>
  </si>
  <si>
    <r>
      <rPr>
        <b/>
        <sz val="10"/>
        <color rgb="FF000080"/>
        <rFont val="微軟正黑體"/>
        <family val="2"/>
        <charset val="136"/>
      </rPr>
      <t>備註</t>
    </r>
  </si>
  <si>
    <r>
      <rPr>
        <b/>
        <sz val="10"/>
        <color rgb="FF000080"/>
        <rFont val="微軟正黑體"/>
        <family val="2"/>
        <charset val="136"/>
      </rPr>
      <t>名稱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</si>
  <si>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</t>
    </r>
    <r>
      <rPr>
        <b/>
        <sz val="10"/>
        <color rgb="FF000080"/>
        <rFont val="微軟正黑體"/>
        <family val="2"/>
        <charset val="136"/>
      </rPr>
      <t>排放係數</t>
    </r>
  </si>
  <si>
    <r>
      <rPr>
        <b/>
        <sz val="10"/>
        <color rgb="FF000080"/>
        <rFont val="微軟正黑體"/>
        <family val="2"/>
        <charset val="136"/>
      </rPr>
      <t>碳氧化因子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</si>
  <si>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</si>
  <si>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IPCC 2006</t>
    </r>
    <r>
      <rPr>
        <b/>
        <sz val="10"/>
        <color rgb="FF000080"/>
        <rFont val="微軟正黑體"/>
        <family val="2"/>
        <charset val="136"/>
      </rPr>
      <t>年</t>
    </r>
    <r>
      <rPr>
        <b/>
        <sz val="10"/>
        <color rgb="FF000080"/>
        <rFont val="Traditional Arabic"/>
        <family val="1"/>
        <charset val="178"/>
      </rPr>
      <t>CO2</t>
    </r>
    <r>
      <rPr>
        <b/>
        <sz val="10"/>
        <color rgb="FF000080"/>
        <rFont val="微軟正黑體"/>
        <family val="2"/>
        <charset val="136"/>
      </rPr>
      <t>排放係數之不確定性</t>
    </r>
  </si>
  <si>
    <r>
      <rPr>
        <b/>
        <sz val="10"/>
        <color rgb="FF000080"/>
        <rFont val="微軟正黑體"/>
        <family val="2"/>
        <charset val="136"/>
      </rPr>
      <t>原始係數</t>
    </r>
  </si>
  <si>
    <r>
      <rPr>
        <b/>
        <sz val="10"/>
        <color rgb="FF000080"/>
        <rFont val="微軟正黑體"/>
        <family val="2"/>
        <charset val="136"/>
      </rPr>
      <t>我國熱值</t>
    </r>
  </si>
  <si>
    <r>
      <rPr>
        <b/>
        <sz val="10"/>
        <color rgb="FF000080"/>
        <rFont val="微軟正黑體"/>
        <family val="2"/>
        <charset val="136"/>
      </rPr>
      <t>建議排放係數</t>
    </r>
  </si>
  <si>
    <r>
      <rPr>
        <b/>
        <sz val="10"/>
        <color rgb="FF000080"/>
        <rFont val="微軟正黑體"/>
        <family val="2"/>
        <charset val="136"/>
      </rPr>
      <t>建議排放係數之不確定性</t>
    </r>
  </si>
  <si>
    <r>
      <t>C</t>
    </r>
    <r>
      <rPr>
        <b/>
        <sz val="10"/>
        <color rgb="FF000080"/>
        <rFont val="微軟正黑體"/>
        <family val="2"/>
        <charset val="136"/>
      </rPr>
      <t>排放</t>
    </r>
    <r>
      <rPr>
        <b/>
        <sz val="10"/>
        <color rgb="FF000080"/>
        <rFont val="微軟正黑體"/>
        <family val="2"/>
        <charset val="136"/>
      </rPr>
      <t xml:space="preserve">
係數</t>
    </r>
  </si>
  <si>
    <r>
      <rPr>
        <b/>
        <sz val="10"/>
        <color rgb="FF000080"/>
        <rFont val="微軟正黑體"/>
        <family val="2"/>
        <charset val="136"/>
      </rPr>
      <t>單位</t>
    </r>
  </si>
  <si>
    <r>
      <t>CO2</t>
    </r>
    <r>
      <rPr>
        <b/>
        <sz val="10"/>
        <color rgb="FF000080"/>
        <rFont val="微軟正黑體"/>
        <family val="2"/>
        <charset val="136"/>
      </rPr>
      <t>排放係數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</si>
  <si>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信賴區間下限</t>
    </r>
  </si>
  <si>
    <r>
      <t>95%</t>
    </r>
    <r>
      <rPr>
        <b/>
        <sz val="10"/>
        <color rgb="FF000080"/>
        <rFont val="微軟正黑體"/>
        <family val="2"/>
        <charset val="136"/>
      </rPr>
      <t>信賴區間上限</t>
    </r>
  </si>
  <si>
    <r>
      <rPr>
        <b/>
        <sz val="10"/>
        <color rgb="FF000080"/>
        <rFont val="微軟正黑體"/>
        <family val="2"/>
        <charset val="136"/>
      </rPr>
      <t>熱值</t>
    </r>
  </si>
  <si>
    <r>
      <rPr>
        <b/>
        <sz val="10"/>
        <color rgb="FF000080"/>
        <rFont val="微軟正黑體"/>
        <family val="2"/>
        <charset val="136"/>
      </rPr>
      <t>熱值單位</t>
    </r>
  </si>
  <si>
    <r>
      <rPr>
        <b/>
        <sz val="10"/>
        <color rgb="FF000080"/>
        <rFont val="微軟正黑體"/>
        <family val="2"/>
        <charset val="136"/>
      </rPr>
      <t>數值</t>
    </r>
  </si>
  <si>
    <r>
      <rPr>
        <sz val="10"/>
        <color rgb="FF000000"/>
        <rFont val="微軟正黑體"/>
        <family val="2"/>
        <charset val="136"/>
      </rPr>
      <t>範疇</t>
    </r>
    <r>
      <rPr>
        <sz val="10"/>
        <color rgb="FF000000"/>
        <rFont val="Traditional Arabic"/>
        <family val="1"/>
        <charset val="178"/>
      </rPr>
      <t>1</t>
    </r>
  </si>
  <si>
    <r>
      <rPr>
        <sz val="10"/>
        <color rgb="FF000000"/>
        <rFont val="微軟正黑體"/>
        <family val="2"/>
        <charset val="136"/>
      </rPr>
      <t>固定</t>
    </r>
    <r>
      <rPr>
        <sz val="10"/>
        <color rgb="FF000000"/>
        <rFont val="Traditional Arabic"/>
        <family val="1"/>
        <charset val="178"/>
      </rPr>
      <t xml:space="preserve"> (E)</t>
    </r>
  </si>
  <si>
    <t>CH4</t>
  </si>
  <si>
    <t>kgCH4/TJ</t>
  </si>
  <si>
    <t>Kg CH4/Kcal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</si>
  <si>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1</t>
    </r>
  </si>
  <si>
    <t>KgCH4/L</t>
  </si>
  <si>
    <t>能源局公告熱值</t>
  </si>
  <si>
    <r>
      <t xml:space="preserve">IPCC 2006 </t>
    </r>
    <r>
      <rPr>
        <sz val="10"/>
        <color rgb="FF000000"/>
        <rFont val="細明體"/>
        <family val="3"/>
        <charset val="136"/>
      </rPr>
      <t>建議數值</t>
    </r>
  </si>
  <si>
    <t>CO2</t>
  </si>
  <si>
    <t>kgCO2/TJ</t>
  </si>
  <si>
    <t>Kg CO2/Kcal</t>
  </si>
  <si>
    <t>KgCO2/L</t>
  </si>
  <si>
    <t>N2O</t>
  </si>
  <si>
    <t>kgN2O/TJ</t>
  </si>
  <si>
    <t>Kg N2O/Kcal</t>
  </si>
  <si>
    <t>KgN2O/L</t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</si>
  <si>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</si>
  <si>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</si>
  <si>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乳狀瀝青，柏油</t>
    </r>
  </si>
  <si>
    <r>
      <rPr>
        <sz val="10"/>
        <color rgb="FF000000"/>
        <rFont val="微軟正黑體"/>
        <family val="2"/>
        <charset val="136"/>
      </rPr>
      <t>１～３號重油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</si>
  <si>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</si>
  <si>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微軟正黑體"/>
        <family val="2"/>
        <charset val="136"/>
      </rPr>
      <t xml:space="preserve">
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</si>
  <si>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４～６號重油</t>
    </r>
  </si>
  <si>
    <t>KgCH4/Kg</t>
  </si>
  <si>
    <t>KgCO2/Kg</t>
  </si>
  <si>
    <t>KgN2O/Kg</t>
  </si>
  <si>
    <r>
      <rPr>
        <sz val="10"/>
        <color rgb="FF000000"/>
        <rFont val="微軟正黑體"/>
        <family val="2"/>
        <charset val="136"/>
      </rPr>
      <t>高級汽油</t>
    </r>
  </si>
  <si>
    <r>
      <t>92</t>
    </r>
    <r>
      <rPr>
        <sz val="10"/>
        <color rgb="FF000000"/>
        <rFont val="微軟正黑體"/>
        <family val="2"/>
        <charset val="136"/>
      </rPr>
      <t>無鉛汽油</t>
    </r>
  </si>
  <si>
    <r>
      <t>95</t>
    </r>
    <r>
      <rPr>
        <sz val="10"/>
        <color rgb="FF000000"/>
        <rFont val="微軟正黑體"/>
        <family val="2"/>
        <charset val="136"/>
      </rPr>
      <t>無鉛汽油</t>
    </r>
  </si>
  <si>
    <r>
      <t>98</t>
    </r>
    <r>
      <rPr>
        <sz val="10"/>
        <color rgb="FF000000"/>
        <rFont val="微軟正黑體"/>
        <family val="2"/>
        <charset val="136"/>
      </rPr>
      <t>無鉛汽油</t>
    </r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</si>
  <si>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重油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</si>
  <si>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二行程無鉛汽油</t>
    </r>
  </si>
  <si>
    <r>
      <rPr>
        <sz val="10"/>
        <color rgb="FF000000"/>
        <rFont val="微軟正黑體"/>
        <family val="2"/>
        <charset val="136"/>
      </rPr>
      <t>煤塔</t>
    </r>
  </si>
  <si>
    <r>
      <rPr>
        <sz val="10"/>
        <color rgb="FF000000"/>
        <rFont val="微軟正黑體"/>
        <family val="2"/>
        <charset val="136"/>
      </rPr>
      <t>其他汽油</t>
    </r>
  </si>
  <si>
    <t>NULL</t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</si>
  <si>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2</t>
    </r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</si>
  <si>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</si>
  <si>
    <r>
      <rPr>
        <sz val="10"/>
        <color rgb="FF000000"/>
        <rFont val="微軟正黑體"/>
        <family val="2"/>
        <charset val="136"/>
      </rPr>
      <t>煉焦爐氣</t>
    </r>
  </si>
  <si>
    <r>
      <t>Kcal/M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</si>
  <si>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KgCH4/M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</si>
  <si>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KgCO2/M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</si>
  <si>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t>KgN2O/M</t>
    </r>
    <r>
      <rPr>
        <vertAlign val="superscript"/>
        <sz val="10"/>
        <color rgb="FF000000"/>
        <rFont val="Traditional Arabic"/>
        <family val="1"/>
        <charset val="178"/>
      </rPr>
      <t>3</t>
    </r>
  </si>
  <si>
    <r>
      <rPr>
        <sz val="10"/>
        <color rgb="FF000000"/>
        <rFont val="微軟正黑體"/>
        <family val="2"/>
        <charset val="136"/>
      </rPr>
      <t>精煉油氣</t>
    </r>
  </si>
  <si>
    <r>
      <t>9906</t>
    </r>
    <r>
      <rPr>
        <sz val="10"/>
        <color rgb="FF000000"/>
        <rFont val="微軟正黑體"/>
        <family val="2"/>
        <charset val="136"/>
      </rPr>
      <t>更新熱值</t>
    </r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</si>
  <si>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</si>
  <si>
    <r>
      <rPr>
        <sz val="10"/>
        <color rgb="FF000000"/>
        <rFont val="微軟正黑體"/>
        <family val="2"/>
        <charset val="136"/>
      </rPr>
      <t>半煙煤</t>
    </r>
  </si>
  <si>
    <t>亞煙煤</t>
  </si>
  <si>
    <r>
      <rPr>
        <sz val="10"/>
        <color rgb="FF000000"/>
        <rFont val="微軟正黑體"/>
        <family val="2"/>
        <charset val="136"/>
      </rPr>
      <t>燃料－石油腦</t>
    </r>
  </si>
  <si>
    <r>
      <rPr>
        <sz val="10"/>
        <color rgb="FF000000"/>
        <rFont val="微軟正黑體"/>
        <family val="2"/>
        <charset val="136"/>
      </rPr>
      <t>燃料－油頁岩</t>
    </r>
  </si>
  <si>
    <r>
      <rPr>
        <sz val="10"/>
        <color rgb="FF000000"/>
        <rFont val="微軟正黑體"/>
        <family val="2"/>
        <charset val="136"/>
      </rPr>
      <t>燃料－原料煤</t>
    </r>
  </si>
  <si>
    <r>
      <rPr>
        <sz val="10"/>
        <color rgb="FF000000"/>
        <rFont val="微軟正黑體"/>
        <family val="2"/>
        <charset val="136"/>
      </rPr>
      <t>燃料－自產煤</t>
    </r>
  </si>
  <si>
    <r>
      <rPr>
        <sz val="10"/>
        <color rgb="FF000000"/>
        <rFont val="微軟正黑體"/>
        <family val="2"/>
        <charset val="136"/>
      </rPr>
      <t>燃料－煤氣</t>
    </r>
  </si>
  <si>
    <r>
      <rPr>
        <sz val="10"/>
        <color rgb="FF000000"/>
        <rFont val="微軟正黑體"/>
        <family val="2"/>
        <charset val="136"/>
      </rPr>
      <t>公噸</t>
    </r>
    <r>
      <rPr>
        <sz val="10"/>
        <color rgb="FF000000"/>
        <rFont val="Traditional Arabic"/>
        <family val="1"/>
        <charset val="178"/>
      </rPr>
      <t>/</t>
    </r>
    <r>
      <rPr>
        <sz val="10"/>
        <color rgb="FF000000"/>
        <rFont val="微軟正黑體"/>
        <family val="2"/>
        <charset val="136"/>
      </rPr>
      <t>千立方公尺</t>
    </r>
  </si>
  <si>
    <r>
      <rPr>
        <sz val="10"/>
        <color rgb="FF000000"/>
        <rFont val="微軟正黑體"/>
        <family val="2"/>
        <charset val="136"/>
      </rPr>
      <t>燃料－頁岩油</t>
    </r>
  </si>
  <si>
    <r>
      <rPr>
        <sz val="10"/>
        <color rgb="FF000000"/>
        <rFont val="微軟正黑體"/>
        <family val="2"/>
        <charset val="136"/>
      </rPr>
      <t>燃料－奧里油</t>
    </r>
  </si>
  <si>
    <r>
      <rPr>
        <sz val="10"/>
        <color rgb="FF000000"/>
        <rFont val="微軟正黑體"/>
        <family val="2"/>
        <charset val="136"/>
      </rPr>
      <t>廢棄物－一般事業廢棄物</t>
    </r>
  </si>
  <si>
    <r>
      <rPr>
        <sz val="10"/>
        <color rgb="FF000000"/>
        <rFont val="微軟正黑體"/>
        <family val="2"/>
        <charset val="136"/>
      </rPr>
      <t>註</t>
    </r>
    <r>
      <rPr>
        <sz val="10"/>
        <color rgb="FF000000"/>
        <rFont val="Traditional Arabic"/>
        <family val="1"/>
        <charset val="178"/>
      </rPr>
      <t>3</t>
    </r>
  </si>
  <si>
    <t>環保署環境統計年報(引用2017年熱值)</t>
  </si>
  <si>
    <r>
      <t>一般廢棄物熱值更新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細明體"/>
        <family val="3"/>
        <charset val="136"/>
      </rPr>
      <t>資料來自於環境資源資料庫</t>
    </r>
    <r>
      <rPr>
        <sz val="10"/>
        <color rgb="FF000000"/>
        <rFont val="Traditional Arabic"/>
        <family val="1"/>
        <charset val="178"/>
      </rPr>
      <t>,107</t>
    </r>
    <r>
      <rPr>
        <sz val="10"/>
        <color rgb="FF000000"/>
        <rFont val="細明體"/>
        <family val="3"/>
        <charset val="136"/>
      </rPr>
      <t>年</t>
    </r>
    <r>
      <rPr>
        <sz val="10"/>
        <color rgb="FF000000"/>
        <rFont val="Traditional Arabic"/>
        <family val="1"/>
        <charset val="178"/>
      </rPr>
      <t>8</t>
    </r>
    <r>
      <rPr>
        <sz val="10"/>
        <color rgb="FF000000"/>
        <rFont val="細明體"/>
        <family val="3"/>
        <charset val="136"/>
      </rPr>
      <t>月出版</t>
    </r>
    <r>
      <rPr>
        <sz val="10"/>
        <color rgb="FF000000"/>
        <rFont val="Traditional Arabic"/>
        <family val="1"/>
        <charset val="178"/>
      </rPr>
      <t>)</t>
    </r>
  </si>
  <si>
    <r>
      <rPr>
        <sz val="10"/>
        <color rgb="FF000000"/>
        <rFont val="微軟正黑體"/>
        <family val="2"/>
        <charset val="136"/>
      </rPr>
      <t>其他固態生質燃料</t>
    </r>
  </si>
  <si>
    <r>
      <rPr>
        <sz val="10"/>
        <color rgb="FF000000"/>
        <rFont val="微軟正黑體"/>
        <family val="2"/>
        <charset val="136"/>
      </rPr>
      <t>移動</t>
    </r>
    <r>
      <rPr>
        <sz val="10"/>
        <color rgb="FF000000"/>
        <rFont val="Traditional Arabic"/>
        <family val="1"/>
        <charset val="178"/>
      </rPr>
      <t xml:space="preserve"> (T)</t>
    </r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</si>
  <si>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</si>
  <si>
    <r>
      <rPr>
        <b/>
        <sz val="12"/>
        <color rgb="FF000000"/>
        <rFont val="微軟正黑體"/>
        <family val="2"/>
        <charset val="136"/>
      </rPr>
      <t>溫室氣體化學式</t>
    </r>
  </si>
  <si>
    <r>
      <rPr>
        <b/>
        <sz val="12"/>
        <color rgb="FF000000"/>
        <rFont val="微軟正黑體"/>
        <family val="2"/>
        <charset val="136"/>
      </rPr>
      <t>引用數值</t>
    </r>
  </si>
  <si>
    <r>
      <t>IPCC</t>
    </r>
    <r>
      <rPr>
        <b/>
        <sz val="12"/>
        <color rgb="FF000000"/>
        <rFont val="微軟正黑體"/>
        <family val="2"/>
        <charset val="136"/>
      </rPr>
      <t>第二次評估報告</t>
    </r>
    <r>
      <rPr>
        <b/>
        <sz val="12"/>
        <color rgb="FF000000"/>
        <rFont val="Times New Roman"/>
        <family val="1"/>
      </rPr>
      <t>(1995)</t>
    </r>
  </si>
  <si>
    <r>
      <t>IPCC</t>
    </r>
    <r>
      <rPr>
        <b/>
        <sz val="12"/>
        <color rgb="FF000000"/>
        <rFont val="微軟正黑體"/>
        <family val="2"/>
        <charset val="136"/>
      </rPr>
      <t>第三次評估報告</t>
    </r>
    <r>
      <rPr>
        <b/>
        <sz val="12"/>
        <color rgb="FF000000"/>
        <rFont val="Times New Roman"/>
        <family val="1"/>
      </rPr>
      <t>(2001)</t>
    </r>
  </si>
  <si>
    <r>
      <t>IPCC</t>
    </r>
    <r>
      <rPr>
        <b/>
        <sz val="12"/>
        <color rgb="FF000000"/>
        <rFont val="微軟正黑體"/>
        <family val="2"/>
        <charset val="136"/>
      </rPr>
      <t>第四次評估報告</t>
    </r>
    <r>
      <rPr>
        <b/>
        <sz val="12"/>
        <color rgb="FF000000"/>
        <rFont val="Times New Roman"/>
        <family val="1"/>
      </rPr>
      <t>(2007)</t>
    </r>
  </si>
  <si>
    <r>
      <t>IPCC</t>
    </r>
    <r>
      <rPr>
        <b/>
        <sz val="12"/>
        <color rgb="FF000000"/>
        <rFont val="微軟正黑體"/>
        <family val="2"/>
        <charset val="136"/>
      </rPr>
      <t>第五次評估報告</t>
    </r>
    <r>
      <rPr>
        <b/>
        <sz val="12"/>
        <color rgb="FF000000"/>
        <rFont val="Times New Roman"/>
        <family val="1"/>
      </rPr>
      <t>(2013)</t>
    </r>
  </si>
  <si>
    <r>
      <t>IPCC</t>
    </r>
    <r>
      <rPr>
        <b/>
        <sz val="12"/>
        <color rgb="FF000000"/>
        <rFont val="微軟正黑體"/>
        <family val="2"/>
        <charset val="136"/>
      </rPr>
      <t>第六次評估報告</t>
    </r>
    <r>
      <rPr>
        <b/>
        <sz val="12"/>
        <color rgb="FF000000"/>
        <rFont val="Times New Roman"/>
        <family val="1"/>
      </rPr>
      <t>(2021)</t>
    </r>
  </si>
  <si>
    <r>
      <rPr>
        <b/>
        <sz val="12"/>
        <color rgb="FF000000"/>
        <rFont val="微軟正黑體"/>
        <family val="2"/>
        <charset val="136"/>
      </rPr>
      <t>資料來源</t>
    </r>
  </si>
  <si>
    <r>
      <t>CO2</t>
    </r>
    <r>
      <rPr>
        <sz val="12"/>
        <color rgb="FF000000"/>
        <rFont val="微軟正黑體"/>
        <family val="2"/>
        <charset val="136"/>
      </rPr>
      <t>二氧化碳</t>
    </r>
  </si>
  <si>
    <r>
      <t>CH4</t>
    </r>
    <r>
      <rPr>
        <sz val="12"/>
        <color rgb="FF000000"/>
        <rFont val="微軟正黑體"/>
        <family val="2"/>
        <charset val="136"/>
      </rPr>
      <t>甲烷</t>
    </r>
  </si>
  <si>
    <r>
      <t>N2O</t>
    </r>
    <r>
      <rPr>
        <sz val="12"/>
        <color rgb="FF000000"/>
        <rFont val="微軟正黑體"/>
        <family val="2"/>
        <charset val="136"/>
      </rPr>
      <t>氧化亞氮</t>
    </r>
  </si>
  <si>
    <r>
      <t>HFC-23/R-23</t>
    </r>
    <r>
      <rPr>
        <sz val="12"/>
        <color rgb="FF000000"/>
        <rFont val="微軟正黑體"/>
        <family val="2"/>
        <charset val="136"/>
      </rPr>
      <t>三氟甲烷，</t>
    </r>
    <r>
      <rPr>
        <sz val="12"/>
        <color rgb="FF000000"/>
        <rFont val="Times New Roman"/>
        <family val="1"/>
      </rPr>
      <t>CHF3</t>
    </r>
  </si>
  <si>
    <r>
      <t>HFC-32/R-32</t>
    </r>
    <r>
      <rPr>
        <sz val="12"/>
        <color rgb="FF000000"/>
        <rFont val="微軟正黑體"/>
        <family val="2"/>
        <charset val="136"/>
      </rPr>
      <t>二氟甲烷，</t>
    </r>
    <r>
      <rPr>
        <sz val="12"/>
        <color rgb="FF000000"/>
        <rFont val="Times New Roman"/>
        <family val="1"/>
      </rPr>
      <t>CH2F2</t>
    </r>
  </si>
  <si>
    <r>
      <t>HFC-41</t>
    </r>
    <r>
      <rPr>
        <sz val="12"/>
        <color rgb="FF000000"/>
        <rFont val="微軟正黑體"/>
        <family val="2"/>
        <charset val="136"/>
      </rPr>
      <t>一氟甲烷，</t>
    </r>
    <r>
      <rPr>
        <sz val="12"/>
        <color rgb="FF000000"/>
        <rFont val="Times New Roman"/>
        <family val="1"/>
      </rPr>
      <t>CH3F</t>
    </r>
  </si>
  <si>
    <r>
      <t>HFC-125/R-125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1,1,1,2,2-</t>
    </r>
    <r>
      <rPr>
        <sz val="12"/>
        <color rgb="FF000000"/>
        <rFont val="微軟正黑體"/>
        <family val="2"/>
        <charset val="136"/>
      </rPr>
      <t>五氟乙烷，</t>
    </r>
    <r>
      <rPr>
        <sz val="12"/>
        <color rgb="FF000000"/>
        <rFont val="Times New Roman"/>
        <family val="1"/>
      </rPr>
      <t>C2HF5</t>
    </r>
  </si>
  <si>
    <r>
      <t>HFC-134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</si>
  <si>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HFC-134a/R-134a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1,1,1,2-</t>
    </r>
    <r>
      <rPr>
        <sz val="12"/>
        <color rgb="FF000000"/>
        <rFont val="微軟正黑體"/>
        <family val="2"/>
        <charset val="136"/>
      </rPr>
      <t>四氟乙烷，</t>
    </r>
    <r>
      <rPr>
        <sz val="12"/>
        <color rgb="FF000000"/>
        <rFont val="Times New Roman"/>
        <family val="1"/>
      </rPr>
      <t>C2H2F4</t>
    </r>
  </si>
  <si>
    <r>
      <t>HFC-143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CHF2CH2F</t>
    </r>
  </si>
  <si>
    <r>
      <t>HFC-143a/R-143a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1,1,1-</t>
    </r>
    <r>
      <rPr>
        <sz val="12"/>
        <color rgb="FF000000"/>
        <rFont val="微軟正黑體"/>
        <family val="2"/>
        <charset val="136"/>
      </rPr>
      <t>三氟乙烷，</t>
    </r>
    <r>
      <rPr>
        <sz val="12"/>
        <color rgb="FF000000"/>
        <rFont val="Times New Roman"/>
        <family val="1"/>
      </rPr>
      <t>C2H3F3</t>
    </r>
  </si>
  <si>
    <r>
      <t>HFC-152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1,2-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CH2FCH2F</t>
    </r>
  </si>
  <si>
    <r>
      <rPr>
        <sz val="12"/>
        <color rgb="FF000000"/>
        <rFont val="微軟正黑體"/>
        <family val="2"/>
        <charset val="136"/>
      </rPr>
      <t>─</t>
    </r>
  </si>
  <si>
    <r>
      <t>HFC-152a/R-152a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1,1-</t>
    </r>
    <r>
      <rPr>
        <sz val="12"/>
        <color rgb="FF000000"/>
        <rFont val="微軟正黑體"/>
        <family val="2"/>
        <charset val="136"/>
      </rPr>
      <t>二氟乙烷，</t>
    </r>
    <r>
      <rPr>
        <sz val="12"/>
        <color rgb="FF000000"/>
        <rFont val="Times New Roman"/>
        <family val="1"/>
      </rPr>
      <t>C2H4F2</t>
    </r>
  </si>
  <si>
    <r>
      <t>HFC-161</t>
    </r>
    <r>
      <rPr>
        <sz val="12"/>
        <color rgb="FF000000"/>
        <rFont val="微軟正黑體"/>
        <family val="2"/>
        <charset val="136"/>
      </rPr>
      <t>，一氟乙烷，</t>
    </r>
    <r>
      <rPr>
        <sz val="12"/>
        <color rgb="FF000000"/>
        <rFont val="Times New Roman"/>
        <family val="1"/>
      </rPr>
      <t>CH3CH2F</t>
    </r>
  </si>
  <si>
    <r>
      <t>HFC-227ea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1,1,1,2,3,3,3-</t>
    </r>
    <r>
      <rPr>
        <sz val="12"/>
        <color rgb="FF000000"/>
        <rFont val="微軟正黑體"/>
        <family val="2"/>
        <charset val="136"/>
      </rPr>
      <t>七氟丙烷，</t>
    </r>
    <r>
      <rPr>
        <sz val="12"/>
        <color rgb="FF000000"/>
        <rFont val="Times New Roman"/>
        <family val="1"/>
      </rPr>
      <t>CF3CHFCF3</t>
    </r>
  </si>
  <si>
    <r>
      <t>HFC-236cb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CH2FCF2CF3</t>
    </r>
  </si>
  <si>
    <r>
      <t>HFC-236ea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CHF2CHFCF3</t>
    </r>
  </si>
  <si>
    <r>
      <t>HFC-236fa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1,1,1,3,3,3-</t>
    </r>
    <r>
      <rPr>
        <sz val="12"/>
        <color rgb="FF000000"/>
        <rFont val="微軟正黑體"/>
        <family val="2"/>
        <charset val="136"/>
      </rPr>
      <t>六氟丙烷，</t>
    </r>
    <r>
      <rPr>
        <sz val="12"/>
        <color rgb="FF000000"/>
        <rFont val="Times New Roman"/>
        <family val="1"/>
      </rPr>
      <t>C3H2F6</t>
    </r>
  </si>
  <si>
    <r>
      <t>HFC-245ca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1,1,2,2,3-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CH2FCF2CHF2</t>
    </r>
  </si>
  <si>
    <r>
      <t>HFC-245fa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五氟丙烷，</t>
    </r>
    <r>
      <rPr>
        <sz val="12"/>
        <color rgb="FF000000"/>
        <rFont val="Times New Roman"/>
        <family val="1"/>
      </rPr>
      <t>CHF2CH2CF3</t>
    </r>
  </si>
  <si>
    <r>
      <t>HFC-365mfc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1,1,1,3,3-</t>
    </r>
    <r>
      <rPr>
        <sz val="12"/>
        <color rgb="FF000000"/>
        <rFont val="微軟正黑體"/>
        <family val="2"/>
        <charset val="136"/>
      </rPr>
      <t>五氟丁烷，</t>
    </r>
    <r>
      <rPr>
        <sz val="12"/>
        <color rgb="FF000000"/>
        <rFont val="Times New Roman"/>
        <family val="1"/>
      </rPr>
      <t>CF3CH2CF2CH3</t>
    </r>
  </si>
  <si>
    <r>
      <t>HFC-43-10mee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1,1,1,2,2,3,4,5,5,5-</t>
    </r>
    <r>
      <rPr>
        <sz val="12"/>
        <color rgb="FF000000"/>
        <rFont val="微軟正黑體"/>
        <family val="2"/>
        <charset val="136"/>
      </rPr>
      <t>十氟戊烷，</t>
    </r>
    <r>
      <rPr>
        <sz val="12"/>
        <color rgb="FF000000"/>
        <rFont val="Times New Roman"/>
        <family val="1"/>
      </rPr>
      <t>CF3CHFCHFCF2CF3</t>
    </r>
  </si>
  <si>
    <r>
      <t>HCFC-22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CHF2Cl</t>
    </r>
  </si>
  <si>
    <r>
      <t>R-401A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(53.0/13.0/34.0)</t>
    </r>
  </si>
  <si>
    <r>
      <rPr>
        <sz val="12"/>
        <color rgb="FF000000"/>
        <rFont val="微軟正黑體"/>
        <family val="2"/>
        <charset val="136"/>
      </rPr>
      <t>根據</t>
    </r>
    <r>
      <rPr>
        <sz val="12"/>
        <color rgb="FF000000"/>
        <rFont val="Times New Roman"/>
        <family val="1"/>
      </rPr>
      <t xml:space="preserve"> 2006</t>
    </r>
    <r>
      <rPr>
        <sz val="12"/>
        <color rgb="FF000000"/>
        <rFont val="微軟正黑體"/>
        <family val="2"/>
        <charset val="136"/>
      </rPr>
      <t>年</t>
    </r>
    <r>
      <rPr>
        <sz val="12"/>
        <color rgb="FF000000"/>
        <rFont val="Times New Roman"/>
        <family val="1"/>
      </rPr>
      <t>IPCC</t>
    </r>
    <r>
      <rPr>
        <sz val="12"/>
        <color rgb="FF000000"/>
        <rFont val="微軟正黑體"/>
        <family val="2"/>
        <charset val="136"/>
      </rPr>
      <t>國家溫室氣體清冊指引第三冊第七章表</t>
    </r>
    <r>
      <rPr>
        <sz val="12"/>
        <color rgb="FF000000"/>
        <rFont val="Times New Roman"/>
        <family val="1"/>
      </rPr>
      <t>7.8</t>
    </r>
    <r>
      <rPr>
        <sz val="12"/>
        <color rgb="FF000000"/>
        <rFont val="微軟正黑體"/>
        <family val="2"/>
        <charset val="136"/>
      </rPr>
      <t>之混合冷媒比例</t>
    </r>
  </si>
  <si>
    <r>
      <t>R-401B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(61.0/11.0/28.0)</t>
    </r>
  </si>
  <si>
    <r>
      <t>R-401C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HCFC-22/HFC-152a/HCFC-124 (33.0/15.0/52.0)</t>
    </r>
  </si>
  <si>
    <r>
      <t>R-402A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(60.0/2.0/38.0)</t>
    </r>
  </si>
  <si>
    <r>
      <t>R-402B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HFC-125/HC-290/HCFC-22 (38.0/2.0/60.0)</t>
    </r>
  </si>
  <si>
    <r>
      <t>R-403A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(5.0/75.0/20.0)</t>
    </r>
  </si>
  <si>
    <r>
      <t>R-403B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HC-290/HCFC-22/PFC-218 (5.0/56.0/39.0)</t>
    </r>
  </si>
  <si>
    <r>
      <t>R-404A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HFC-125/HFC-143a/HFC-134a (44.0/52.0/4.0)</t>
    </r>
  </si>
  <si>
    <r>
      <t>R-405A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 HFC-152a/ HCFC-142b/PFC-318 (45.0/7.0/5.5/42.5)</t>
    </r>
  </si>
  <si>
    <r>
      <t>R-406A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HCFC-22/HC-600a/HCFC-142b (55.0/14.0/41.0)</t>
    </r>
  </si>
  <si>
    <r>
      <t>R-407A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(20.0/40.0/40.0)</t>
    </r>
  </si>
  <si>
    <r>
      <t>R-407B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(10.0/70.0/20.0)</t>
    </r>
  </si>
  <si>
    <r>
      <t>R-407C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(23.0/25.0/52.0)</t>
    </r>
  </si>
  <si>
    <r>
      <t>R-407D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(15.0/15.0/70.0)</t>
    </r>
  </si>
  <si>
    <r>
      <t>R-407E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HFC-32/HFC-125/HFC-134a (25.0/15.0/60.0)</t>
    </r>
  </si>
  <si>
    <r>
      <t>R-408A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HFC-125/HFC-143a/HCFC-22 (7.0/46.0/47.0)</t>
    </r>
  </si>
  <si>
    <r>
      <t>R-409A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(60.0/25.0/15.0)</t>
    </r>
  </si>
  <si>
    <r>
      <t>R-409B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HCFC-22/HCFC-124/HCFC-142b (65.0/25.0/10.0)</t>
    </r>
  </si>
  <si>
    <r>
      <t>R-410A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(50.0/50.0)</t>
    </r>
  </si>
  <si>
    <r>
      <t>R-410B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HFC-32/HFC-125 (45.0/55.0)</t>
    </r>
  </si>
  <si>
    <r>
      <t>R-411A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(1.5/87.5/11.0)</t>
    </r>
  </si>
  <si>
    <r>
      <t>R-411B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(3.0/94.0/3.0)</t>
    </r>
  </si>
  <si>
    <r>
      <t>R-411C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HC-1270/HCFC-22/HFC-152a (3.0/95.5/1.5)</t>
    </r>
  </si>
  <si>
    <r>
      <t>R-412A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HCFC-22/PFC-218/HCFC-142b (70.0/5.0/25.0)</t>
    </r>
  </si>
  <si>
    <r>
      <t>R-413A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PFC-218/HFC-134a/HC-600a (9.0/88.0/3.0)</t>
    </r>
  </si>
  <si>
    <r>
      <t>R-414A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(51.0/28.5/4.0/16.5)</t>
    </r>
  </si>
  <si>
    <r>
      <t>R-414B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HCFC-22/HCFC-124/HC-600a/HCFC-142b (50.0/39.0/1.5/9.5)</t>
    </r>
  </si>
  <si>
    <r>
      <t>R-415A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(82.0/18.0)</t>
    </r>
  </si>
  <si>
    <r>
      <t>R-415B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HCFC-22/HFC-152a (25.0/75.0)</t>
    </r>
  </si>
  <si>
    <r>
      <t>R-416A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HFC-134a/HCFC-124/HC-600 (59.0/39.5/1.5)</t>
    </r>
  </si>
  <si>
    <r>
      <t>R-417A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 (46.6/50.0/3.4)</t>
    </r>
  </si>
  <si>
    <r>
      <t>R-418A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HC-290/HCFC-22/HFC-152a (1.5/96.0/2.5)</t>
    </r>
  </si>
  <si>
    <r>
      <t>R-419A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HFC-125/HFC-134a/HE-E170 (77.0/19.0/4.0)</t>
    </r>
  </si>
  <si>
    <r>
      <t>R-420A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HFC-134a/HCFC-142b (88.0/12.0)</t>
    </r>
  </si>
  <si>
    <r>
      <t>R-421A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(58.0/42.0)</t>
    </r>
  </si>
  <si>
    <r>
      <t>R-421B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 (85.0/15.0)</t>
    </r>
  </si>
  <si>
    <r>
      <t>R-422A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(85.1/11.5/3.4)</t>
    </r>
  </si>
  <si>
    <r>
      <t>R-422B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(55.0/42.0/3.0)</t>
    </r>
  </si>
  <si>
    <r>
      <t>R-422C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HFC-125/HFC-134a/HC-600a (82.0/15.0/3.0)</t>
    </r>
  </si>
  <si>
    <r>
      <t>R-500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CFC-12/HFC-152a (73.8/26.2)</t>
    </r>
  </si>
  <si>
    <r>
      <t>R-502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HCFC-22/CFC-115 (48.8/51.2)</t>
    </r>
  </si>
  <si>
    <r>
      <t>R-503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HFC-23/CFC-13 (40.1/59.9)</t>
    </r>
  </si>
  <si>
    <r>
      <t>R-504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HFC-32/CFC-115 (48.2/51.8)</t>
    </r>
  </si>
  <si>
    <r>
      <t>R-505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CFC-12/HCFC-31 (78.0/22.0)</t>
    </r>
  </si>
  <si>
    <r>
      <t>R-506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CFC-31/CFC-114 (55.1/44.9)</t>
    </r>
  </si>
  <si>
    <r>
      <t>R-507A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HFC-125/HFC-143a (50.0/50.0)</t>
    </r>
  </si>
  <si>
    <r>
      <t>R-508A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(39.0/61.0)</t>
    </r>
  </si>
  <si>
    <r>
      <t>R-508B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HFC-23/PFC-116 (46.0/54.0)</t>
    </r>
  </si>
  <si>
    <r>
      <t>R-509A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HCFC-22/PFC-218 (44.0/56.0)</t>
    </r>
  </si>
  <si>
    <r>
      <t>Perfluorocyclopentene</t>
    </r>
    <r>
      <rPr>
        <sz val="12"/>
        <color rgb="FF000000"/>
        <rFont val="細明體"/>
        <family val="3"/>
        <charset val="136"/>
      </rPr>
      <t>，</t>
    </r>
    <r>
      <rPr>
        <sz val="12"/>
        <color rgb="FF000000"/>
        <rFont val="Times New Roman"/>
        <family val="1"/>
      </rPr>
      <t>c-C5F8</t>
    </r>
    <r>
      <rPr>
        <sz val="12"/>
        <color rgb="FF000000"/>
        <rFont val="細明體"/>
        <family val="3"/>
        <charset val="136"/>
      </rPr>
      <t>，八氟環戊烯</t>
    </r>
  </si>
  <si>
    <t>─</t>
  </si>
  <si>
    <r>
      <t>PFC-116</t>
    </r>
    <r>
      <rPr>
        <sz val="12"/>
        <color rgb="FF000000"/>
        <rFont val="微軟正黑體"/>
        <family val="2"/>
        <charset val="136"/>
      </rPr>
      <t>，六氟乙烷，</t>
    </r>
    <r>
      <rPr>
        <sz val="12"/>
        <color rgb="FF000000"/>
        <rFont val="Times New Roman"/>
        <family val="1"/>
      </rPr>
      <t>C2F6</t>
    </r>
  </si>
  <si>
    <r>
      <t>PFC-14</t>
    </r>
    <r>
      <rPr>
        <sz val="12"/>
        <color rgb="FF000000"/>
        <rFont val="微軟正黑體"/>
        <family val="2"/>
        <charset val="136"/>
      </rPr>
      <t>，四氟化碳，</t>
    </r>
    <r>
      <rPr>
        <sz val="12"/>
        <color rgb="FF000000"/>
        <rFont val="Times New Roman"/>
        <family val="1"/>
      </rPr>
      <t>CF4</t>
    </r>
  </si>
  <si>
    <r>
      <t>PFC-218</t>
    </r>
    <r>
      <rPr>
        <sz val="12"/>
        <color rgb="FF000000"/>
        <rFont val="微軟正黑體"/>
        <family val="2"/>
        <charset val="136"/>
      </rPr>
      <t>，全氟丙烷，</t>
    </r>
    <r>
      <rPr>
        <sz val="12"/>
        <color rgb="FF000000"/>
        <rFont val="Times New Roman"/>
        <family val="1"/>
      </rPr>
      <t>C3F8</t>
    </r>
  </si>
  <si>
    <r>
      <t>PFC-318</t>
    </r>
    <r>
      <rPr>
        <sz val="12"/>
        <color rgb="FF000000"/>
        <rFont val="微軟正黑體"/>
        <family val="2"/>
        <charset val="136"/>
      </rPr>
      <t>，八氟環丁烷，</t>
    </r>
    <r>
      <rPr>
        <sz val="12"/>
        <color rgb="FF000000"/>
        <rFont val="Times New Roman"/>
        <family val="1"/>
      </rPr>
      <t>C4F8</t>
    </r>
  </si>
  <si>
    <r>
      <t>C4F10</t>
    </r>
    <r>
      <rPr>
        <sz val="12"/>
        <color rgb="FF000000"/>
        <rFont val="微軟正黑體"/>
        <family val="2"/>
        <charset val="136"/>
      </rPr>
      <t>，全氟丁烷</t>
    </r>
  </si>
  <si>
    <r>
      <t>PFC-4-1-12</t>
    </r>
    <r>
      <rPr>
        <sz val="12"/>
        <color rgb="FF000000"/>
        <rFont val="微軟正黑體"/>
        <family val="2"/>
        <charset val="136"/>
      </rPr>
      <t>，全氟戊烷，</t>
    </r>
    <r>
      <rPr>
        <sz val="12"/>
        <color rgb="FF000000"/>
        <rFont val="Times New Roman"/>
        <family val="1"/>
      </rPr>
      <t>C5F12</t>
    </r>
  </si>
  <si>
    <r>
      <t>PFC-5-1-14</t>
    </r>
    <r>
      <rPr>
        <sz val="12"/>
        <color rgb="FF000000"/>
        <rFont val="微軟正黑體"/>
        <family val="2"/>
        <charset val="136"/>
      </rPr>
      <t>，全氟己烷，</t>
    </r>
    <r>
      <rPr>
        <sz val="12"/>
        <color rgb="FF000000"/>
        <rFont val="Times New Roman"/>
        <family val="1"/>
      </rPr>
      <t>C6F14</t>
    </r>
  </si>
  <si>
    <r>
      <t>NF3</t>
    </r>
    <r>
      <rPr>
        <sz val="12"/>
        <color rgb="FF000000"/>
        <rFont val="微軟正黑體"/>
        <family val="2"/>
        <charset val="136"/>
      </rPr>
      <t>，三氟化氮</t>
    </r>
  </si>
  <si>
    <r>
      <t>SF6</t>
    </r>
    <r>
      <rPr>
        <sz val="12"/>
        <color rgb="FF000000"/>
        <rFont val="微軟正黑體"/>
        <family val="2"/>
        <charset val="136"/>
      </rPr>
      <t>，六氟化硫</t>
    </r>
  </si>
  <si>
    <t>R-600A，異丁烷(CH3)CHCH3</t>
  </si>
  <si>
    <t>https://ww2.arb.ca.gov/resources/documents/high-gwp-refrigerants</t>
  </si>
  <si>
    <r>
      <t xml:space="preserve">* </t>
    </r>
    <r>
      <rPr>
        <sz val="12"/>
        <color rgb="FF000000"/>
        <rFont val="標楷體"/>
        <family val="4"/>
        <charset val="136"/>
      </rPr>
      <t>已開發國家</t>
    </r>
    <r>
      <rPr>
        <sz val="12"/>
        <color rgb="FF000000"/>
        <rFont val="Times New Roman"/>
        <family val="1"/>
      </rPr>
      <t>(developed countries)</t>
    </r>
    <r>
      <rPr>
        <sz val="12"/>
        <color rgb="FF000000"/>
        <rFont val="標楷體"/>
        <family val="4"/>
        <charset val="136"/>
      </rPr>
      <t>使用低值；開發中國家</t>
    </r>
    <r>
      <rPr>
        <sz val="12"/>
        <color rgb="FF000000"/>
        <rFont val="Times New Roman"/>
        <family val="1"/>
      </rPr>
      <t>(developing countries)</t>
    </r>
    <r>
      <rPr>
        <sz val="12"/>
        <color rgb="FF000000"/>
        <rFont val="標楷體"/>
        <family val="4"/>
        <charset val="136"/>
      </rPr>
      <t>使用高值</t>
    </r>
  </si>
  <si>
    <r>
      <rPr>
        <sz val="12"/>
        <color rgb="FF000000"/>
        <rFont val="標楷體"/>
        <family val="4"/>
        <charset val="136"/>
      </rPr>
      <t>資料來源：</t>
    </r>
    <r>
      <rPr>
        <sz val="12"/>
        <color rgb="FF000000"/>
        <rFont val="Times New Roman"/>
        <family val="1"/>
      </rPr>
      <t>2006 IPCC Guidelines for National Greenhouse Gas Inventories, volume 3, chapter7, table 7.9</t>
    </r>
  </si>
  <si>
    <t>50</t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</si>
  <si>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20</t>
    </r>
  </si>
  <si>
    <t>Mobile A/C</t>
  </si>
  <si>
    <r>
      <rPr>
        <sz val="12"/>
        <color rgb="FF000000"/>
        <rFont val="標楷體"/>
        <family val="4"/>
        <charset val="136"/>
      </rPr>
      <t>移動式空氣清靜機</t>
    </r>
  </si>
  <si>
    <t>80</t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</si>
  <si>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10</t>
    </r>
  </si>
  <si>
    <t>Residential and Commercial A/C, including Heat Pumps</t>
  </si>
  <si>
    <r>
      <rPr>
        <sz val="12"/>
        <color rgb="FF000000"/>
        <rFont val="標楷體"/>
        <family val="4"/>
        <charset val="136"/>
      </rPr>
      <t>住宅及商業建築冷氣機</t>
    </r>
  </si>
  <si>
    <t>95</t>
  </si>
  <si>
    <r>
      <t>2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</si>
  <si>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Chillers</t>
  </si>
  <si>
    <r>
      <rPr>
        <sz val="12"/>
        <color rgb="FF000000"/>
        <rFont val="標楷體"/>
        <family val="4"/>
        <charset val="136"/>
      </rPr>
      <t>冰水機</t>
    </r>
  </si>
  <si>
    <t>90</t>
  </si>
  <si>
    <r>
      <t>7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25</t>
    </r>
  </si>
  <si>
    <t>Industrial Refrigeration including Food Processing and  Cold Storage</t>
  </si>
  <si>
    <r>
      <rPr>
        <sz val="12"/>
        <color rgb="FF000000"/>
        <rFont val="標楷體"/>
        <family val="4"/>
        <charset val="136"/>
      </rPr>
      <t>工業冷凍、冷藏裝備，包括食品加工及冷藏</t>
    </r>
  </si>
  <si>
    <t>70</t>
  </si>
  <si>
    <r>
      <t>15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50</t>
    </r>
  </si>
  <si>
    <t>Transport Refrigeration</t>
  </si>
  <si>
    <r>
      <rPr>
        <sz val="12"/>
        <color rgb="FF000000"/>
        <rFont val="標楷體"/>
        <family val="4"/>
        <charset val="136"/>
      </rPr>
      <t>交通用冷凍、冷藏裝備</t>
    </r>
  </si>
  <si>
    <r>
      <t>10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35</t>
    </r>
  </si>
  <si>
    <t>Medium &amp; Large Commercial Refrigeration</t>
  </si>
  <si>
    <r>
      <rPr>
        <sz val="12"/>
        <color rgb="FF000000"/>
        <rFont val="標楷體"/>
        <family val="4"/>
        <charset val="136"/>
      </rPr>
      <t>中、大型冷凍、冷藏裝備</t>
    </r>
  </si>
  <si>
    <r>
      <t>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15</t>
    </r>
  </si>
  <si>
    <t>Stand-alone Commercial Applications</t>
  </si>
  <si>
    <r>
      <rPr>
        <sz val="12"/>
        <color rgb="FF000000"/>
        <rFont val="標楷體"/>
        <family val="4"/>
        <charset val="136"/>
      </rPr>
      <t>獨立商用冷凍、冷藏裝備</t>
    </r>
  </si>
  <si>
    <r>
      <t>0.1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x</t>
    </r>
    <r>
      <rPr>
        <sz val="12"/>
        <color rgb="FF000000"/>
        <rFont val="標楷體"/>
        <family val="4"/>
        <charset val="136"/>
      </rPr>
      <t>≦</t>
    </r>
    <r>
      <rPr>
        <sz val="12"/>
        <color rgb="FF000000"/>
        <rFont val="Times New Roman"/>
        <family val="1"/>
      </rPr>
      <t>0.5</t>
    </r>
  </si>
  <si>
    <t>Domestic Refrigeration</t>
  </si>
  <si>
    <r>
      <rPr>
        <sz val="12"/>
        <color rgb="FF000000"/>
        <rFont val="標楷體"/>
        <family val="4"/>
        <charset val="136"/>
      </rPr>
      <t>家用冷凍、冷藏裝備</t>
    </r>
  </si>
  <si>
    <r>
      <rPr>
        <sz val="12"/>
        <color rgb="FF000000"/>
        <rFont val="標楷體"/>
        <family val="4"/>
        <charset val="136"/>
      </rPr>
      <t>防治設備回收率</t>
    </r>
    <r>
      <rPr>
        <sz val="12"/>
        <color rgb="FF000000"/>
        <rFont val="Times New Roman"/>
        <family val="1"/>
      </rPr>
      <t xml:space="preserve"> (%)
</t>
    </r>
    <r>
      <rPr>
        <sz val="10"/>
        <color rgb="FF000000"/>
        <rFont val="Times New Roman"/>
        <family val="1"/>
      </rPr>
      <t>Recovery Efficiency (%)</t>
    </r>
  </si>
  <si>
    <r>
      <rPr>
        <sz val="12"/>
        <color rgb="FF000000"/>
        <rFont val="標楷體"/>
        <family val="4"/>
        <charset val="136"/>
      </rPr>
      <t>排放因子</t>
    </r>
    <r>
      <rPr>
        <sz val="12"/>
        <color rgb="FF000000"/>
        <rFont val="Times New Roman"/>
        <family val="1"/>
      </rPr>
      <t xml:space="preserve"> (%)*
</t>
    </r>
    <r>
      <rPr>
        <sz val="9"/>
        <color rgb="FF000000"/>
        <rFont val="Times New Roman"/>
        <family val="1"/>
      </rPr>
      <t>Emission Factors(x) (% of initial charge/year)</t>
    </r>
  </si>
  <si>
    <r>
      <t>IPCC</t>
    </r>
    <r>
      <rPr>
        <sz val="12"/>
        <color rgb="FF000000"/>
        <rFont val="標楷體"/>
        <family val="4"/>
        <charset val="136"/>
      </rPr>
      <t>名稱</t>
    </r>
  </si>
  <si>
    <r>
      <rPr>
        <sz val="12"/>
        <color rgb="FF000000"/>
        <rFont val="標楷體"/>
        <family val="4"/>
        <charset val="136"/>
      </rPr>
      <t>設備名稱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標楷體"/>
        <family val="4"/>
        <charset val="136"/>
      </rPr>
      <t>中文</t>
    </r>
    <r>
      <rPr>
        <sz val="12"/>
        <color rgb="FF000000"/>
        <rFont val="Times New Roman"/>
        <family val="1"/>
      </rPr>
      <t>)</t>
    </r>
  </si>
  <si>
    <r>
      <rPr>
        <b/>
        <sz val="14"/>
        <color rgb="FF0000FF"/>
        <rFont val="標楷體"/>
        <family val="4"/>
        <charset val="136"/>
      </rPr>
      <t>冷凍</t>
    </r>
    <r>
      <rPr>
        <b/>
        <sz val="14"/>
        <color rgb="FF0000FF"/>
        <rFont val="Times New Roman"/>
        <family val="1"/>
      </rPr>
      <t>/</t>
    </r>
    <r>
      <rPr>
        <b/>
        <sz val="14"/>
        <color rgb="FF0000FF"/>
        <rFont val="標楷體"/>
        <family val="4"/>
        <charset val="136"/>
      </rPr>
      <t>冷藏及冷氣機之冷媒逸散排放因子及防治設備回收率</t>
    </r>
  </si>
  <si>
    <t>HCFC-22/R-22</t>
    <phoneticPr fontId="1" type="noConversion"/>
  </si>
  <si>
    <r>
      <t>R-501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Times New Roman"/>
        <family val="1"/>
      </rPr>
      <t>HCFC-22/CFC-12 (75.0/25.0)</t>
    </r>
    <phoneticPr fontId="1" type="noConversion"/>
  </si>
  <si>
    <t>✓</t>
  </si>
  <si>
    <t>公秉</t>
  </si>
  <si>
    <t>PFCs</t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</si>
  <si>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範疇別</t>
    </r>
    <phoneticPr fontId="1" type="noConversion"/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</si>
  <si>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類別</t>
    </r>
    <phoneticPr fontId="1" type="noConversion"/>
  </si>
  <si>
    <t>類別1</t>
  </si>
  <si>
    <t>類別1</t>
    <phoneticPr fontId="1" type="noConversion"/>
  </si>
  <si>
    <t>類別2</t>
  </si>
  <si>
    <t>車用汽油</t>
    <phoneticPr fontId="1" type="noConversion"/>
  </si>
  <si>
    <t>公噸/公秉</t>
  </si>
  <si>
    <t>ERP</t>
    <phoneticPr fontId="1" type="noConversion"/>
  </si>
  <si>
    <t>廠務部</t>
    <phoneticPr fontId="1" type="noConversion"/>
  </si>
  <si>
    <t>定期(間歇)量測</t>
  </si>
  <si>
    <t>能源局公告值</t>
    <phoneticPr fontId="1" type="noConversion"/>
  </si>
  <si>
    <t>(5)國家排放係數</t>
  </si>
  <si>
    <t>1.1 來自固定式燃燒源之直接排放</t>
  </si>
  <si>
    <t>煤油</t>
    <phoneticPr fontId="1" type="noConversion"/>
  </si>
  <si>
    <t>柴油</t>
    <phoneticPr fontId="1" type="noConversion"/>
  </si>
  <si>
    <t>潤滑油</t>
    <phoneticPr fontId="1" type="noConversion"/>
  </si>
  <si>
    <r>
      <rPr>
        <sz val="10"/>
        <color rgb="FF000000"/>
        <rFont val="微軟正黑體"/>
        <family val="2"/>
        <charset val="136"/>
      </rPr>
      <t>石油腦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輕油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</si>
  <si>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r>
      <rPr>
        <sz val="10"/>
        <color rgb="FF000000"/>
        <rFont val="微軟正黑體"/>
        <family val="2"/>
        <charset val="136"/>
      </rPr>
      <t>片狀柏油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瀝青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</si>
  <si>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乳狀瀝青，柏油</t>
    <phoneticPr fontId="1" type="noConversion"/>
  </si>
  <si>
    <t>１～３號重油</t>
    <phoneticPr fontId="1" type="noConversion"/>
  </si>
  <si>
    <t>４～６號重油</t>
    <phoneticPr fontId="1" type="noConversion"/>
  </si>
  <si>
    <t>焦炭</t>
    <phoneticPr fontId="1" type="noConversion"/>
  </si>
  <si>
    <t>公噸</t>
  </si>
  <si>
    <t>公噸/公噸</t>
  </si>
  <si>
    <t>石油焦</t>
    <phoneticPr fontId="1" type="noConversion"/>
  </si>
  <si>
    <t>高級汽油</t>
    <phoneticPr fontId="1" type="noConversion"/>
  </si>
  <si>
    <r>
      <rPr>
        <sz val="10"/>
        <color rgb="FF000000"/>
        <rFont val="微軟正黑體"/>
        <family val="2"/>
        <charset val="136"/>
      </rPr>
      <t>蒸餘油</t>
    </r>
    <r>
      <rPr>
        <sz val="10"/>
        <color rgb="FF000000"/>
        <rFont val="Traditional Arabic"/>
        <family val="1"/>
        <charset val="178"/>
      </rPr>
      <t>(</t>
    </r>
    <r>
      <rPr>
        <sz val="10"/>
        <color rgb="FF000000"/>
        <rFont val="微軟正黑體"/>
        <family val="2"/>
        <charset val="136"/>
      </rPr>
      <t>燃料油</t>
    </r>
    <r>
      <rPr>
        <sz val="10"/>
        <color rgb="FF000000"/>
        <rFont val="Traditional Arabic"/>
        <family val="1"/>
        <charset val="178"/>
      </rPr>
      <t>)</t>
    </r>
    <phoneticPr fontId="1" type="noConversion"/>
  </si>
  <si>
    <t>蒸餘油(燃料油)</t>
    <phoneticPr fontId="1" type="noConversion"/>
  </si>
  <si>
    <t>石油腦</t>
    <phoneticPr fontId="1" type="noConversion"/>
  </si>
  <si>
    <t>柏油</t>
    <phoneticPr fontId="1" type="noConversion"/>
  </si>
  <si>
    <t>煤球</t>
    <phoneticPr fontId="1" type="noConversion"/>
  </si>
  <si>
    <t>乙烷</t>
    <phoneticPr fontId="1" type="noConversion"/>
  </si>
  <si>
    <r>
      <rPr>
        <sz val="10"/>
        <color rgb="FF000000"/>
        <rFont val="微軟正黑體"/>
        <family val="2"/>
        <charset val="136"/>
      </rPr>
      <t>液化石油氣</t>
    </r>
    <r>
      <rPr>
        <sz val="10"/>
        <color rgb="FF000000"/>
        <rFont val="Traditional Arabic"/>
        <family val="1"/>
        <charset val="178"/>
      </rPr>
      <t>(LPG)</t>
    </r>
    <phoneticPr fontId="1" type="noConversion"/>
  </si>
  <si>
    <t>液化石油氣(LPG)</t>
    <phoneticPr fontId="1" type="noConversion"/>
  </si>
  <si>
    <t>焦爐氣</t>
    <phoneticPr fontId="1" type="noConversion"/>
  </si>
  <si>
    <t>公噸/千立方公尺</t>
  </si>
  <si>
    <t>千立方公尺</t>
  </si>
  <si>
    <t>煉油氣</t>
    <phoneticPr fontId="1" type="noConversion"/>
  </si>
  <si>
    <t>高爐氣</t>
    <phoneticPr fontId="1" type="noConversion"/>
  </si>
  <si>
    <t>原油</t>
    <phoneticPr fontId="1" type="noConversion"/>
  </si>
  <si>
    <t>天然氣</t>
    <phoneticPr fontId="1" type="noConversion"/>
  </si>
  <si>
    <r>
      <rPr>
        <sz val="10"/>
        <color rgb="FF000000"/>
        <rFont val="微軟正黑體"/>
        <family val="2"/>
        <charset val="136"/>
      </rPr>
      <t>天然氣凝結油</t>
    </r>
    <r>
      <rPr>
        <sz val="10"/>
        <color rgb="FF000000"/>
        <rFont val="Traditional Arabic"/>
        <family val="1"/>
        <charset val="178"/>
      </rPr>
      <t>(NGLs)</t>
    </r>
    <phoneticPr fontId="1" type="noConversion"/>
  </si>
  <si>
    <t>天然氣凝結油(NGLs)</t>
    <phoneticPr fontId="1" type="noConversion"/>
  </si>
  <si>
    <t>泥煤</t>
    <phoneticPr fontId="1" type="noConversion"/>
  </si>
  <si>
    <t>褐煤</t>
    <phoneticPr fontId="1" type="noConversion"/>
  </si>
  <si>
    <t>煙煤</t>
    <phoneticPr fontId="1" type="noConversion"/>
  </si>
  <si>
    <t>亞煙煤</t>
    <phoneticPr fontId="1" type="noConversion"/>
  </si>
  <si>
    <t>無煙煤</t>
    <phoneticPr fontId="1" type="noConversion"/>
  </si>
  <si>
    <t>油頁岩</t>
    <phoneticPr fontId="1" type="noConversion"/>
  </si>
  <si>
    <t>原料煤</t>
    <phoneticPr fontId="1" type="noConversion"/>
  </si>
  <si>
    <t>自產煤</t>
    <phoneticPr fontId="1" type="noConversion"/>
  </si>
  <si>
    <t>頁岩油</t>
    <phoneticPr fontId="1" type="noConversion"/>
  </si>
  <si>
    <t>奧里油</t>
    <phoneticPr fontId="1" type="noConversion"/>
  </si>
  <si>
    <t>其他油品</t>
    <phoneticPr fontId="1" type="noConversion"/>
  </si>
  <si>
    <t>一般廢棄物</t>
    <phoneticPr fontId="1" type="noConversion"/>
  </si>
  <si>
    <t>其他氣態生質燃料</t>
    <phoneticPr fontId="1" type="noConversion"/>
  </si>
  <si>
    <t>1.2 來自移動式燃燒源之直接排放</t>
  </si>
  <si>
    <t>航空燃油</t>
    <phoneticPr fontId="1" type="noConversion"/>
  </si>
  <si>
    <r>
      <rPr>
        <sz val="10"/>
        <color rgb="FF000000"/>
        <rFont val="微軟正黑體"/>
        <family val="2"/>
        <charset val="136"/>
      </rPr>
      <t>液化天然氣</t>
    </r>
    <r>
      <rPr>
        <sz val="10"/>
        <color rgb="FF000000"/>
        <rFont val="Traditional Arabic"/>
        <family val="1"/>
        <charset val="178"/>
      </rPr>
      <t>(LNG)</t>
    </r>
    <phoneticPr fontId="1" type="noConversion"/>
  </si>
  <si>
    <t>液化天然氣(LNG)</t>
    <phoneticPr fontId="1" type="noConversion"/>
  </si>
  <si>
    <t>1.4 由人為系統所釋放的溫室氣體產生的直接逸散性排放</t>
  </si>
  <si>
    <t>冰水機(R-22)</t>
    <phoneticPr fontId="1" type="noConversion"/>
  </si>
  <si>
    <t>公斤</t>
  </si>
  <si>
    <t>(1)自廠發展係數/質量平衡所得係數</t>
  </si>
  <si>
    <t>電冰箱(R-22)</t>
    <phoneticPr fontId="1" type="noConversion"/>
  </si>
  <si>
    <t>冷氣機(R-22)</t>
    <phoneticPr fontId="1" type="noConversion"/>
  </si>
  <si>
    <t>設備銘牌</t>
    <phoneticPr fontId="1" type="noConversion"/>
  </si>
  <si>
    <t>車用空調(R-22)</t>
    <phoneticPr fontId="1" type="noConversion"/>
  </si>
  <si>
    <t>熱泵熱水器(R-22)</t>
    <phoneticPr fontId="1" type="noConversion"/>
  </si>
  <si>
    <t>冷凍機(R-22)</t>
    <phoneticPr fontId="1" type="noConversion"/>
  </si>
  <si>
    <t>冷凍乾燥機(R-22)</t>
    <phoneticPr fontId="1" type="noConversion"/>
  </si>
  <si>
    <t>熱泵系統(R-22)</t>
    <phoneticPr fontId="1" type="noConversion"/>
  </si>
  <si>
    <t>冷凍(藏)庫(R-22)</t>
    <phoneticPr fontId="1" type="noConversion"/>
  </si>
  <si>
    <t>大型冷凍(藏)庫(R-22)</t>
    <phoneticPr fontId="1" type="noConversion"/>
  </si>
  <si>
    <t>冷凍物流車(R-22)</t>
    <phoneticPr fontId="1" type="noConversion"/>
  </si>
  <si>
    <t>除濕機(R-22)</t>
    <phoneticPr fontId="1" type="noConversion"/>
  </si>
  <si>
    <t>化糞池</t>
    <phoneticPr fontId="1" type="noConversion"/>
  </si>
  <si>
    <t>人資部</t>
    <phoneticPr fontId="1" type="noConversion"/>
  </si>
  <si>
    <t>打卡系統</t>
    <phoneticPr fontId="1" type="noConversion"/>
  </si>
  <si>
    <t>工時</t>
  </si>
  <si>
    <t>公噸/工時</t>
  </si>
  <si>
    <r>
      <t>滅火器(CO</t>
    </r>
    <r>
      <rPr>
        <vertAlign val="subscript"/>
        <sz val="10"/>
        <color theme="1"/>
        <rFont val="微軟正黑體"/>
        <family val="2"/>
        <charset val="136"/>
      </rPr>
      <t>2</t>
    </r>
    <r>
      <rPr>
        <sz val="10"/>
        <color theme="1"/>
        <rFont val="微軟正黑體"/>
        <family val="2"/>
        <charset val="136"/>
      </rPr>
      <t>)</t>
    </r>
    <phoneticPr fontId="1" type="noConversion"/>
  </si>
  <si>
    <r>
      <t>IPCC</t>
    </r>
    <r>
      <rPr>
        <sz val="10"/>
        <color theme="1"/>
        <rFont val="新細明體"/>
        <family val="2"/>
        <charset val="136"/>
      </rPr>
      <t>國家溫室氣體清單指南</t>
    </r>
    <r>
      <rPr>
        <sz val="10"/>
        <color theme="1"/>
        <rFont val="Calibri"/>
        <family val="2"/>
      </rPr>
      <t>V3-Chapt7-7.6.2.2</t>
    </r>
    <phoneticPr fontId="1" type="noConversion"/>
  </si>
  <si>
    <t>SDS-WD-40(2.5%CO2)</t>
    <phoneticPr fontId="1" type="noConversion"/>
  </si>
  <si>
    <t>1.3 來自產業過程之直接過程排放與移除</t>
  </si>
  <si>
    <t>類別3</t>
  </si>
  <si>
    <t>類別4</t>
  </si>
  <si>
    <t>類別5</t>
  </si>
  <si>
    <t>類別6</t>
  </si>
  <si>
    <t>氣體斷路器(GCB)</t>
    <phoneticPr fontId="1" type="noConversion"/>
  </si>
  <si>
    <t>乙炔</t>
    <phoneticPr fontId="1" type="noConversion"/>
  </si>
  <si>
    <t>供應商提供</t>
    <phoneticPr fontId="1" type="noConversion"/>
  </si>
  <si>
    <t>質量平衡法</t>
    <phoneticPr fontId="1" type="noConversion"/>
  </si>
  <si>
    <t>焊條(含碳量0.06%)</t>
    <phoneticPr fontId="1" type="noConversion"/>
  </si>
  <si>
    <t>焊條含碳量百分比</t>
    <phoneticPr fontId="1" type="noConversion"/>
  </si>
  <si>
    <t>2.1 來自輸入電力的間接排放</t>
  </si>
  <si>
    <t>千度</t>
  </si>
  <si>
    <t>電費單據</t>
    <phoneticPr fontId="1" type="noConversion"/>
  </si>
  <si>
    <t>連續量測</t>
  </si>
  <si>
    <r>
      <rPr>
        <sz val="10"/>
        <color theme="1"/>
        <rFont val="細明體"/>
        <family val="2"/>
        <charset val="136"/>
      </rPr>
      <t>能源局公告電力排放係數</t>
    </r>
    <r>
      <rPr>
        <sz val="10"/>
        <color theme="1"/>
        <rFont val="Calibri"/>
        <family val="2"/>
      </rPr>
      <t>(110</t>
    </r>
    <r>
      <rPr>
        <sz val="10"/>
        <color theme="1"/>
        <rFont val="細明體"/>
        <family val="2"/>
        <charset val="136"/>
      </rPr>
      <t>年度</t>
    </r>
    <r>
      <rPr>
        <sz val="10"/>
        <color theme="1"/>
        <rFont val="Calibri"/>
        <family val="2"/>
      </rPr>
      <t>)</t>
    </r>
    <phoneticPr fontId="1" type="noConversion"/>
  </si>
  <si>
    <t>公噸/千度</t>
  </si>
  <si>
    <t>2.2 來自輸入能源的間接排放</t>
  </si>
  <si>
    <t>蒸氣單據</t>
    <phoneticPr fontId="1" type="noConversion"/>
  </si>
  <si>
    <t>3.1 由貨物上游運輸與配送產生之排放</t>
  </si>
  <si>
    <t>原物料運輸</t>
    <phoneticPr fontId="1" type="noConversion"/>
  </si>
  <si>
    <t>產品運輸</t>
    <phoneticPr fontId="1" type="noConversion"/>
  </si>
  <si>
    <t>運輸</t>
    <phoneticPr fontId="1" type="noConversion"/>
  </si>
  <si>
    <t>延噸公里(tkm)</t>
    <phoneticPr fontId="1" type="noConversion"/>
  </si>
  <si>
    <t>公噸/延噸公里</t>
    <phoneticPr fontId="1" type="noConversion"/>
  </si>
  <si>
    <t>3.2 由貨物下游運輸與配送產生之排放</t>
  </si>
  <si>
    <t>WD-40</t>
    <phoneticPr fontId="1" type="noConversion"/>
  </si>
  <si>
    <r>
      <t>直接溫室氣體排放 (公噸CO</t>
    </r>
    <r>
      <rPr>
        <b/>
        <vertAlign val="subscript"/>
        <sz val="16"/>
        <color theme="1"/>
        <rFont val="微軟正黑體"/>
        <family val="2"/>
      </rPr>
      <t>2</t>
    </r>
    <r>
      <rPr>
        <b/>
        <sz val="16"/>
        <color theme="1"/>
        <rFont val="微軟正黑體"/>
        <family val="2"/>
      </rPr>
      <t xml:space="preserve">e) </t>
    </r>
  </si>
  <si>
    <t>小計</t>
  </si>
  <si>
    <t>占比(%)</t>
  </si>
  <si>
    <r>
      <t>CO</t>
    </r>
    <r>
      <rPr>
        <b/>
        <vertAlign val="subscript"/>
        <sz val="12"/>
        <color indexed="8"/>
        <rFont val="微軟正黑體"/>
        <family val="2"/>
      </rPr>
      <t>2</t>
    </r>
  </si>
  <si>
    <r>
      <t>CH</t>
    </r>
    <r>
      <rPr>
        <b/>
        <vertAlign val="subscript"/>
        <sz val="12"/>
        <color indexed="8"/>
        <rFont val="微軟正黑體"/>
        <family val="2"/>
      </rPr>
      <t>4</t>
    </r>
  </si>
  <si>
    <r>
      <t>N</t>
    </r>
    <r>
      <rPr>
        <b/>
        <vertAlign val="subscript"/>
        <sz val="12"/>
        <color indexed="8"/>
        <rFont val="微軟正黑體"/>
        <family val="2"/>
      </rPr>
      <t>2</t>
    </r>
    <r>
      <rPr>
        <b/>
        <sz val="12"/>
        <color indexed="8"/>
        <rFont val="微軟正黑體"/>
        <family val="2"/>
      </rPr>
      <t>O</t>
    </r>
  </si>
  <si>
    <r>
      <t>SF</t>
    </r>
    <r>
      <rPr>
        <b/>
        <vertAlign val="subscript"/>
        <sz val="12"/>
        <color indexed="8"/>
        <rFont val="微軟正黑體"/>
        <family val="2"/>
      </rPr>
      <t>6</t>
    </r>
  </si>
  <si>
    <r>
      <t>NF</t>
    </r>
    <r>
      <rPr>
        <b/>
        <vertAlign val="subscript"/>
        <sz val="12"/>
        <color indexed="8"/>
        <rFont val="微軟正黑體"/>
        <family val="2"/>
      </rPr>
      <t>3</t>
    </r>
  </si>
  <si>
    <t>編號</t>
  </si>
  <si>
    <t>項目</t>
  </si>
  <si>
    <t>排放量</t>
  </si>
  <si>
    <t>類別 1：直接溫室氣體排放和移除</t>
  </si>
  <si>
    <t>固定式燃燒之直接排放</t>
  </si>
  <si>
    <t>類別 2：輸入能源</t>
  </si>
  <si>
    <t>移動式燃燒之直接排放</t>
  </si>
  <si>
    <t>類別 3：運輸</t>
  </si>
  <si>
    <t>人為系統中溫室氣體釋放造成之直接逸散排放</t>
  </si>
  <si>
    <t>類別 4：組織使用產品</t>
  </si>
  <si>
    <t>工業製程之直接排放和移除</t>
  </si>
  <si>
    <t>類別 5：使用來自組織產品</t>
  </si>
  <si>
    <t>類別 6：其他來源</t>
  </si>
  <si>
    <r>
      <t>間接溫室氣體排放 (公噸CO</t>
    </r>
    <r>
      <rPr>
        <b/>
        <vertAlign val="subscript"/>
        <sz val="16"/>
        <color rgb="FF000000"/>
        <rFont val="微軟正黑體"/>
        <family val="2"/>
      </rPr>
      <t>2</t>
    </r>
    <r>
      <rPr>
        <b/>
        <sz val="16"/>
        <color rgb="FF000000"/>
        <rFont val="微軟正黑體"/>
        <family val="2"/>
      </rPr>
      <t xml:space="preserve">e) </t>
    </r>
  </si>
  <si>
    <t>類別2：輸入能源</t>
  </si>
  <si>
    <t>輸入電力/能源</t>
    <phoneticPr fontId="65" type="noConversion"/>
  </si>
  <si>
    <t>類別3：運輸</t>
  </si>
  <si>
    <t>員工通勤</t>
  </si>
  <si>
    <t>類別4：組織使用產品</t>
  </si>
  <si>
    <t>類別5：使用來自組織產品</t>
  </si>
  <si>
    <t>投資</t>
  </si>
  <si>
    <t>類別6：其他來源</t>
  </si>
  <si>
    <t>其他排放</t>
    <phoneticPr fontId="1" type="noConversion"/>
  </si>
  <si>
    <t>輸入蒸氣</t>
    <phoneticPr fontId="65" type="noConversion"/>
  </si>
  <si>
    <t>上游原物料配送</t>
    <phoneticPr fontId="1" type="noConversion"/>
  </si>
  <si>
    <t>商務旅遊</t>
  </si>
  <si>
    <t>商務旅遊</t>
    <phoneticPr fontId="1" type="noConversion"/>
  </si>
  <si>
    <t>員工通勤</t>
    <phoneticPr fontId="1" type="noConversion"/>
  </si>
  <si>
    <t>下游的運輸及配送</t>
  </si>
  <si>
    <t>下游的運輸及配送</t>
    <phoneticPr fontId="1" type="noConversion"/>
  </si>
  <si>
    <t>採購</t>
  </si>
  <si>
    <t>採購</t>
    <phoneticPr fontId="1" type="noConversion"/>
  </si>
  <si>
    <t>資本</t>
  </si>
  <si>
    <t>資本</t>
    <phoneticPr fontId="1" type="noConversion"/>
  </si>
  <si>
    <t>能源相關活動</t>
  </si>
  <si>
    <t>能源相關活動</t>
    <phoneticPr fontId="1" type="noConversion"/>
  </si>
  <si>
    <t>營運廢棄物</t>
  </si>
  <si>
    <t>營運廢棄物</t>
    <phoneticPr fontId="1" type="noConversion"/>
  </si>
  <si>
    <t>上游資產租賃</t>
  </si>
  <si>
    <t>上游資產租賃</t>
    <phoneticPr fontId="1" type="noConversion"/>
  </si>
  <si>
    <t>使用</t>
  </si>
  <si>
    <t>使用</t>
    <phoneticPr fontId="1" type="noConversion"/>
  </si>
  <si>
    <t>報廢</t>
  </si>
  <si>
    <t>報廢</t>
    <phoneticPr fontId="1" type="noConversion"/>
  </si>
  <si>
    <t>下游租賃</t>
  </si>
  <si>
    <t>下游租賃</t>
    <phoneticPr fontId="1" type="noConversion"/>
  </si>
  <si>
    <t>加盟</t>
  </si>
  <si>
    <t>加盟</t>
    <phoneticPr fontId="1" type="noConversion"/>
  </si>
  <si>
    <t>3.5 由業務旅運產生的排放</t>
  </si>
  <si>
    <t>3.3 員工通勤產生之排放</t>
  </si>
  <si>
    <t>4.1 由採購的貨物產生之排放</t>
  </si>
  <si>
    <t>4.2 由資本財產生之排放</t>
  </si>
  <si>
    <t>組織使用產品</t>
    <phoneticPr fontId="1" type="noConversion"/>
  </si>
  <si>
    <t>其他</t>
    <phoneticPr fontId="1" type="noConversion"/>
  </si>
  <si>
    <t>使用來自組織產品</t>
  </si>
  <si>
    <t>4.3 由處置固體與液體廢棄物產生之排放</t>
  </si>
  <si>
    <t>4.4 由資產使用產生之排放</t>
  </si>
  <si>
    <t>5.1 由產品使用階段產生之排放或移除</t>
  </si>
  <si>
    <t>5.3 由產品生命終止階段產生之排放</t>
  </si>
  <si>
    <t>5.4 由投資產生之排放</t>
  </si>
  <si>
    <t>5.2 由下游承租的資產產生之排放</t>
  </si>
  <si>
    <t>6.1 由其他來源產生的間接溫室氣體排放</t>
  </si>
  <si>
    <t>公噸CO2e</t>
  </si>
  <si>
    <t>公噸CO2e</t>
    <phoneticPr fontId="1" type="noConversion"/>
  </si>
  <si>
    <t>公噸/公噸CO2e</t>
  </si>
  <si>
    <t>公噸/公噸CO2e</t>
    <phoneticPr fontId="1" type="noConversion"/>
  </si>
  <si>
    <t>投資</t>
    <phoneticPr fontId="1" type="noConversion"/>
  </si>
  <si>
    <t>工廠名稱</t>
    <phoneticPr fontId="1" type="noConversion"/>
  </si>
  <si>
    <t>工廠登記證</t>
    <phoneticPr fontId="1" type="noConversion"/>
  </si>
  <si>
    <t>工廠地址</t>
    <phoneticPr fontId="1" type="noConversion"/>
  </si>
  <si>
    <t>產業別</t>
    <phoneticPr fontId="1" type="noConversion"/>
  </si>
  <si>
    <t>單位名稱</t>
    <phoneticPr fontId="1" type="noConversion"/>
  </si>
  <si>
    <t>聯絡人</t>
    <phoneticPr fontId="1" type="noConversion"/>
  </si>
  <si>
    <t>職稱</t>
    <phoneticPr fontId="1" type="noConversion"/>
  </si>
  <si>
    <t>電話</t>
    <phoneticPr fontId="1" type="noConversion"/>
  </si>
  <si>
    <t>E-MAIL</t>
    <phoneticPr fontId="1" type="noConversion"/>
  </si>
  <si>
    <t>聯絡資訊</t>
    <phoneticPr fontId="1" type="noConversion"/>
  </si>
  <si>
    <t>單位資訊</t>
    <phoneticPr fontId="1" type="noConversion"/>
  </si>
  <si>
    <t>單位性質(非製造業)</t>
    <phoneticPr fontId="1" type="noConversion"/>
  </si>
  <si>
    <t>工廠資訊(製造業)</t>
    <phoneticPr fontId="1" type="noConversion"/>
  </si>
  <si>
    <t>行業別</t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</si>
  <si>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#4</t>
    </r>
    <phoneticPr fontId="1" type="noConversion"/>
  </si>
  <si>
    <t>溫室氣體排放係數管理表6.0.4版
轉換為人時單位</t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</si>
  <si>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#4-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</si>
  <si>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t>IPCC 建議值，取中間值計算</t>
  </si>
  <si>
    <t>供應商提供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</si>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</sst>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0.0000000000_ "/>
    <numFmt numFmtId="177" formatCode="0.0000_ "/>
    <numFmt numFmtId="178" formatCode="0.00;[Red]0.00"/>
    <numFmt numFmtId="179" formatCode="0.0000;[Red]0.0000"/>
    <numFmt numFmtId="180" formatCode="0.0000000000_);[Red]\(0.0000000000\)"/>
    <numFmt numFmtId="181" formatCode="_-* #,##0.000_-;\-* #,##0.000_-;_-* &quot;-&quot;??_-;_-@_-"/>
    <numFmt numFmtId="182" formatCode="_-* #,##0.0000_-;\-* #,##0.0000_-;_-* &quot;-&quot;??_-;_-@_-"/>
    <numFmt numFmtId="183" formatCode="0.0%"/>
    <numFmt numFmtId="184" formatCode="&quot;-&quot;0.0%"/>
    <numFmt numFmtId="185" formatCode="&quot;+&quot;0.0%"/>
    <numFmt numFmtId="186" formatCode="0.0000000000&quot; &quot;;[Red]&quot;(&quot;0.0000000000&quot;)&quot;"/>
    <numFmt numFmtId="187" formatCode="0.0&quot; &quot;"/>
    <numFmt numFmtId="188" formatCode="#,##0&quot; &quot;;[Red]&quot;(&quot;#,##0&quot;)&quot;"/>
    <numFmt numFmtId="189" formatCode="0.0&quot; &quot;;[Red]&quot;(&quot;0.0&quot;)&quot;"/>
    <numFmt numFmtId="190" formatCode="#,##0&quot; &quot;"/>
    <numFmt numFmtId="191" formatCode="&quot; &quot;#,##0.00&quot; &quot;;&quot;-&quot;#,##0.00&quot; &quot;;&quot; -&quot;00&quot; &quot;;&quot; &quot;@&quot; &quot;"/>
    <numFmt numFmtId="192" formatCode="#,##0.0&quot; &quot;"/>
  </numFmts>
  <fonts count="7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0"/>
      <color rgb="FF00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theme="1"/>
      <name val="Calibri"/>
      <family val="2"/>
    </font>
    <font>
      <sz val="12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vertAlign val="subscript"/>
      <sz val="10"/>
      <name val="Calibri"/>
      <family val="2"/>
    </font>
    <font>
      <b/>
      <sz val="10"/>
      <color rgb="FF202124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rgb="FF000066"/>
      <name val="微軟正黑體"/>
      <family val="2"/>
      <charset val="136"/>
    </font>
    <font>
      <sz val="10"/>
      <color rgb="FF000066"/>
      <name val="Traditional Arabic"/>
      <family val="1"/>
      <charset val="178"/>
    </font>
    <font>
      <b/>
      <sz val="10"/>
      <color rgb="FF000066"/>
      <name val="Traditional Arabic"/>
      <family val="1"/>
      <charset val="178"/>
    </font>
    <font>
      <b/>
      <sz val="10"/>
      <color rgb="FF000080"/>
      <name val="微軟正黑體"/>
      <family val="2"/>
      <charset val="136"/>
    </font>
    <font>
      <b/>
      <vertAlign val="superscript"/>
      <sz val="10"/>
      <color rgb="FF000080"/>
      <name val="Traditional Arabic"/>
      <family val="1"/>
      <charset val="178"/>
    </font>
    <font>
      <b/>
      <sz val="10"/>
      <color rgb="FF000080"/>
      <name val="Traditional Arabic"/>
      <family val="1"/>
      <charset val="178"/>
    </font>
    <font>
      <b/>
      <sz val="10"/>
      <color rgb="FF000066"/>
      <name val="細明體"/>
      <family val="3"/>
      <charset val="136"/>
    </font>
    <font>
      <sz val="10"/>
      <color rgb="FF000000"/>
      <name val="Traditional Arabic"/>
      <family val="1"/>
      <charset val="178"/>
    </font>
    <font>
      <vertAlign val="superscript"/>
      <sz val="10"/>
      <color rgb="FF000000"/>
      <name val="Traditional Arabic"/>
      <family val="1"/>
      <charset val="178"/>
    </font>
    <font>
      <sz val="10"/>
      <color rgb="FF0000FF"/>
      <name val="Traditional Arabic"/>
      <family val="1"/>
      <charset val="178"/>
    </font>
    <font>
      <b/>
      <sz val="10"/>
      <color rgb="FFFF0066"/>
      <name val="Traditional Arabic"/>
      <family val="1"/>
      <charset val="178"/>
    </font>
    <font>
      <sz val="10"/>
      <color rgb="FFFF0000"/>
      <name val="Traditional Arabic"/>
      <family val="1"/>
      <charset val="178"/>
    </font>
    <font>
      <b/>
      <sz val="12"/>
      <color rgb="FF000000"/>
      <name val="Times New Roman"/>
      <family val="1"/>
    </font>
    <font>
      <b/>
      <sz val="12"/>
      <color rgb="FF000000"/>
      <name val="微軟正黑體"/>
      <family val="2"/>
      <charset val="136"/>
    </font>
    <font>
      <sz val="12"/>
      <color rgb="FF000000"/>
      <name val="Times New Roman"/>
      <family val="1"/>
    </font>
    <font>
      <sz val="12"/>
      <color rgb="FF000000"/>
      <name val="微軟正黑體"/>
      <family val="2"/>
      <charset val="136"/>
    </font>
    <font>
      <sz val="12"/>
      <color rgb="FF000000"/>
      <name val="細明體"/>
      <family val="3"/>
      <charset val="136"/>
    </font>
    <font>
      <sz val="12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FF"/>
      <name val="Times New Roman"/>
      <family val="1"/>
    </font>
    <font>
      <b/>
      <sz val="14"/>
      <color rgb="FF0000FF"/>
      <name val="標楷體"/>
      <family val="4"/>
      <charset val="136"/>
    </font>
    <font>
      <sz val="12"/>
      <color theme="1"/>
      <name val="Times New Roman"/>
      <family val="1"/>
    </font>
    <font>
      <b/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sz val="10"/>
      <name val="新細明體"/>
      <family val="2"/>
      <charset val="136"/>
    </font>
    <font>
      <sz val="10"/>
      <color rgb="FF000000"/>
      <name val="Traditional Arabic"/>
      <family val="2"/>
      <charset val="136"/>
    </font>
    <font>
      <sz val="10"/>
      <color rgb="FF000000"/>
      <name val="新細明體"/>
      <family val="1"/>
      <charset val="136"/>
    </font>
    <font>
      <vertAlign val="subscript"/>
      <sz val="10"/>
      <color theme="1"/>
      <name val="微軟正黑體"/>
      <family val="2"/>
      <charset val="136"/>
    </font>
    <font>
      <sz val="12"/>
      <color rgb="FF000000"/>
      <name val="新細明體"/>
      <family val="1"/>
    </font>
    <font>
      <b/>
      <sz val="16"/>
      <color theme="1"/>
      <name val="微軟正黑體"/>
      <family val="2"/>
    </font>
    <font>
      <b/>
      <vertAlign val="subscript"/>
      <sz val="16"/>
      <color theme="1"/>
      <name val="微軟正黑體"/>
      <family val="2"/>
    </font>
    <font>
      <sz val="16"/>
      <color rgb="FF000000"/>
      <name val="微軟正黑體"/>
      <family val="2"/>
    </font>
    <font>
      <b/>
      <sz val="12"/>
      <color theme="1"/>
      <name val="微軟正黑體"/>
      <family val="2"/>
    </font>
    <font>
      <b/>
      <vertAlign val="subscript"/>
      <sz val="12"/>
      <color indexed="8"/>
      <name val="微軟正黑體"/>
      <family val="2"/>
    </font>
    <font>
      <b/>
      <sz val="12"/>
      <color indexed="8"/>
      <name val="微軟正黑體"/>
      <family val="2"/>
    </font>
    <font>
      <sz val="12"/>
      <color rgb="FF000000"/>
      <name val="微軟正黑體"/>
      <family val="2"/>
    </font>
    <font>
      <b/>
      <sz val="12"/>
      <name val="微軟正黑體"/>
      <family val="2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</font>
    <font>
      <b/>
      <sz val="16"/>
      <color rgb="FF000000"/>
      <name val="微軟正黑體"/>
      <family val="2"/>
    </font>
    <font>
      <b/>
      <vertAlign val="subscript"/>
      <sz val="16"/>
      <color rgb="FF000000"/>
      <name val="微軟正黑體"/>
      <family val="2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rgb="FFFF0000"/>
      <name val="微軟正黑體"/>
      <family val="2"/>
    </font>
    <font>
      <sz val="12"/>
      <color theme="1"/>
      <name val="微軟正黑體"/>
      <family val="2"/>
      <charset val="136"/>
    </font>
    <font>
      <sz val="10"/>
      <color rgb="FFFF0000"/>
      <name val="Calibri"/>
      <family val="2"/>
    </font>
    <font>
      <b/>
      <sz val="10"/>
      <color theme="1"/>
      <name val="Calibri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0" fontId="19" fillId="0" borderId="0"/>
    <xf numFmtId="9" fontId="19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43" fontId="51" fillId="0" borderId="0" applyFont="0" applyFill="0" applyBorder="0" applyProtection="0"/>
    <xf numFmtId="0" fontId="60" fillId="0" borderId="0">
      <alignment vertical="center"/>
    </xf>
  </cellStyleXfs>
  <cellXfs count="2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2" fontId="4" fillId="5" borderId="1" xfId="3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82" fontId="4" fillId="4" borderId="1" xfId="3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180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177" fontId="4" fillId="6" borderId="1" xfId="0" applyNumberFormat="1" applyFont="1" applyFill="1" applyBorder="1">
      <alignment vertical="center"/>
    </xf>
    <xf numFmtId="182" fontId="4" fillId="7" borderId="1" xfId="3" applyNumberFormat="1" applyFont="1" applyFill="1" applyBorder="1">
      <alignment vertical="center"/>
    </xf>
    <xf numFmtId="183" fontId="4" fillId="4" borderId="1" xfId="2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181" fontId="4" fillId="8" borderId="1" xfId="3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2" fillId="2" borderId="1" xfId="0" applyFont="1" applyFill="1" applyBorder="1">
      <alignment vertical="center"/>
    </xf>
    <xf numFmtId="0" fontId="21" fillId="0" borderId="0" xfId="1" applyFont="1" applyAlignment="1">
      <alignment vertical="center"/>
    </xf>
    <xf numFmtId="0" fontId="22" fillId="10" borderId="9" xfId="1" applyFont="1" applyFill="1" applyBorder="1" applyAlignment="1">
      <alignment horizontal="center" vertical="center"/>
    </xf>
    <xf numFmtId="0" fontId="22" fillId="10" borderId="9" xfId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 wrapText="1"/>
    </xf>
    <xf numFmtId="178" fontId="22" fillId="10" borderId="9" xfId="1" applyNumberFormat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/>
    </xf>
    <xf numFmtId="0" fontId="22" fillId="10" borderId="9" xfId="1" applyFont="1" applyFill="1" applyBorder="1" applyAlignment="1">
      <alignment vertical="center" wrapText="1"/>
    </xf>
    <xf numFmtId="179" fontId="22" fillId="10" borderId="9" xfId="1" applyNumberFormat="1" applyFont="1" applyFill="1" applyBorder="1" applyAlignment="1">
      <alignment horizontal="center" vertical="center" wrapText="1"/>
    </xf>
    <xf numFmtId="0" fontId="27" fillId="0" borderId="9" xfId="1" applyFont="1" applyBorder="1" applyAlignment="1">
      <alignment vertical="center"/>
    </xf>
    <xf numFmtId="0" fontId="27" fillId="0" borderId="9" xfId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 wrapText="1"/>
    </xf>
    <xf numFmtId="184" fontId="27" fillId="12" borderId="9" xfId="1" applyNumberFormat="1" applyFont="1" applyFill="1" applyBorder="1" applyAlignment="1">
      <alignment horizontal="center" vertical="center"/>
    </xf>
    <xf numFmtId="185" fontId="27" fillId="12" borderId="9" xfId="1" applyNumberFormat="1" applyFont="1" applyFill="1" applyBorder="1" applyAlignment="1">
      <alignment horizontal="center" vertical="center"/>
    </xf>
    <xf numFmtId="11" fontId="27" fillId="0" borderId="9" xfId="1" applyNumberFormat="1" applyFont="1" applyBorder="1" applyAlignment="1">
      <alignment horizontal="center" vertical="center"/>
    </xf>
    <xf numFmtId="186" fontId="27" fillId="13" borderId="9" xfId="1" applyNumberFormat="1" applyFont="1" applyFill="1" applyBorder="1" applyAlignment="1">
      <alignment horizontal="center" vertical="center" wrapText="1"/>
    </xf>
    <xf numFmtId="0" fontId="27" fillId="13" borderId="9" xfId="1" applyFont="1" applyFill="1" applyBorder="1" applyAlignment="1">
      <alignment horizontal="center" vertical="center"/>
    </xf>
    <xf numFmtId="184" fontId="27" fillId="13" borderId="9" xfId="1" applyNumberFormat="1" applyFont="1" applyFill="1" applyBorder="1" applyAlignment="1">
      <alignment horizontal="center" vertical="center"/>
    </xf>
    <xf numFmtId="185" fontId="27" fillId="13" borderId="9" xfId="1" applyNumberFormat="1" applyFont="1" applyFill="1" applyBorder="1" applyAlignment="1">
      <alignment horizontal="center" vertical="center"/>
    </xf>
    <xf numFmtId="185" fontId="9" fillId="14" borderId="9" xfId="0" applyNumberFormat="1" applyFont="1" applyFill="1" applyBorder="1" applyAlignment="1">
      <alignment horizontal="center" vertical="center"/>
    </xf>
    <xf numFmtId="185" fontId="27" fillId="14" borderId="9" xfId="0" applyNumberFormat="1" applyFont="1" applyFill="1" applyBorder="1" applyAlignment="1">
      <alignment horizontal="center" vertical="center"/>
    </xf>
    <xf numFmtId="187" fontId="27" fillId="11" borderId="9" xfId="1" applyNumberFormat="1" applyFont="1" applyFill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/>
    </xf>
    <xf numFmtId="188" fontId="27" fillId="11" borderId="9" xfId="1" applyNumberFormat="1" applyFont="1" applyFill="1" applyBorder="1" applyAlignment="1">
      <alignment horizontal="center" vertical="center"/>
    </xf>
    <xf numFmtId="189" fontId="27" fillId="11" borderId="9" xfId="1" applyNumberFormat="1" applyFont="1" applyFill="1" applyBorder="1" applyAlignment="1">
      <alignment horizontal="center" vertical="center"/>
    </xf>
    <xf numFmtId="188" fontId="27" fillId="11" borderId="9" xfId="1" applyNumberFormat="1" applyFont="1" applyFill="1" applyBorder="1" applyAlignment="1">
      <alignment horizontal="center" vertical="center" wrapText="1"/>
    </xf>
    <xf numFmtId="186" fontId="27" fillId="0" borderId="9" xfId="1" applyNumberFormat="1" applyFont="1" applyBorder="1" applyAlignment="1">
      <alignment vertical="center"/>
    </xf>
    <xf numFmtId="0" fontId="27" fillId="14" borderId="9" xfId="1" applyFont="1" applyFill="1" applyBorder="1" applyAlignment="1">
      <alignment vertical="center"/>
    </xf>
    <xf numFmtId="0" fontId="29" fillId="0" borderId="9" xfId="1" applyFont="1" applyBorder="1" applyAlignment="1">
      <alignment horizontal="center" vertical="center"/>
    </xf>
    <xf numFmtId="187" fontId="27" fillId="11" borderId="9" xfId="1" applyNumberFormat="1" applyFont="1" applyFill="1" applyBorder="1" applyAlignment="1">
      <alignment horizontal="center" vertical="center"/>
    </xf>
    <xf numFmtId="0" fontId="27" fillId="0" borderId="9" xfId="1" applyFont="1" applyBorder="1" applyAlignment="1">
      <alignment vertical="center" wrapText="1"/>
    </xf>
    <xf numFmtId="0" fontId="30" fillId="0" borderId="9" xfId="1" applyFont="1" applyBorder="1" applyAlignment="1">
      <alignment horizontal="center" vertical="center"/>
    </xf>
    <xf numFmtId="186" fontId="31" fillId="13" borderId="9" xfId="1" applyNumberFormat="1" applyFont="1" applyFill="1" applyBorder="1" applyAlignment="1">
      <alignment horizontal="center" vertical="center" wrapText="1"/>
    </xf>
    <xf numFmtId="0" fontId="9" fillId="0" borderId="9" xfId="1" applyFont="1" applyBorder="1" applyAlignment="1">
      <alignment vertical="center"/>
    </xf>
    <xf numFmtId="178" fontId="27" fillId="13" borderId="9" xfId="1" applyNumberFormat="1" applyFont="1" applyFill="1" applyBorder="1" applyAlignment="1">
      <alignment horizontal="center" vertical="center" wrapText="1"/>
    </xf>
    <xf numFmtId="178" fontId="27" fillId="14" borderId="9" xfId="1" applyNumberFormat="1" applyFont="1" applyFill="1" applyBorder="1" applyAlignment="1">
      <alignment horizontal="center" vertical="center" wrapText="1"/>
    </xf>
    <xf numFmtId="187" fontId="30" fillId="11" borderId="9" xfId="1" applyNumberFormat="1" applyFont="1" applyFill="1" applyBorder="1" applyAlignment="1">
      <alignment horizontal="center" vertical="center" wrapText="1"/>
    </xf>
    <xf numFmtId="0" fontId="32" fillId="12" borderId="9" xfId="1" applyFont="1" applyFill="1" applyBorder="1" applyAlignment="1">
      <alignment horizontal="center" vertical="center"/>
    </xf>
    <xf numFmtId="190" fontId="32" fillId="12" borderId="9" xfId="1" applyNumberFormat="1" applyFont="1" applyFill="1" applyBorder="1" applyAlignment="1">
      <alignment horizontal="center" vertical="center"/>
    </xf>
    <xf numFmtId="0" fontId="34" fillId="15" borderId="9" xfId="1" applyFont="1" applyFill="1" applyBorder="1" applyAlignment="1">
      <alignment vertical="center"/>
    </xf>
    <xf numFmtId="190" fontId="34" fillId="10" borderId="9" xfId="1" applyNumberFormat="1" applyFont="1" applyFill="1" applyBorder="1" applyAlignment="1">
      <alignment horizontal="center" vertical="center"/>
    </xf>
    <xf numFmtId="190" fontId="34" fillId="12" borderId="9" xfId="1" applyNumberFormat="1" applyFont="1" applyFill="1" applyBorder="1" applyAlignment="1">
      <alignment horizontal="center" vertical="center"/>
    </xf>
    <xf numFmtId="0" fontId="34" fillId="12" borderId="9" xfId="1" applyFont="1" applyFill="1" applyBorder="1" applyAlignment="1">
      <alignment horizontal="center" vertical="center"/>
    </xf>
    <xf numFmtId="0" fontId="34" fillId="15" borderId="9" xfId="1" applyFont="1" applyFill="1" applyBorder="1" applyAlignment="1">
      <alignment horizontal="left" vertical="center" wrapText="1"/>
    </xf>
    <xf numFmtId="190" fontId="34" fillId="12" borderId="9" xfId="1" applyNumberFormat="1" applyFont="1" applyFill="1" applyBorder="1" applyAlignment="1">
      <alignment horizontal="center" vertical="center" wrapText="1"/>
    </xf>
    <xf numFmtId="0" fontId="34" fillId="15" borderId="9" xfId="1" applyFont="1" applyFill="1" applyBorder="1" applyAlignment="1">
      <alignment horizontal="left" vertical="center"/>
    </xf>
    <xf numFmtId="0" fontId="34" fillId="12" borderId="9" xfId="1" applyFont="1" applyFill="1" applyBorder="1" applyAlignment="1">
      <alignment horizontal="left" vertical="center" wrapText="1"/>
    </xf>
    <xf numFmtId="190" fontId="34" fillId="12" borderId="9" xfId="4" applyNumberFormat="1" applyFont="1" applyFill="1" applyBorder="1" applyAlignment="1">
      <alignment horizontal="center" vertical="center"/>
    </xf>
    <xf numFmtId="190" fontId="36" fillId="12" borderId="9" xfId="4" applyNumberFormat="1" applyFont="1" applyFill="1" applyBorder="1" applyAlignment="1">
      <alignment horizontal="center" vertical="center"/>
    </xf>
    <xf numFmtId="0" fontId="34" fillId="0" borderId="0" xfId="5" applyFont="1" applyAlignment="1">
      <alignment vertical="center"/>
    </xf>
    <xf numFmtId="0" fontId="19" fillId="0" borderId="0" xfId="5"/>
    <xf numFmtId="0" fontId="34" fillId="0" borderId="0" xfId="5" applyFont="1" applyAlignment="1">
      <alignment horizontal="left" vertical="center"/>
    </xf>
    <xf numFmtId="0" fontId="34" fillId="0" borderId="9" xfId="5" applyFont="1" applyBorder="1" applyAlignment="1">
      <alignment horizontal="center" vertical="center"/>
    </xf>
    <xf numFmtId="0" fontId="34" fillId="12" borderId="9" xfId="5" applyFont="1" applyFill="1" applyBorder="1" applyAlignment="1">
      <alignment horizontal="left" vertical="center" wrapText="1"/>
    </xf>
    <xf numFmtId="0" fontId="34" fillId="12" borderId="9" xfId="5" applyFont="1" applyFill="1" applyBorder="1" applyAlignment="1">
      <alignment vertical="center" wrapText="1"/>
    </xf>
    <xf numFmtId="0" fontId="34" fillId="12" borderId="9" xfId="5" applyFont="1" applyFill="1" applyBorder="1" applyAlignment="1">
      <alignment horizontal="center" vertical="center" wrapText="1"/>
    </xf>
    <xf numFmtId="0" fontId="34" fillId="12" borderId="9" xfId="5" applyFont="1" applyFill="1" applyBorder="1" applyAlignment="1">
      <alignment horizontal="center" vertical="center"/>
    </xf>
    <xf numFmtId="0" fontId="40" fillId="0" borderId="0" xfId="5" applyFont="1" applyAlignment="1">
      <alignment vertical="center"/>
    </xf>
    <xf numFmtId="0" fontId="42" fillId="12" borderId="9" xfId="1" applyFont="1" applyFill="1" applyBorder="1" applyAlignment="1">
      <alignment horizontal="center" vertical="center"/>
    </xf>
    <xf numFmtId="192" fontId="34" fillId="12" borderId="9" xfId="1" applyNumberFormat="1" applyFont="1" applyFill="1" applyBorder="1" applyAlignment="1">
      <alignment horizontal="center" vertical="center" wrapText="1"/>
    </xf>
    <xf numFmtId="192" fontId="34" fillId="10" borderId="9" xfId="1" applyNumberFormat="1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1" xfId="0" applyFont="1" applyFill="1" applyBorder="1">
      <alignment vertical="center"/>
    </xf>
    <xf numFmtId="177" fontId="4" fillId="4" borderId="1" xfId="0" applyNumberFormat="1" applyFont="1" applyFill="1" applyBorder="1">
      <alignment vertical="center"/>
    </xf>
    <xf numFmtId="0" fontId="47" fillId="5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vertical="center" wrapText="1"/>
    </xf>
    <xf numFmtId="0" fontId="46" fillId="6" borderId="1" xfId="0" applyFont="1" applyFill="1" applyBorder="1" applyAlignment="1">
      <alignment vertical="center" wrapText="1"/>
    </xf>
    <xf numFmtId="0" fontId="5" fillId="0" borderId="9" xfId="1" applyFont="1" applyBorder="1" applyAlignment="1">
      <alignment vertical="center"/>
    </xf>
    <xf numFmtId="0" fontId="48" fillId="0" borderId="9" xfId="1" applyFont="1" applyBorder="1" applyAlignment="1">
      <alignment vertical="center"/>
    </xf>
    <xf numFmtId="0" fontId="48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49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46" fillId="4" borderId="1" xfId="0" applyFont="1" applyFill="1" applyBorder="1" applyAlignment="1">
      <alignment horizontal="center" vertical="center" wrapText="1"/>
    </xf>
    <xf numFmtId="0" fontId="45" fillId="5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182" fontId="54" fillId="0" borderId="1" xfId="7" applyNumberFormat="1" applyFont="1" applyBorder="1">
      <alignment vertical="center"/>
    </xf>
    <xf numFmtId="0" fontId="55" fillId="0" borderId="1" xfId="7" applyFont="1" applyBorder="1" applyAlignment="1">
      <alignment horizontal="center" vertical="center"/>
    </xf>
    <xf numFmtId="0" fontId="58" fillId="0" borderId="0" xfId="7" applyFont="1">
      <alignment vertical="center"/>
    </xf>
    <xf numFmtId="0" fontId="58" fillId="0" borderId="1" xfId="7" applyFont="1" applyBorder="1" applyAlignment="1">
      <alignment horizontal="center" vertical="center"/>
    </xf>
    <xf numFmtId="0" fontId="58" fillId="0" borderId="1" xfId="7" applyFont="1" applyBorder="1">
      <alignment vertical="center"/>
    </xf>
    <xf numFmtId="182" fontId="59" fillId="0" borderId="1" xfId="7" applyNumberFormat="1" applyFont="1" applyBorder="1" applyAlignment="1">
      <alignment horizontal="center" vertical="center"/>
    </xf>
    <xf numFmtId="10" fontId="59" fillId="0" borderId="1" xfId="2" applyNumberFormat="1" applyFont="1" applyFill="1" applyBorder="1" applyAlignment="1">
      <alignment horizontal="center" vertical="center"/>
    </xf>
    <xf numFmtId="182" fontId="55" fillId="0" borderId="1" xfId="7" applyNumberFormat="1" applyFont="1" applyBorder="1" applyAlignment="1">
      <alignment horizontal="center" vertical="center"/>
    </xf>
    <xf numFmtId="0" fontId="55" fillId="0" borderId="1" xfId="7" applyFont="1" applyBorder="1">
      <alignment vertical="center"/>
    </xf>
    <xf numFmtId="182" fontId="61" fillId="0" borderId="1" xfId="8" applyNumberFormat="1" applyFont="1" applyFill="1" applyBorder="1" applyAlignment="1">
      <alignment horizontal="center" vertical="center"/>
    </xf>
    <xf numFmtId="0" fontId="58" fillId="0" borderId="0" xfId="7" applyFont="1" applyAlignment="1">
      <alignment horizontal="left" vertical="center"/>
    </xf>
    <xf numFmtId="181" fontId="59" fillId="0" borderId="1" xfId="7" applyNumberFormat="1" applyFont="1" applyBorder="1" applyAlignment="1">
      <alignment horizontal="center" vertical="center"/>
    </xf>
    <xf numFmtId="0" fontId="68" fillId="2" borderId="1" xfId="0" applyFont="1" applyFill="1" applyBorder="1" applyAlignment="1">
      <alignment horizontal="center" vertical="center"/>
    </xf>
    <xf numFmtId="182" fontId="66" fillId="0" borderId="1" xfId="8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>
      <alignment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59" fillId="18" borderId="5" xfId="7" applyFont="1" applyFill="1" applyBorder="1" applyAlignment="1">
      <alignment horizontal="left" vertical="center" wrapText="1"/>
    </xf>
    <xf numFmtId="0" fontId="59" fillId="18" borderId="6" xfId="7" applyFont="1" applyFill="1" applyBorder="1" applyAlignment="1">
      <alignment horizontal="left" vertical="center" wrapText="1"/>
    </xf>
    <xf numFmtId="0" fontId="59" fillId="18" borderId="7" xfId="7" applyFont="1" applyFill="1" applyBorder="1" applyAlignment="1">
      <alignment horizontal="left" vertical="center" wrapText="1"/>
    </xf>
    <xf numFmtId="0" fontId="59" fillId="20" borderId="5" xfId="7" applyFont="1" applyFill="1" applyBorder="1" applyAlignment="1">
      <alignment horizontal="left" vertical="center" wrapText="1"/>
    </xf>
    <xf numFmtId="0" fontId="59" fillId="20" borderId="6" xfId="7" applyFont="1" applyFill="1" applyBorder="1" applyAlignment="1">
      <alignment horizontal="left" vertical="center" wrapText="1"/>
    </xf>
    <xf numFmtId="0" fontId="59" fillId="20" borderId="7" xfId="7" applyFont="1" applyFill="1" applyBorder="1" applyAlignment="1">
      <alignment horizontal="left" vertical="center" wrapText="1"/>
    </xf>
    <xf numFmtId="0" fontId="59" fillId="22" borderId="5" xfId="7" applyFont="1" applyFill="1" applyBorder="1" applyAlignment="1">
      <alignment horizontal="left" vertical="center" wrapText="1"/>
    </xf>
    <xf numFmtId="0" fontId="59" fillId="22" borderId="6" xfId="7" applyFont="1" applyFill="1" applyBorder="1" applyAlignment="1">
      <alignment horizontal="left" vertical="center" wrapText="1"/>
    </xf>
    <xf numFmtId="0" fontId="59" fillId="22" borderId="7" xfId="7" applyFont="1" applyFill="1" applyBorder="1" applyAlignment="1">
      <alignment horizontal="left" vertical="center" wrapText="1"/>
    </xf>
    <xf numFmtId="0" fontId="59" fillId="24" borderId="5" xfId="7" applyFont="1" applyFill="1" applyBorder="1" applyAlignment="1">
      <alignment horizontal="left" vertical="center" wrapText="1"/>
    </xf>
    <xf numFmtId="0" fontId="59" fillId="24" borderId="6" xfId="7" applyFont="1" applyFill="1" applyBorder="1" applyAlignment="1">
      <alignment horizontal="left" vertical="center" wrapText="1"/>
    </xf>
    <xf numFmtId="0" fontId="59" fillId="24" borderId="7" xfId="7" applyFont="1" applyFill="1" applyBorder="1" applyAlignment="1">
      <alignment horizontal="left" vertical="center" wrapText="1"/>
    </xf>
    <xf numFmtId="0" fontId="61" fillId="19" borderId="5" xfId="7" applyFont="1" applyFill="1" applyBorder="1" applyAlignment="1">
      <alignment horizontal="left" vertical="center" wrapText="1"/>
    </xf>
    <xf numFmtId="0" fontId="67" fillId="19" borderId="6" xfId="7" applyFont="1" applyFill="1" applyBorder="1" applyAlignment="1">
      <alignment horizontal="left" vertical="center" wrapText="1"/>
    </xf>
    <xf numFmtId="0" fontId="67" fillId="19" borderId="7" xfId="7" applyFont="1" applyFill="1" applyBorder="1" applyAlignment="1">
      <alignment horizontal="left" vertical="center" wrapText="1"/>
    </xf>
    <xf numFmtId="0" fontId="67" fillId="19" borderId="5" xfId="7" applyFont="1" applyFill="1" applyBorder="1" applyAlignment="1">
      <alignment horizontal="left" vertical="center" wrapText="1"/>
    </xf>
    <xf numFmtId="0" fontId="64" fillId="25" borderId="5" xfId="7" applyFont="1" applyFill="1" applyBorder="1" applyAlignment="1">
      <alignment horizontal="left" vertical="center" wrapText="1" readingOrder="1"/>
    </xf>
    <xf numFmtId="0" fontId="64" fillId="25" borderId="6" xfId="7" applyFont="1" applyFill="1" applyBorder="1" applyAlignment="1">
      <alignment horizontal="left" vertical="center" wrapText="1" readingOrder="1"/>
    </xf>
    <xf numFmtId="0" fontId="64" fillId="25" borderId="7" xfId="7" applyFont="1" applyFill="1" applyBorder="1" applyAlignment="1">
      <alignment horizontal="left" vertical="center" wrapText="1" readingOrder="1"/>
    </xf>
    <xf numFmtId="0" fontId="64" fillId="23" borderId="5" xfId="7" applyFont="1" applyFill="1" applyBorder="1" applyAlignment="1">
      <alignment horizontal="left" vertical="center" wrapText="1" readingOrder="1"/>
    </xf>
    <xf numFmtId="0" fontId="64" fillId="23" borderId="6" xfId="7" applyFont="1" applyFill="1" applyBorder="1" applyAlignment="1">
      <alignment horizontal="left" vertical="center" wrapText="1" readingOrder="1"/>
    </xf>
    <xf numFmtId="0" fontId="64" fillId="23" borderId="7" xfId="7" applyFont="1" applyFill="1" applyBorder="1" applyAlignment="1">
      <alignment horizontal="left" vertical="center" wrapText="1" readingOrder="1"/>
    </xf>
    <xf numFmtId="0" fontId="64" fillId="27" borderId="5" xfId="7" applyFont="1" applyFill="1" applyBorder="1" applyAlignment="1">
      <alignment horizontal="left" vertical="center" wrapText="1" readingOrder="1"/>
    </xf>
    <xf numFmtId="0" fontId="64" fillId="27" borderId="6" xfId="7" applyFont="1" applyFill="1" applyBorder="1" applyAlignment="1">
      <alignment horizontal="left" vertical="center" wrapText="1" readingOrder="1"/>
    </xf>
    <xf numFmtId="0" fontId="64" fillId="27" borderId="7" xfId="7" applyFont="1" applyFill="1" applyBorder="1" applyAlignment="1">
      <alignment horizontal="left" vertical="center" wrapText="1" readingOrder="1"/>
    </xf>
    <xf numFmtId="0" fontId="59" fillId="26" borderId="5" xfId="7" applyFont="1" applyFill="1" applyBorder="1" applyAlignment="1">
      <alignment horizontal="left" vertical="center" wrapText="1"/>
    </xf>
    <xf numFmtId="0" fontId="59" fillId="26" borderId="6" xfId="7" applyFont="1" applyFill="1" applyBorder="1" applyAlignment="1">
      <alignment horizontal="left" vertical="center" wrapText="1"/>
    </xf>
    <xf numFmtId="0" fontId="59" fillId="26" borderId="7" xfId="7" applyFont="1" applyFill="1" applyBorder="1" applyAlignment="1">
      <alignment horizontal="left" vertical="center" wrapText="1"/>
    </xf>
    <xf numFmtId="0" fontId="62" fillId="0" borderId="5" xfId="7" applyFont="1" applyBorder="1" applyAlignment="1">
      <alignment horizontal="left" vertical="center"/>
    </xf>
    <xf numFmtId="0" fontId="62" fillId="0" borderId="6" xfId="7" applyFont="1" applyBorder="1" applyAlignment="1">
      <alignment horizontal="left" vertical="center"/>
    </xf>
    <xf numFmtId="0" fontId="62" fillId="0" borderId="7" xfId="7" applyFont="1" applyBorder="1" applyAlignment="1">
      <alignment horizontal="left" vertical="center"/>
    </xf>
    <xf numFmtId="0" fontId="52" fillId="0" borderId="5" xfId="7" applyFont="1" applyBorder="1" applyAlignment="1">
      <alignment horizontal="left" vertical="center"/>
    </xf>
    <xf numFmtId="0" fontId="52" fillId="0" borderId="6" xfId="7" applyFont="1" applyBorder="1" applyAlignment="1">
      <alignment horizontal="left" vertical="center"/>
    </xf>
    <xf numFmtId="0" fontId="55" fillId="16" borderId="5" xfId="7" applyFont="1" applyFill="1" applyBorder="1" applyAlignment="1">
      <alignment horizontal="left" vertical="center"/>
    </xf>
    <xf numFmtId="0" fontId="55" fillId="16" borderId="6" xfId="7" applyFont="1" applyFill="1" applyBorder="1" applyAlignment="1">
      <alignment horizontal="left" vertical="center"/>
    </xf>
    <xf numFmtId="0" fontId="55" fillId="16" borderId="7" xfId="7" applyFont="1" applyFill="1" applyBorder="1" applyAlignment="1">
      <alignment horizontal="left" vertical="center"/>
    </xf>
    <xf numFmtId="0" fontId="61" fillId="17" borderId="5" xfId="7" applyFont="1" applyFill="1" applyBorder="1" applyAlignment="1">
      <alignment horizontal="left" vertical="center"/>
    </xf>
    <xf numFmtId="0" fontId="61" fillId="17" borderId="6" xfId="7" applyFont="1" applyFill="1" applyBorder="1" applyAlignment="1">
      <alignment horizontal="left" vertical="center"/>
    </xf>
    <xf numFmtId="0" fontId="61" fillId="17" borderId="7" xfId="7" applyFont="1" applyFill="1" applyBorder="1" applyAlignment="1">
      <alignment horizontal="left" vertical="center"/>
    </xf>
    <xf numFmtId="0" fontId="58" fillId="17" borderId="7" xfId="7" applyFont="1" applyFill="1" applyBorder="1" applyAlignment="1">
      <alignment horizontal="left" vertical="center"/>
    </xf>
    <xf numFmtId="178" fontId="26" fillId="10" borderId="9" xfId="0" applyNumberFormat="1" applyFont="1" applyFill="1" applyBorder="1" applyAlignment="1">
      <alignment horizontal="center" vertical="center" wrapText="1"/>
    </xf>
    <xf numFmtId="0" fontId="22" fillId="10" borderId="9" xfId="1" applyFont="1" applyFill="1" applyBorder="1" applyAlignment="1">
      <alignment horizontal="center" vertical="center"/>
    </xf>
    <xf numFmtId="0" fontId="22" fillId="10" borderId="9" xfId="1" applyFont="1" applyFill="1" applyBorder="1" applyAlignment="1">
      <alignment horizontal="center" vertical="center" wrapText="1"/>
    </xf>
    <xf numFmtId="11" fontId="22" fillId="10" borderId="9" xfId="1" applyNumberFormat="1" applyFont="1" applyFill="1" applyBorder="1" applyAlignment="1">
      <alignment horizontal="center" vertical="center" wrapText="1"/>
    </xf>
    <xf numFmtId="178" fontId="22" fillId="10" borderId="9" xfId="1" applyNumberFormat="1" applyFont="1" applyFill="1" applyBorder="1" applyAlignment="1">
      <alignment horizontal="center" vertical="center" wrapText="1"/>
    </xf>
    <xf numFmtId="0" fontId="20" fillId="0" borderId="8" xfId="1" applyFont="1" applyBorder="1" applyAlignment="1">
      <alignment horizontal="left" vertical="center"/>
    </xf>
    <xf numFmtId="0" fontId="34" fillId="12" borderId="9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69" fillId="28" borderId="1" xfId="0" applyFont="1" applyFill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0" fontId="69" fillId="28" borderId="2" xfId="0" applyFont="1" applyFill="1" applyBorder="1" applyAlignment="1">
      <alignment horizontal="center" vertical="center" wrapText="1"/>
    </xf>
    <xf numFmtId="0" fontId="13" fillId="28" borderId="2" xfId="0" applyFont="1" applyFill="1" applyBorder="1" applyAlignment="1">
      <alignment horizontal="center" vertical="center" wrapText="1"/>
    </xf>
    <xf numFmtId="0" fontId="13" fillId="28" borderId="1" xfId="0" applyFont="1" applyFill="1" applyBorder="1" applyAlignment="1">
      <alignment horizontal="center" vertical="center" wrapText="1"/>
    </xf>
    <xf numFmtId="0" fontId="13" fillId="28" borderId="3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180" fontId="4" fillId="28" borderId="1" xfId="0" applyNumberFormat="1" applyFont="1" applyFill="1" applyBorder="1">
      <alignment vertical="center"/>
    </xf>
    <xf numFmtId="0" fontId="4" fillId="28" borderId="1" xfId="0" applyFont="1" applyFill="1" applyBorder="1" applyAlignment="1">
      <alignment horizontal="center" vertical="center" wrapText="1"/>
    </xf>
    <xf numFmtId="0" fontId="46" fillId="28" borderId="1" xfId="0" applyFont="1" applyFill="1" applyBorder="1" applyAlignment="1">
      <alignment vertical="center" wrapText="1"/>
    </xf>
    <xf numFmtId="177" fontId="4" fillId="28" borderId="1" xfId="0" applyNumberFormat="1" applyFont="1" applyFill="1" applyBorder="1">
      <alignment vertical="center"/>
    </xf>
    <xf numFmtId="0" fontId="4" fillId="28" borderId="1" xfId="0" applyFont="1" applyFill="1" applyBorder="1">
      <alignment vertical="center"/>
    </xf>
    <xf numFmtId="0" fontId="4" fillId="28" borderId="1" xfId="0" applyFont="1" applyFill="1" applyBorder="1" applyAlignment="1">
      <alignment vertical="center" wrapText="1"/>
    </xf>
    <xf numFmtId="0" fontId="61" fillId="21" borderId="5" xfId="7" applyFont="1" applyFill="1" applyBorder="1" applyAlignment="1">
      <alignment horizontal="left" vertical="center" wrapText="1" readingOrder="1"/>
    </xf>
    <xf numFmtId="0" fontId="67" fillId="21" borderId="6" xfId="7" applyFont="1" applyFill="1" applyBorder="1" applyAlignment="1">
      <alignment horizontal="left" vertical="center" wrapText="1" readingOrder="1"/>
    </xf>
    <xf numFmtId="0" fontId="67" fillId="21" borderId="7" xfId="7" applyFont="1" applyFill="1" applyBorder="1" applyAlignment="1">
      <alignment horizontal="left" vertical="center" wrapText="1" readingOrder="1"/>
    </xf>
  </cellXfs>
  <cellStyles count="10">
    <cellStyle name="Normal" xfId="9" xr:uid="{FB7F65D4-8BCD-4ACD-AA5F-7914EC16C6DB}"/>
    <cellStyle name="一般" xfId="0" builtinId="0"/>
    <cellStyle name="一般 2" xfId="1" xr:uid="{00000000-0005-0000-0000-000001000000}"/>
    <cellStyle name="一般 3" xfId="5" xr:uid="{4791F225-2232-4D7D-A44D-AA8F1E188EEE}"/>
    <cellStyle name="一般 5" xfId="7" xr:uid="{2B5690AE-6621-4CD3-BEC9-5980BC7A5659}"/>
    <cellStyle name="千分位" xfId="3" builtinId="3"/>
    <cellStyle name="千分位 2" xfId="4" xr:uid="{4B349260-3672-4813-AD31-2F727C8E7410}"/>
    <cellStyle name="千分位 3" xfId="8" xr:uid="{669F7788-B596-44D6-9B11-392CFE8D4168}"/>
    <cellStyle name="百分比" xfId="2" builtinId="5"/>
    <cellStyle name="百分比 2" xfId="6" xr:uid="{988DE49B-85C6-424B-94E3-73A4F346E0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200" b="1" u="none" cap="none" baseline="0">
                <a:latin typeface="微軟正黑體" panose="020B0604030504040204" pitchFamily="34" charset="-120"/>
                <a:ea typeface="微軟正黑體" panose="020B0604030504040204" pitchFamily="34" charset="-120"/>
                <a:cs typeface="Calibri"/>
              </a:rPr>
              <a:t>類別一~類別六溫室氣體排放 (公噸CO2e)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'[1]類別一~類別六-溫室氣體排放 (公噸CO2e) '!$S$3:$S$8</c:f>
              <c:strCache>
                <c:ptCount val="6"/>
                <c:pt idx="0">
                  <c:v>類別 1：直接溫室氣體排放和移除</c:v>
                </c:pt>
                <c:pt idx="1">
                  <c:v>類別 2：輸入能源</c:v>
                </c:pt>
                <c:pt idx="2">
                  <c:v>類別 3：運輸</c:v>
                </c:pt>
                <c:pt idx="3">
                  <c:v>類別 4：組織使用產品</c:v>
                </c:pt>
                <c:pt idx="4">
                  <c:v>類別 5：使用來自組織產品</c:v>
                </c:pt>
                <c:pt idx="5">
                  <c:v>類別 6：其他來源</c:v>
                </c:pt>
              </c:strCache>
            </c:strRef>
          </c:cat>
          <c:val>
            <c:numRef>
              <c:f>'[1]類別一~類別六-溫室氣體排放 (公噸CO2e) '!$T$3:$T$8</c:f>
              <c:numCache>
                <c:formatCode>General</c:formatCode>
                <c:ptCount val="6"/>
                <c:pt idx="0">
                  <c:v>44.759700000000002</c:v>
                </c:pt>
                <c:pt idx="1">
                  <c:v>47.956099999999999</c:v>
                </c:pt>
                <c:pt idx="2">
                  <c:v>22.152999999999999</c:v>
                </c:pt>
                <c:pt idx="3">
                  <c:v>12.727399999999999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479-844A-A677361B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 rtl="0">
            <a:defRPr sz="120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361951</xdr:colOff>
      <xdr:row>9</xdr:row>
      <xdr:rowOff>165099</xdr:rowOff>
    </xdr:from>
    <xdr:to>
      <xdr:col>21</xdr:col>
      <xdr:colOff>54288</xdr:colOff>
      <xdr:row>27</xdr:row>
      <xdr:rowOff>73648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700B-1ACD-45A7-8DB6-28235D09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3</xdr:col>
      <xdr:colOff>1995714</xdr:colOff>
      <xdr:row>20</xdr:row>
      <xdr:rowOff>73101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14792" t="1673" b="-1"/>
        <a:stretch/>
      </xdr:blipFill>
      <xdr:spPr>
        <a:xfrm>
          <a:off x="0" y="3619500"/>
          <a:ext cx="11076214" cy="1070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18143</xdr:rowOff>
    </xdr:from>
    <xdr:to>
      <xdr:col>4</xdr:col>
      <xdr:colOff>42</xdr:colOff>
      <xdr:row>48</xdr:row>
      <xdr:rowOff>36286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33357"/>
          <a:ext cx="11085328" cy="46082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2519;&#34892;&#21312;\&#20977;&#22763;&#36948;&#22283;&#38555;&#32929;&#20221;&#26377;&#38480;&#20844;&#21496;-&#28331;&#23460;&#27683;&#39636;&#30436;&#26597;&#34920;_0922.xlsx" TargetMode="External"/><Relationship Id="rId1" Type="http://schemas.openxmlformats.org/officeDocument/2006/relationships/externalLinkPath" Target="https://d.docs.live.net/Desktop/&#22519;&#34892;&#21312;/&#20977;&#22763;&#36948;&#22283;&#38555;&#32929;&#20221;&#26377;&#38480;&#20844;&#21496;-&#28331;&#23460;&#27683;&#39636;&#30436;&#26597;&#34920;_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類別一~類別六-溫室氣體排放 (公噸CO2e) "/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不確定性定性"/>
      <sheetName val="表八"/>
      <sheetName val="表九"/>
      <sheetName val="疫後報告統計表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>
        <row r="3">
          <cell r="S3" t="str">
            <v>類別 1：直接溫室氣體排放和移除</v>
          </cell>
          <cell r="T3">
            <v>44.759700000000002</v>
          </cell>
        </row>
        <row r="4">
          <cell r="S4" t="str">
            <v>類別 2：輸入能源</v>
          </cell>
          <cell r="T4">
            <v>47.956099999999999</v>
          </cell>
        </row>
        <row r="5">
          <cell r="S5" t="str">
            <v>類別 3：運輸</v>
          </cell>
          <cell r="T5">
            <v>22.152999999999999</v>
          </cell>
        </row>
        <row r="6">
          <cell r="S6" t="str">
            <v>類別 4：組織使用產品</v>
          </cell>
          <cell r="T6">
            <v>12.727399999999999</v>
          </cell>
        </row>
        <row r="7">
          <cell r="S7" t="str">
            <v>類別 5：使用來自組織產品</v>
          </cell>
          <cell r="T7">
            <v>0</v>
          </cell>
        </row>
        <row r="8">
          <cell r="S8" t="str">
            <v>類別 6：其他來源</v>
          </cell>
          <cell r="T8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V4">
            <v>13.758699999999999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2:C20"/>
  <sheetViews>
    <sheetView showGridLines="0" zoomScale="140" zoomScaleNormal="140" workbookViewId="0">
      <selection activeCell="F14" sqref="F14"/>
    </sheetView>
  </sheetViews>
  <sheetFormatPr defaultColWidth="9" defaultRowHeight="13.5" x14ac:dyDescent="0.4"/>
  <cols>
    <col min="1" max="1" width="4.08984375" style="1" customWidth="1"/>
    <col min="2" max="2" width="23.1796875" style="1" customWidth="1"/>
    <col min="3" max="3" width="45.6328125" style="1" customWidth="1"/>
    <col min="4" max="16384" width="9" style="1"/>
  </cols>
  <sheetData>
    <row r="2" spans="2:3" x14ac:dyDescent="0.4">
      <c r="B2" s="138" t="s">
        <v>676</v>
      </c>
      <c r="C2" s="139"/>
    </row>
    <row r="3" spans="2:3" x14ac:dyDescent="0.4">
      <c r="B3" s="133" t="s">
        <v>250</v>
      </c>
      <c r="C3" s="134"/>
    </row>
    <row r="4" spans="2:3" x14ac:dyDescent="0.4">
      <c r="B4" s="133" t="s">
        <v>670</v>
      </c>
      <c r="C4" s="134"/>
    </row>
    <row r="5" spans="2:3" x14ac:dyDescent="0.4">
      <c r="B5" s="133" t="s">
        <v>679</v>
      </c>
      <c r="C5" s="134"/>
    </row>
    <row r="6" spans="2:3" x14ac:dyDescent="0.4">
      <c r="B6" s="133" t="s">
        <v>251</v>
      </c>
      <c r="C6" s="134"/>
    </row>
    <row r="7" spans="2:3" x14ac:dyDescent="0.4">
      <c r="B7" s="133" t="s">
        <v>677</v>
      </c>
      <c r="C7" s="134"/>
    </row>
    <row r="9" spans="2:3" x14ac:dyDescent="0.4">
      <c r="B9" s="140" t="s">
        <v>678</v>
      </c>
      <c r="C9" s="141"/>
    </row>
    <row r="10" spans="2:3" x14ac:dyDescent="0.4">
      <c r="B10" s="135" t="s">
        <v>666</v>
      </c>
      <c r="C10" s="136"/>
    </row>
    <row r="11" spans="2:3" x14ac:dyDescent="0.4">
      <c r="B11" s="135" t="s">
        <v>667</v>
      </c>
      <c r="C11" s="136"/>
    </row>
    <row r="12" spans="2:3" x14ac:dyDescent="0.4">
      <c r="B12" s="135" t="s">
        <v>668</v>
      </c>
      <c r="C12" s="136"/>
    </row>
    <row r="13" spans="2:3" x14ac:dyDescent="0.4">
      <c r="B13" s="135" t="s">
        <v>252</v>
      </c>
      <c r="C13" s="136"/>
    </row>
    <row r="14" spans="2:3" x14ac:dyDescent="0.4">
      <c r="B14" s="137" t="s">
        <v>669</v>
      </c>
      <c r="C14" s="136"/>
    </row>
    <row r="16" spans="2:3" x14ac:dyDescent="0.4">
      <c r="B16" s="142" t="s">
        <v>675</v>
      </c>
      <c r="C16" s="143"/>
    </row>
    <row r="17" spans="2:3" x14ac:dyDescent="0.4">
      <c r="B17" s="132" t="s">
        <v>671</v>
      </c>
      <c r="C17" s="37"/>
    </row>
    <row r="18" spans="2:3" x14ac:dyDescent="0.4">
      <c r="B18" s="132" t="s">
        <v>672</v>
      </c>
      <c r="C18" s="37"/>
    </row>
    <row r="19" spans="2:3" x14ac:dyDescent="0.4">
      <c r="B19" s="132" t="s">
        <v>673</v>
      </c>
      <c r="C19" s="37"/>
    </row>
    <row r="20" spans="2:3" x14ac:dyDescent="0.4">
      <c r="B20" s="132" t="s">
        <v>674</v>
      </c>
      <c r="C20" s="37"/>
    </row>
  </sheetData>
  <mergeCells count="3">
    <mergeCell ref="B2:C2"/>
    <mergeCell ref="B9:C9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rgb="FF0070C0"/>
  </sheetPr>
  <dimension ref="B2:AL75"/>
  <sheetViews>
    <sheetView showGridLines="0" topLeftCell="A49" zoomScale="130" zoomScaleNormal="130" workbookViewId="0">
      <selection activeCell="L56" sqref="L56"/>
    </sheetView>
  </sheetViews>
  <sheetFormatPr defaultColWidth="9" defaultRowHeight="13" x14ac:dyDescent="0.4"/>
  <cols>
    <col min="1" max="1" width="3.36328125" style="5" customWidth="1"/>
    <col min="2" max="2" width="4.81640625" style="5" bestFit="1" customWidth="1"/>
    <col min="3" max="3" width="29.453125" style="5" customWidth="1"/>
    <col min="4" max="4" width="10.1796875" style="8" customWidth="1"/>
    <col min="5" max="5" width="48.6328125" style="5" bestFit="1" customWidth="1"/>
    <col min="6" max="6" width="9.81640625" style="8" customWidth="1"/>
    <col min="7" max="13" width="5.6328125" style="5" customWidth="1"/>
    <col min="14" max="14" width="9" style="5"/>
    <col min="15" max="16" width="4.36328125" style="5" customWidth="1"/>
    <col min="17" max="17" width="4.453125" style="5" customWidth="1"/>
    <col min="18" max="21" width="4.36328125" style="5" customWidth="1"/>
    <col min="22" max="22" width="9" style="5" customWidth="1"/>
    <col min="23" max="29" width="2.08984375" style="5" customWidth="1"/>
    <col min="30" max="30" width="3.453125" style="5" customWidth="1"/>
    <col min="31" max="32" width="4.36328125" style="5" customWidth="1"/>
    <col min="33" max="34" width="4.453125" style="5" customWidth="1"/>
    <col min="35" max="35" width="3.81640625" style="5" customWidth="1"/>
    <col min="36" max="38" width="5.36328125" style="5" customWidth="1"/>
    <col min="39" max="16384" width="9" style="5"/>
  </cols>
  <sheetData>
    <row r="2" spans="2:38" ht="16.5" customHeight="1" x14ac:dyDescent="0.4">
      <c r="B2" s="146" t="s">
        <v>150</v>
      </c>
      <c r="C2" s="147"/>
      <c r="D2" s="147"/>
      <c r="E2" s="147"/>
      <c r="F2" s="148"/>
      <c r="G2" s="149" t="s">
        <v>239</v>
      </c>
      <c r="H2" s="149"/>
      <c r="I2" s="149"/>
      <c r="J2" s="149"/>
      <c r="K2" s="149"/>
      <c r="L2" s="149"/>
      <c r="M2" s="149"/>
    </row>
    <row r="3" spans="2:38" ht="29.25" customHeight="1" x14ac:dyDescent="0.4">
      <c r="B3" s="149" t="s">
        <v>155</v>
      </c>
      <c r="C3" s="144" t="s">
        <v>156</v>
      </c>
      <c r="D3" s="144" t="s">
        <v>481</v>
      </c>
      <c r="E3" s="144" t="s">
        <v>240</v>
      </c>
      <c r="F3" s="145" t="s">
        <v>131</v>
      </c>
      <c r="G3" s="150" t="s">
        <v>241</v>
      </c>
      <c r="H3" s="150" t="s">
        <v>242</v>
      </c>
      <c r="I3" s="150" t="s">
        <v>243</v>
      </c>
      <c r="J3" s="150" t="s">
        <v>25</v>
      </c>
      <c r="K3" s="150" t="s">
        <v>26</v>
      </c>
      <c r="L3" s="150" t="s">
        <v>244</v>
      </c>
      <c r="M3" s="150" t="s">
        <v>245</v>
      </c>
    </row>
    <row r="4" spans="2:38" ht="29.25" customHeight="1" x14ac:dyDescent="0.4">
      <c r="B4" s="149"/>
      <c r="C4" s="149"/>
      <c r="D4" s="144"/>
      <c r="E4" s="144"/>
      <c r="F4" s="144"/>
      <c r="G4" s="151"/>
      <c r="H4" s="151"/>
      <c r="I4" s="151"/>
      <c r="J4" s="151"/>
      <c r="K4" s="151"/>
      <c r="L4" s="151"/>
      <c r="M4" s="151"/>
    </row>
    <row r="5" spans="2:38" ht="18" customHeight="1" x14ac:dyDescent="0.4">
      <c r="B5" s="9">
        <v>1</v>
      </c>
      <c r="C5" s="99" t="s">
        <v>485</v>
      </c>
      <c r="D5" s="100" t="s">
        <v>482</v>
      </c>
      <c r="E5" s="34" t="s">
        <v>492</v>
      </c>
      <c r="F5" s="9" t="str">
        <f>VLOOKUP(E5,製表用!$E$3:$F$24,2,0)</f>
        <v>固定</v>
      </c>
      <c r="G5" s="9" t="s">
        <v>477</v>
      </c>
      <c r="H5" s="9" t="s">
        <v>477</v>
      </c>
      <c r="I5" s="9" t="s">
        <v>477</v>
      </c>
      <c r="J5" s="9"/>
      <c r="K5" s="9"/>
      <c r="L5" s="9"/>
      <c r="M5" s="9"/>
      <c r="O5" s="11" t="str">
        <f>IF(G5&lt;&gt;"",G$3,"")</f>
        <v>CO2</v>
      </c>
      <c r="P5" s="11" t="str">
        <f t="shared" ref="P5:U20" si="0">IF(H5&lt;&gt;"",H$3,"")</f>
        <v>CH4</v>
      </c>
      <c r="Q5" s="11" t="str">
        <f t="shared" si="0"/>
        <v>N2O</v>
      </c>
      <c r="R5" s="11" t="str">
        <f t="shared" si="0"/>
        <v/>
      </c>
      <c r="S5" s="11" t="str">
        <f t="shared" si="0"/>
        <v/>
      </c>
      <c r="T5" s="11" t="str">
        <f t="shared" si="0"/>
        <v/>
      </c>
      <c r="U5" s="11" t="str">
        <f t="shared" si="0"/>
        <v/>
      </c>
      <c r="W5" s="11" t="str">
        <f t="shared" ref="W5:W36" si="1">IF(G5&lt;&gt;"","a","")</f>
        <v>a</v>
      </c>
      <c r="X5" s="11" t="str">
        <f t="shared" ref="X5:X36" si="2">IF(H5&lt;&gt;"","b","")</f>
        <v>b</v>
      </c>
      <c r="Y5" s="11" t="str">
        <f t="shared" ref="Y5:Y36" si="3">IF(I5&lt;&gt;"","c","")</f>
        <v>c</v>
      </c>
      <c r="Z5" s="11" t="str">
        <f t="shared" ref="Z5:Z36" si="4">IF(J5&lt;&gt;"","d","")</f>
        <v/>
      </c>
      <c r="AA5" s="11" t="str">
        <f t="shared" ref="AA5:AA36" si="5">IF(K5&lt;&gt;"","e","")</f>
        <v/>
      </c>
      <c r="AB5" s="11" t="str">
        <f>IF(L5&lt;&gt;"","f","")</f>
        <v/>
      </c>
      <c r="AC5" s="11" t="str">
        <f>IF(M5&lt;&gt;"","g","")</f>
        <v/>
      </c>
      <c r="AD5" s="11" t="str">
        <f>W5&amp;X5&amp;Y5&amp;Z5&amp;AA5&amp;AB5</f>
        <v>abc</v>
      </c>
      <c r="AE5" s="11" t="str">
        <f>IF(AD5="","",VLOOKUP($AD5,$AI$5:AL62,2,0))</f>
        <v>CO2</v>
      </c>
      <c r="AF5" s="11" t="str">
        <f>IF(AD5="","",VLOOKUP($AD5,$AI$5:$AL$62,3,0))</f>
        <v>CH4</v>
      </c>
      <c r="AG5" s="11" t="str">
        <f>IF(AD5="","",VLOOKUP($AD5,$AI$5:$AL$62,4,0))</f>
        <v>N2O</v>
      </c>
      <c r="AH5" s="8"/>
      <c r="AI5" s="35" t="s">
        <v>174</v>
      </c>
      <c r="AJ5" s="36" t="s">
        <v>232</v>
      </c>
      <c r="AK5" s="35"/>
      <c r="AL5" s="35"/>
    </row>
    <row r="6" spans="2:38" ht="18" customHeight="1" x14ac:dyDescent="0.4">
      <c r="B6" s="9">
        <v>2</v>
      </c>
      <c r="C6" s="101" t="s">
        <v>493</v>
      </c>
      <c r="D6" s="9" t="s">
        <v>482</v>
      </c>
      <c r="E6" s="34" t="s">
        <v>492</v>
      </c>
      <c r="F6" s="9" t="str">
        <f>VLOOKUP(E6,製表用!$E$3:$F$24,2,0)</f>
        <v>固定</v>
      </c>
      <c r="G6" s="9" t="s">
        <v>477</v>
      </c>
      <c r="H6" s="9" t="s">
        <v>477</v>
      </c>
      <c r="I6" s="9" t="s">
        <v>477</v>
      </c>
      <c r="J6" s="9"/>
      <c r="K6" s="9"/>
      <c r="L6" s="9"/>
      <c r="M6" s="9"/>
      <c r="O6" s="11" t="str">
        <f t="shared" ref="O6:O54" si="6">IF(G6&lt;&gt;"",G$3,"")</f>
        <v>CO2</v>
      </c>
      <c r="P6" s="11" t="str">
        <f t="shared" ref="P6:P54" si="7">IF(H6&lt;&gt;"",H$3,"")</f>
        <v>CH4</v>
      </c>
      <c r="Q6" s="11" t="str">
        <f t="shared" ref="Q6:Q54" si="8">IF(I6&lt;&gt;"",I$3,"")</f>
        <v>N2O</v>
      </c>
      <c r="R6" s="11" t="str">
        <f t="shared" ref="R6:R54" si="9">IF(J6&lt;&gt;"",J$3,"")</f>
        <v/>
      </c>
      <c r="S6" s="11" t="str">
        <f t="shared" ref="S6:S54" si="10">IF(K6&lt;&gt;"",K$3,"")</f>
        <v/>
      </c>
      <c r="T6" s="11" t="str">
        <f t="shared" ref="T6:U54" si="11">IF(L6&lt;&gt;"",L$3,"")</f>
        <v/>
      </c>
      <c r="U6" s="11" t="str">
        <f t="shared" si="0"/>
        <v/>
      </c>
      <c r="W6" s="11" t="str">
        <f t="shared" si="1"/>
        <v>a</v>
      </c>
      <c r="X6" s="11" t="str">
        <f t="shared" si="2"/>
        <v>b</v>
      </c>
      <c r="Y6" s="11" t="str">
        <f t="shared" si="3"/>
        <v>c</v>
      </c>
      <c r="Z6" s="11" t="str">
        <f t="shared" si="4"/>
        <v/>
      </c>
      <c r="AA6" s="11" t="str">
        <f t="shared" si="5"/>
        <v/>
      </c>
      <c r="AB6" s="11" t="str">
        <f t="shared" ref="AB6:AB69" si="12">IF(L6&lt;&gt;"","f","")</f>
        <v/>
      </c>
      <c r="AC6" s="11" t="str">
        <f t="shared" ref="AC6:AC69" si="13">IF(M6&lt;&gt;"","g","")</f>
        <v/>
      </c>
      <c r="AD6" s="11" t="str">
        <f t="shared" ref="AD6:AD54" si="14">W6&amp;X6&amp;Y6&amp;Z6&amp;AA6&amp;AB6</f>
        <v>abc</v>
      </c>
      <c r="AE6" s="11" t="str">
        <f>IF(AD6="","",VLOOKUP($AD6,$AI$5:AL63,2,0))</f>
        <v>CO2</v>
      </c>
      <c r="AF6" s="11" t="str">
        <f t="shared" ref="AF6:AF54" si="15">IF(AD6="","",VLOOKUP($AD6,$AI$5:$AL$62,3,0))</f>
        <v>CH4</v>
      </c>
      <c r="AG6" s="11" t="str">
        <f t="shared" ref="AG6:AG54" si="16">IF(AD6="","",VLOOKUP($AD6,$AI$5:$AL$62,4,0))</f>
        <v>N2O</v>
      </c>
      <c r="AH6" s="8"/>
      <c r="AI6" s="35" t="s">
        <v>175</v>
      </c>
      <c r="AJ6" s="36" t="s">
        <v>233</v>
      </c>
      <c r="AK6" s="35"/>
      <c r="AL6" s="35"/>
    </row>
    <row r="7" spans="2:38" ht="18" customHeight="1" x14ac:dyDescent="0.4">
      <c r="B7" s="9">
        <v>3</v>
      </c>
      <c r="C7" s="99" t="s">
        <v>494</v>
      </c>
      <c r="D7" s="9" t="s">
        <v>482</v>
      </c>
      <c r="E7" s="34" t="s">
        <v>492</v>
      </c>
      <c r="F7" s="9" t="str">
        <f>VLOOKUP(E7,製表用!$E$3:$F$24,2,0)</f>
        <v>固定</v>
      </c>
      <c r="G7" s="9" t="s">
        <v>477</v>
      </c>
      <c r="H7" s="9" t="s">
        <v>477</v>
      </c>
      <c r="I7" s="9" t="s">
        <v>477</v>
      </c>
      <c r="J7" s="9"/>
      <c r="K7" s="9"/>
      <c r="L7" s="9"/>
      <c r="M7" s="9"/>
      <c r="O7" s="11" t="str">
        <f t="shared" si="6"/>
        <v>CO2</v>
      </c>
      <c r="P7" s="11" t="str">
        <f t="shared" si="7"/>
        <v>CH4</v>
      </c>
      <c r="Q7" s="11" t="str">
        <f t="shared" si="8"/>
        <v>N2O</v>
      </c>
      <c r="R7" s="11" t="str">
        <f t="shared" si="9"/>
        <v/>
      </c>
      <c r="S7" s="11" t="str">
        <f t="shared" si="10"/>
        <v/>
      </c>
      <c r="T7" s="11" t="str">
        <f t="shared" si="11"/>
        <v/>
      </c>
      <c r="U7" s="11" t="str">
        <f t="shared" si="0"/>
        <v/>
      </c>
      <c r="W7" s="11" t="str">
        <f t="shared" si="1"/>
        <v>a</v>
      </c>
      <c r="X7" s="11" t="str">
        <f t="shared" si="2"/>
        <v>b</v>
      </c>
      <c r="Y7" s="11" t="str">
        <f t="shared" si="3"/>
        <v>c</v>
      </c>
      <c r="Z7" s="11" t="str">
        <f t="shared" si="4"/>
        <v/>
      </c>
      <c r="AA7" s="11" t="str">
        <f t="shared" si="5"/>
        <v/>
      </c>
      <c r="AB7" s="11" t="str">
        <f t="shared" si="12"/>
        <v/>
      </c>
      <c r="AC7" s="11" t="str">
        <f t="shared" si="13"/>
        <v/>
      </c>
      <c r="AD7" s="11" t="str">
        <f t="shared" si="14"/>
        <v>abc</v>
      </c>
      <c r="AE7" s="11" t="str">
        <f>IF(AD7="","",VLOOKUP($AD7,$AI$5:AL64,2,0))</f>
        <v>CO2</v>
      </c>
      <c r="AF7" s="11" t="str">
        <f t="shared" si="15"/>
        <v>CH4</v>
      </c>
      <c r="AG7" s="11" t="str">
        <f t="shared" si="16"/>
        <v>N2O</v>
      </c>
      <c r="AH7" s="8"/>
      <c r="AI7" s="35" t="s">
        <v>176</v>
      </c>
      <c r="AJ7" s="36" t="s">
        <v>234</v>
      </c>
      <c r="AK7" s="35"/>
      <c r="AL7" s="35"/>
    </row>
    <row r="8" spans="2:38" ht="18" customHeight="1" x14ac:dyDescent="0.4">
      <c r="B8" s="9">
        <v>4</v>
      </c>
      <c r="C8" s="99" t="s">
        <v>495</v>
      </c>
      <c r="D8" s="9" t="s">
        <v>482</v>
      </c>
      <c r="E8" s="34" t="s">
        <v>492</v>
      </c>
      <c r="F8" s="9" t="str">
        <f>VLOOKUP(E8,製表用!$E$3:$F$24,2,0)</f>
        <v>固定</v>
      </c>
      <c r="G8" s="9" t="s">
        <v>477</v>
      </c>
      <c r="H8" s="9" t="s">
        <v>477</v>
      </c>
      <c r="I8" s="9" t="s">
        <v>477</v>
      </c>
      <c r="J8" s="9"/>
      <c r="K8" s="9"/>
      <c r="L8" s="9"/>
      <c r="M8" s="9"/>
      <c r="O8" s="11" t="str">
        <f t="shared" si="6"/>
        <v>CO2</v>
      </c>
      <c r="P8" s="11" t="str">
        <f t="shared" si="7"/>
        <v>CH4</v>
      </c>
      <c r="Q8" s="11" t="str">
        <f t="shared" si="8"/>
        <v>N2O</v>
      </c>
      <c r="R8" s="11" t="str">
        <f t="shared" si="9"/>
        <v/>
      </c>
      <c r="S8" s="11" t="str">
        <f t="shared" si="10"/>
        <v/>
      </c>
      <c r="T8" s="11" t="str">
        <f t="shared" si="11"/>
        <v/>
      </c>
      <c r="U8" s="11" t="str">
        <f t="shared" si="0"/>
        <v/>
      </c>
      <c r="W8" s="11" t="str">
        <f t="shared" si="1"/>
        <v>a</v>
      </c>
      <c r="X8" s="11" t="str">
        <f t="shared" si="2"/>
        <v>b</v>
      </c>
      <c r="Y8" s="11" t="str">
        <f t="shared" si="3"/>
        <v>c</v>
      </c>
      <c r="Z8" s="11" t="str">
        <f t="shared" si="4"/>
        <v/>
      </c>
      <c r="AA8" s="11" t="str">
        <f t="shared" si="5"/>
        <v/>
      </c>
      <c r="AB8" s="11" t="str">
        <f t="shared" si="12"/>
        <v/>
      </c>
      <c r="AC8" s="11" t="str">
        <f t="shared" si="13"/>
        <v/>
      </c>
      <c r="AD8" s="11" t="str">
        <f t="shared" si="14"/>
        <v>abc</v>
      </c>
      <c r="AE8" s="11" t="str">
        <f>IF(AD8="","",VLOOKUP($AD8,$AI$5:AL65,2,0))</f>
        <v>CO2</v>
      </c>
      <c r="AF8" s="11" t="str">
        <f t="shared" si="15"/>
        <v>CH4</v>
      </c>
      <c r="AG8" s="11" t="str">
        <f t="shared" si="16"/>
        <v>N2O</v>
      </c>
      <c r="AH8" s="8"/>
      <c r="AI8" s="35" t="s">
        <v>177</v>
      </c>
      <c r="AJ8" s="36" t="s">
        <v>235</v>
      </c>
      <c r="AK8" s="35"/>
      <c r="AL8" s="35"/>
    </row>
    <row r="9" spans="2:38" ht="18" customHeight="1" x14ac:dyDescent="0.4">
      <c r="B9" s="9">
        <v>5</v>
      </c>
      <c r="C9" s="101" t="s">
        <v>508</v>
      </c>
      <c r="D9" s="9" t="s">
        <v>482</v>
      </c>
      <c r="E9" s="34" t="s">
        <v>492</v>
      </c>
      <c r="F9" s="9" t="str">
        <f>VLOOKUP(E9,製表用!$E$3:$F$24,2,0)</f>
        <v>固定</v>
      </c>
      <c r="G9" s="9" t="s">
        <v>477</v>
      </c>
      <c r="H9" s="9" t="s">
        <v>477</v>
      </c>
      <c r="I9" s="9" t="s">
        <v>477</v>
      </c>
      <c r="J9" s="9"/>
      <c r="K9" s="9"/>
      <c r="L9" s="9"/>
      <c r="M9" s="9"/>
      <c r="O9" s="11" t="str">
        <f t="shared" si="6"/>
        <v>CO2</v>
      </c>
      <c r="P9" s="11" t="str">
        <f t="shared" si="7"/>
        <v>CH4</v>
      </c>
      <c r="Q9" s="11" t="str">
        <f t="shared" si="8"/>
        <v>N2O</v>
      </c>
      <c r="R9" s="11" t="str">
        <f t="shared" si="9"/>
        <v/>
      </c>
      <c r="S9" s="11" t="str">
        <f t="shared" si="10"/>
        <v/>
      </c>
      <c r="T9" s="11" t="str">
        <f t="shared" si="11"/>
        <v/>
      </c>
      <c r="U9" s="11" t="str">
        <f t="shared" si="0"/>
        <v/>
      </c>
      <c r="W9" s="11" t="str">
        <f t="shared" si="1"/>
        <v>a</v>
      </c>
      <c r="X9" s="11" t="str">
        <f t="shared" si="2"/>
        <v>b</v>
      </c>
      <c r="Y9" s="11" t="str">
        <f t="shared" si="3"/>
        <v>c</v>
      </c>
      <c r="Z9" s="11" t="str">
        <f t="shared" si="4"/>
        <v/>
      </c>
      <c r="AA9" s="11" t="str">
        <f t="shared" si="5"/>
        <v/>
      </c>
      <c r="AB9" s="11" t="str">
        <f t="shared" si="12"/>
        <v/>
      </c>
      <c r="AC9" s="11" t="str">
        <f t="shared" si="13"/>
        <v/>
      </c>
      <c r="AD9" s="11" t="str">
        <f t="shared" si="14"/>
        <v>abc</v>
      </c>
      <c r="AE9" s="11" t="str">
        <f>IF(AD9="","",VLOOKUP($AD9,$AI$5:AL66,2,0))</f>
        <v>CO2</v>
      </c>
      <c r="AF9" s="11" t="str">
        <f t="shared" si="15"/>
        <v>CH4</v>
      </c>
      <c r="AG9" s="11" t="str">
        <f t="shared" si="16"/>
        <v>N2O</v>
      </c>
      <c r="AH9" s="8"/>
      <c r="AI9" s="35" t="s">
        <v>178</v>
      </c>
      <c r="AJ9" s="36" t="s">
        <v>236</v>
      </c>
      <c r="AK9" s="35"/>
      <c r="AL9" s="35"/>
    </row>
    <row r="10" spans="2:38" ht="18" customHeight="1" x14ac:dyDescent="0.4">
      <c r="B10" s="9">
        <v>6</v>
      </c>
      <c r="C10" s="101" t="s">
        <v>509</v>
      </c>
      <c r="D10" s="9" t="s">
        <v>482</v>
      </c>
      <c r="E10" s="34" t="s">
        <v>492</v>
      </c>
      <c r="F10" s="9" t="str">
        <f>VLOOKUP(E10,製表用!$E$3:$F$24,2,0)</f>
        <v>固定</v>
      </c>
      <c r="G10" s="9" t="s">
        <v>477</v>
      </c>
      <c r="H10" s="9" t="s">
        <v>477</v>
      </c>
      <c r="I10" s="9" t="s">
        <v>477</v>
      </c>
      <c r="J10" s="9"/>
      <c r="K10" s="9"/>
      <c r="L10" s="9"/>
      <c r="M10" s="9"/>
      <c r="O10" s="11" t="str">
        <f t="shared" si="6"/>
        <v>CO2</v>
      </c>
      <c r="P10" s="11" t="str">
        <f t="shared" si="7"/>
        <v>CH4</v>
      </c>
      <c r="Q10" s="11" t="str">
        <f t="shared" si="8"/>
        <v>N2O</v>
      </c>
      <c r="R10" s="11" t="str">
        <f t="shared" si="9"/>
        <v/>
      </c>
      <c r="S10" s="11" t="str">
        <f t="shared" si="10"/>
        <v/>
      </c>
      <c r="T10" s="11" t="str">
        <f t="shared" si="11"/>
        <v/>
      </c>
      <c r="U10" s="11" t="str">
        <f t="shared" si="0"/>
        <v/>
      </c>
      <c r="W10" s="11" t="str">
        <f t="shared" si="1"/>
        <v>a</v>
      </c>
      <c r="X10" s="11" t="str">
        <f t="shared" si="2"/>
        <v>b</v>
      </c>
      <c r="Y10" s="11" t="str">
        <f t="shared" si="3"/>
        <v>c</v>
      </c>
      <c r="Z10" s="11" t="str">
        <f t="shared" si="4"/>
        <v/>
      </c>
      <c r="AA10" s="11" t="str">
        <f t="shared" si="5"/>
        <v/>
      </c>
      <c r="AB10" s="11" t="str">
        <f t="shared" si="12"/>
        <v/>
      </c>
      <c r="AC10" s="11" t="str">
        <f t="shared" si="13"/>
        <v/>
      </c>
      <c r="AD10" s="11" t="str">
        <f t="shared" si="14"/>
        <v>abc</v>
      </c>
      <c r="AE10" s="11" t="str">
        <f>IF(AD10="","",VLOOKUP($AD10,$AI$5:AL67,2,0))</f>
        <v>CO2</v>
      </c>
      <c r="AF10" s="11" t="str">
        <f t="shared" si="15"/>
        <v>CH4</v>
      </c>
      <c r="AG10" s="11" t="str">
        <f t="shared" si="16"/>
        <v>N2O</v>
      </c>
      <c r="AH10" s="8"/>
      <c r="AI10" s="35" t="s">
        <v>179</v>
      </c>
      <c r="AJ10" s="36" t="s">
        <v>237</v>
      </c>
      <c r="AK10" s="35"/>
      <c r="AL10" s="35"/>
    </row>
    <row r="11" spans="2:38" ht="18" customHeight="1" x14ac:dyDescent="0.4">
      <c r="B11" s="9">
        <v>7</v>
      </c>
      <c r="C11" s="99" t="s">
        <v>507</v>
      </c>
      <c r="D11" s="9" t="s">
        <v>482</v>
      </c>
      <c r="E11" s="34" t="s">
        <v>492</v>
      </c>
      <c r="F11" s="9" t="str">
        <f>VLOOKUP(E11,製表用!$E$3:$F$24,2,0)</f>
        <v>固定</v>
      </c>
      <c r="G11" s="9" t="s">
        <v>477</v>
      </c>
      <c r="H11" s="9" t="s">
        <v>477</v>
      </c>
      <c r="I11" s="9" t="s">
        <v>477</v>
      </c>
      <c r="J11" s="9"/>
      <c r="K11" s="9"/>
      <c r="L11" s="9"/>
      <c r="M11" s="9"/>
      <c r="O11" s="11" t="str">
        <f t="shared" si="6"/>
        <v>CO2</v>
      </c>
      <c r="P11" s="11" t="str">
        <f t="shared" si="7"/>
        <v>CH4</v>
      </c>
      <c r="Q11" s="11" t="str">
        <f t="shared" si="8"/>
        <v>N2O</v>
      </c>
      <c r="R11" s="11" t="str">
        <f t="shared" si="9"/>
        <v/>
      </c>
      <c r="S11" s="11" t="str">
        <f t="shared" si="10"/>
        <v/>
      </c>
      <c r="T11" s="11" t="str">
        <f t="shared" si="11"/>
        <v/>
      </c>
      <c r="U11" s="11" t="str">
        <f t="shared" si="0"/>
        <v/>
      </c>
      <c r="W11" s="11" t="str">
        <f t="shared" si="1"/>
        <v>a</v>
      </c>
      <c r="X11" s="11" t="str">
        <f t="shared" si="2"/>
        <v>b</v>
      </c>
      <c r="Y11" s="11" t="str">
        <f t="shared" si="3"/>
        <v>c</v>
      </c>
      <c r="Z11" s="11" t="str">
        <f t="shared" si="4"/>
        <v/>
      </c>
      <c r="AA11" s="11" t="str">
        <f t="shared" si="5"/>
        <v/>
      </c>
      <c r="AB11" s="11" t="str">
        <f t="shared" si="12"/>
        <v/>
      </c>
      <c r="AC11" s="11" t="str">
        <f t="shared" si="13"/>
        <v/>
      </c>
      <c r="AD11" s="11" t="str">
        <f t="shared" si="14"/>
        <v>abc</v>
      </c>
      <c r="AE11" s="11" t="str">
        <f>IF(AD11="","",VLOOKUP($AD11,$AI$5:AL68,2,0))</f>
        <v>CO2</v>
      </c>
      <c r="AF11" s="11" t="str">
        <f t="shared" si="15"/>
        <v>CH4</v>
      </c>
      <c r="AG11" s="11" t="str">
        <f t="shared" si="16"/>
        <v>N2O</v>
      </c>
      <c r="AH11" s="8"/>
      <c r="AI11" s="35" t="s">
        <v>180</v>
      </c>
      <c r="AJ11" s="36" t="s">
        <v>238</v>
      </c>
      <c r="AK11" s="35"/>
      <c r="AL11" s="35"/>
    </row>
    <row r="12" spans="2:38" ht="18" customHeight="1" x14ac:dyDescent="0.4">
      <c r="B12" s="9">
        <v>8</v>
      </c>
      <c r="C12" s="99" t="s">
        <v>501</v>
      </c>
      <c r="D12" s="9" t="s">
        <v>482</v>
      </c>
      <c r="E12" s="34" t="s">
        <v>492</v>
      </c>
      <c r="F12" s="9" t="str">
        <f>VLOOKUP(E12,製表用!$E$3:$F$24,2,0)</f>
        <v>固定</v>
      </c>
      <c r="G12" s="9" t="s">
        <v>477</v>
      </c>
      <c r="H12" s="9" t="s">
        <v>477</v>
      </c>
      <c r="I12" s="9" t="s">
        <v>477</v>
      </c>
      <c r="J12" s="9"/>
      <c r="K12" s="9"/>
      <c r="L12" s="9"/>
      <c r="M12" s="9"/>
      <c r="O12" s="11" t="str">
        <f t="shared" si="6"/>
        <v>CO2</v>
      </c>
      <c r="P12" s="11" t="str">
        <f t="shared" si="7"/>
        <v>CH4</v>
      </c>
      <c r="Q12" s="11" t="str">
        <f t="shared" si="8"/>
        <v>N2O</v>
      </c>
      <c r="R12" s="11" t="str">
        <f t="shared" si="9"/>
        <v/>
      </c>
      <c r="S12" s="11" t="str">
        <f t="shared" si="10"/>
        <v/>
      </c>
      <c r="T12" s="11" t="str">
        <f t="shared" si="11"/>
        <v/>
      </c>
      <c r="U12" s="11" t="str">
        <f t="shared" si="0"/>
        <v/>
      </c>
      <c r="W12" s="11" t="str">
        <f t="shared" si="1"/>
        <v>a</v>
      </c>
      <c r="X12" s="11" t="str">
        <f t="shared" si="2"/>
        <v>b</v>
      </c>
      <c r="Y12" s="11" t="str">
        <f t="shared" si="3"/>
        <v>c</v>
      </c>
      <c r="Z12" s="11" t="str">
        <f t="shared" si="4"/>
        <v/>
      </c>
      <c r="AA12" s="11" t="str">
        <f t="shared" si="5"/>
        <v/>
      </c>
      <c r="AB12" s="11" t="str">
        <f t="shared" si="12"/>
        <v/>
      </c>
      <c r="AC12" s="11" t="str">
        <f t="shared" si="13"/>
        <v/>
      </c>
      <c r="AD12" s="11" t="str">
        <f t="shared" si="14"/>
        <v>abc</v>
      </c>
      <c r="AE12" s="11" t="str">
        <f>IF(AD12="","",VLOOKUP($AD12,$AI$5:AL69,2,0))</f>
        <v>CO2</v>
      </c>
      <c r="AF12" s="11" t="str">
        <f t="shared" si="15"/>
        <v>CH4</v>
      </c>
      <c r="AG12" s="11" t="str">
        <f t="shared" si="16"/>
        <v>N2O</v>
      </c>
      <c r="AH12" s="8"/>
      <c r="AI12" s="35" t="s">
        <v>181</v>
      </c>
      <c r="AJ12" s="36" t="s">
        <v>232</v>
      </c>
      <c r="AK12" s="36" t="s">
        <v>233</v>
      </c>
      <c r="AL12" s="35"/>
    </row>
    <row r="13" spans="2:38" ht="18" customHeight="1" x14ac:dyDescent="0.4">
      <c r="B13" s="9">
        <v>9</v>
      </c>
      <c r="C13" s="99" t="s">
        <v>504</v>
      </c>
      <c r="D13" s="9" t="s">
        <v>482</v>
      </c>
      <c r="E13" s="34" t="s">
        <v>492</v>
      </c>
      <c r="F13" s="9" t="str">
        <f>VLOOKUP(E13,製表用!$E$3:$F$24,2,0)</f>
        <v>固定</v>
      </c>
      <c r="G13" s="9" t="s">
        <v>477</v>
      </c>
      <c r="H13" s="9" t="s">
        <v>477</v>
      </c>
      <c r="I13" s="9" t="s">
        <v>477</v>
      </c>
      <c r="J13" s="9"/>
      <c r="K13" s="9"/>
      <c r="L13" s="9"/>
      <c r="M13" s="9"/>
      <c r="O13" s="11" t="str">
        <f t="shared" si="6"/>
        <v>CO2</v>
      </c>
      <c r="P13" s="11" t="str">
        <f t="shared" si="7"/>
        <v>CH4</v>
      </c>
      <c r="Q13" s="11" t="str">
        <f t="shared" si="8"/>
        <v>N2O</v>
      </c>
      <c r="R13" s="11" t="str">
        <f t="shared" si="9"/>
        <v/>
      </c>
      <c r="S13" s="11" t="str">
        <f t="shared" si="10"/>
        <v/>
      </c>
      <c r="T13" s="11" t="str">
        <f t="shared" si="11"/>
        <v/>
      </c>
      <c r="U13" s="11" t="str">
        <f t="shared" si="0"/>
        <v/>
      </c>
      <c r="W13" s="11" t="str">
        <f t="shared" si="1"/>
        <v>a</v>
      </c>
      <c r="X13" s="11" t="str">
        <f t="shared" si="2"/>
        <v>b</v>
      </c>
      <c r="Y13" s="11" t="str">
        <f t="shared" si="3"/>
        <v>c</v>
      </c>
      <c r="Z13" s="11" t="str">
        <f t="shared" si="4"/>
        <v/>
      </c>
      <c r="AA13" s="11" t="str">
        <f t="shared" si="5"/>
        <v/>
      </c>
      <c r="AB13" s="11" t="str">
        <f t="shared" si="12"/>
        <v/>
      </c>
      <c r="AC13" s="11" t="str">
        <f t="shared" si="13"/>
        <v/>
      </c>
      <c r="AD13" s="11" t="str">
        <f t="shared" si="14"/>
        <v>abc</v>
      </c>
      <c r="AE13" s="11" t="str">
        <f>IF(AD13="","",VLOOKUP($AD13,$AI$5:AL70,2,0))</f>
        <v>CO2</v>
      </c>
      <c r="AF13" s="11" t="str">
        <f t="shared" si="15"/>
        <v>CH4</v>
      </c>
      <c r="AG13" s="11" t="str">
        <f t="shared" si="16"/>
        <v>N2O</v>
      </c>
      <c r="AH13" s="8"/>
      <c r="AI13" s="35" t="s">
        <v>182</v>
      </c>
      <c r="AJ13" s="36" t="s">
        <v>232</v>
      </c>
      <c r="AK13" s="36" t="s">
        <v>235</v>
      </c>
      <c r="AL13" s="35"/>
    </row>
    <row r="14" spans="2:38" ht="18" customHeight="1" x14ac:dyDescent="0.4">
      <c r="B14" s="9">
        <v>10</v>
      </c>
      <c r="C14" s="99" t="s">
        <v>510</v>
      </c>
      <c r="D14" s="9" t="s">
        <v>482</v>
      </c>
      <c r="E14" s="34" t="s">
        <v>492</v>
      </c>
      <c r="F14" s="9" t="str">
        <f>VLOOKUP(E14,製表用!$E$3:$F$24,2,0)</f>
        <v>固定</v>
      </c>
      <c r="G14" s="9" t="s">
        <v>477</v>
      </c>
      <c r="H14" s="9" t="s">
        <v>477</v>
      </c>
      <c r="I14" s="9" t="s">
        <v>477</v>
      </c>
      <c r="J14" s="9"/>
      <c r="K14" s="9"/>
      <c r="L14" s="9"/>
      <c r="M14" s="9"/>
      <c r="O14" s="11" t="str">
        <f t="shared" si="6"/>
        <v>CO2</v>
      </c>
      <c r="P14" s="11" t="str">
        <f t="shared" si="7"/>
        <v>CH4</v>
      </c>
      <c r="Q14" s="11" t="str">
        <f t="shared" si="8"/>
        <v>N2O</v>
      </c>
      <c r="R14" s="11" t="str">
        <f t="shared" si="9"/>
        <v/>
      </c>
      <c r="S14" s="11" t="str">
        <f t="shared" si="10"/>
        <v/>
      </c>
      <c r="T14" s="11" t="str">
        <f t="shared" si="11"/>
        <v/>
      </c>
      <c r="U14" s="11" t="str">
        <f t="shared" si="0"/>
        <v/>
      </c>
      <c r="W14" s="11" t="str">
        <f t="shared" si="1"/>
        <v>a</v>
      </c>
      <c r="X14" s="11" t="str">
        <f t="shared" si="2"/>
        <v>b</v>
      </c>
      <c r="Y14" s="11" t="str">
        <f t="shared" si="3"/>
        <v>c</v>
      </c>
      <c r="Z14" s="11" t="str">
        <f t="shared" si="4"/>
        <v/>
      </c>
      <c r="AA14" s="11" t="str">
        <f t="shared" si="5"/>
        <v/>
      </c>
      <c r="AB14" s="11" t="str">
        <f t="shared" si="12"/>
        <v/>
      </c>
      <c r="AC14" s="11" t="str">
        <f t="shared" si="13"/>
        <v/>
      </c>
      <c r="AD14" s="11" t="str">
        <f t="shared" si="14"/>
        <v>abc</v>
      </c>
      <c r="AE14" s="11" t="str">
        <f>IF(AD14="","",VLOOKUP($AD14,$AI$5:AL71,2,0))</f>
        <v>CO2</v>
      </c>
      <c r="AF14" s="11" t="str">
        <f t="shared" si="15"/>
        <v>CH4</v>
      </c>
      <c r="AG14" s="11" t="str">
        <f t="shared" si="16"/>
        <v>N2O</v>
      </c>
      <c r="AH14" s="8"/>
      <c r="AI14" s="35" t="s">
        <v>183</v>
      </c>
      <c r="AJ14" s="36" t="s">
        <v>232</v>
      </c>
      <c r="AK14" s="36" t="s">
        <v>236</v>
      </c>
      <c r="AL14" s="35"/>
    </row>
    <row r="15" spans="2:38" ht="18" customHeight="1" x14ac:dyDescent="0.4">
      <c r="B15" s="9">
        <v>11</v>
      </c>
      <c r="C15" s="99" t="s">
        <v>511</v>
      </c>
      <c r="D15" s="9" t="s">
        <v>482</v>
      </c>
      <c r="E15" s="34" t="s">
        <v>492</v>
      </c>
      <c r="F15" s="9" t="str">
        <f>VLOOKUP(E15,製表用!$E$3:$F$24,2,0)</f>
        <v>固定</v>
      </c>
      <c r="G15" s="9" t="s">
        <v>477</v>
      </c>
      <c r="H15" s="9" t="s">
        <v>477</v>
      </c>
      <c r="I15" s="9" t="s">
        <v>477</v>
      </c>
      <c r="J15" s="9"/>
      <c r="K15" s="9"/>
      <c r="L15" s="9"/>
      <c r="M15" s="9"/>
      <c r="O15" s="11" t="str">
        <f t="shared" si="6"/>
        <v>CO2</v>
      </c>
      <c r="P15" s="11" t="str">
        <f t="shared" si="7"/>
        <v>CH4</v>
      </c>
      <c r="Q15" s="11" t="str">
        <f t="shared" si="8"/>
        <v>N2O</v>
      </c>
      <c r="R15" s="11" t="str">
        <f t="shared" si="9"/>
        <v/>
      </c>
      <c r="S15" s="11" t="str">
        <f t="shared" si="10"/>
        <v/>
      </c>
      <c r="T15" s="11" t="str">
        <f t="shared" si="11"/>
        <v/>
      </c>
      <c r="U15" s="11" t="str">
        <f t="shared" si="0"/>
        <v/>
      </c>
      <c r="W15" s="11" t="str">
        <f t="shared" si="1"/>
        <v>a</v>
      </c>
      <c r="X15" s="11" t="str">
        <f t="shared" si="2"/>
        <v>b</v>
      </c>
      <c r="Y15" s="11" t="str">
        <f t="shared" si="3"/>
        <v>c</v>
      </c>
      <c r="Z15" s="11" t="str">
        <f t="shared" si="4"/>
        <v/>
      </c>
      <c r="AA15" s="11" t="str">
        <f t="shared" si="5"/>
        <v/>
      </c>
      <c r="AB15" s="11" t="str">
        <f t="shared" si="12"/>
        <v/>
      </c>
      <c r="AC15" s="11" t="str">
        <f t="shared" si="13"/>
        <v/>
      </c>
      <c r="AD15" s="11" t="str">
        <f t="shared" si="14"/>
        <v>abc</v>
      </c>
      <c r="AE15" s="11" t="str">
        <f>IF(AD15="","",VLOOKUP($AD15,$AI$5:AL72,2,0))</f>
        <v>CO2</v>
      </c>
      <c r="AF15" s="11" t="str">
        <f t="shared" si="15"/>
        <v>CH4</v>
      </c>
      <c r="AG15" s="11" t="str">
        <f t="shared" si="16"/>
        <v>N2O</v>
      </c>
      <c r="AH15" s="8"/>
      <c r="AI15" s="35" t="s">
        <v>184</v>
      </c>
      <c r="AJ15" s="36" t="s">
        <v>232</v>
      </c>
      <c r="AK15" s="36" t="s">
        <v>237</v>
      </c>
      <c r="AL15" s="35"/>
    </row>
    <row r="16" spans="2:38" ht="18" customHeight="1" x14ac:dyDescent="0.4">
      <c r="B16" s="9">
        <v>12</v>
      </c>
      <c r="C16" s="99" t="s">
        <v>513</v>
      </c>
      <c r="D16" s="9" t="s">
        <v>482</v>
      </c>
      <c r="E16" s="34" t="s">
        <v>492</v>
      </c>
      <c r="F16" s="9" t="str">
        <f>VLOOKUP(E16,製表用!$E$3:$F$24,2,0)</f>
        <v>固定</v>
      </c>
      <c r="G16" s="9" t="s">
        <v>477</v>
      </c>
      <c r="H16" s="9" t="s">
        <v>477</v>
      </c>
      <c r="I16" s="9" t="s">
        <v>477</v>
      </c>
      <c r="J16" s="9"/>
      <c r="K16" s="9"/>
      <c r="L16" s="9"/>
      <c r="M16" s="9"/>
      <c r="O16" s="11" t="str">
        <f t="shared" si="6"/>
        <v>CO2</v>
      </c>
      <c r="P16" s="11" t="str">
        <f t="shared" si="7"/>
        <v>CH4</v>
      </c>
      <c r="Q16" s="11" t="str">
        <f t="shared" si="8"/>
        <v>N2O</v>
      </c>
      <c r="R16" s="11" t="str">
        <f t="shared" si="9"/>
        <v/>
      </c>
      <c r="S16" s="11" t="str">
        <f t="shared" si="10"/>
        <v/>
      </c>
      <c r="T16" s="11" t="str">
        <f t="shared" si="11"/>
        <v/>
      </c>
      <c r="U16" s="11" t="str">
        <f t="shared" si="0"/>
        <v/>
      </c>
      <c r="W16" s="11" t="str">
        <f t="shared" si="1"/>
        <v>a</v>
      </c>
      <c r="X16" s="11" t="str">
        <f t="shared" si="2"/>
        <v>b</v>
      </c>
      <c r="Y16" s="11" t="str">
        <f t="shared" si="3"/>
        <v>c</v>
      </c>
      <c r="Z16" s="11" t="str">
        <f t="shared" si="4"/>
        <v/>
      </c>
      <c r="AA16" s="11" t="str">
        <f t="shared" si="5"/>
        <v/>
      </c>
      <c r="AB16" s="11" t="str">
        <f t="shared" si="12"/>
        <v/>
      </c>
      <c r="AC16" s="11" t="str">
        <f t="shared" si="13"/>
        <v/>
      </c>
      <c r="AD16" s="11" t="str">
        <f t="shared" si="14"/>
        <v>abc</v>
      </c>
      <c r="AE16" s="11" t="str">
        <f>IF(AD16="","",VLOOKUP($AD16,$AI$5:AL73,2,0))</f>
        <v>CO2</v>
      </c>
      <c r="AF16" s="11" t="str">
        <f t="shared" si="15"/>
        <v>CH4</v>
      </c>
      <c r="AG16" s="11" t="str">
        <f t="shared" si="16"/>
        <v>N2O</v>
      </c>
      <c r="AH16" s="8"/>
      <c r="AI16" s="35" t="s">
        <v>185</v>
      </c>
      <c r="AJ16" s="36" t="s">
        <v>232</v>
      </c>
      <c r="AK16" s="36" t="s">
        <v>238</v>
      </c>
      <c r="AL16" s="35"/>
    </row>
    <row r="17" spans="2:38" ht="18" customHeight="1" x14ac:dyDescent="0.4">
      <c r="B17" s="9">
        <v>13</v>
      </c>
      <c r="C17" s="99" t="s">
        <v>514</v>
      </c>
      <c r="D17" s="9" t="s">
        <v>482</v>
      </c>
      <c r="E17" s="34" t="s">
        <v>492</v>
      </c>
      <c r="F17" s="9" t="str">
        <f>VLOOKUP(E17,製表用!$E$3:$F$24,2,0)</f>
        <v>固定</v>
      </c>
      <c r="G17" s="9" t="s">
        <v>477</v>
      </c>
      <c r="H17" s="9" t="s">
        <v>477</v>
      </c>
      <c r="I17" s="9" t="s">
        <v>477</v>
      </c>
      <c r="J17" s="9"/>
      <c r="K17" s="9"/>
      <c r="L17" s="9"/>
      <c r="M17" s="9"/>
      <c r="O17" s="11" t="str">
        <f t="shared" si="6"/>
        <v>CO2</v>
      </c>
      <c r="P17" s="11" t="str">
        <f t="shared" si="7"/>
        <v>CH4</v>
      </c>
      <c r="Q17" s="11" t="str">
        <f t="shared" si="8"/>
        <v>N2O</v>
      </c>
      <c r="R17" s="11" t="str">
        <f t="shared" si="9"/>
        <v/>
      </c>
      <c r="S17" s="11" t="str">
        <f t="shared" si="10"/>
        <v/>
      </c>
      <c r="T17" s="11" t="str">
        <f t="shared" si="11"/>
        <v/>
      </c>
      <c r="U17" s="11" t="str">
        <f t="shared" si="0"/>
        <v/>
      </c>
      <c r="W17" s="11" t="str">
        <f t="shared" si="1"/>
        <v>a</v>
      </c>
      <c r="X17" s="11" t="str">
        <f t="shared" si="2"/>
        <v>b</v>
      </c>
      <c r="Y17" s="11" t="str">
        <f t="shared" si="3"/>
        <v>c</v>
      </c>
      <c r="Z17" s="11" t="str">
        <f t="shared" si="4"/>
        <v/>
      </c>
      <c r="AA17" s="11" t="str">
        <f t="shared" si="5"/>
        <v/>
      </c>
      <c r="AB17" s="11" t="str">
        <f t="shared" si="12"/>
        <v/>
      </c>
      <c r="AC17" s="11" t="str">
        <f t="shared" si="13"/>
        <v/>
      </c>
      <c r="AD17" s="11" t="str">
        <f t="shared" si="14"/>
        <v>abc</v>
      </c>
      <c r="AE17" s="11" t="str">
        <f>IF(AD17="","",VLOOKUP($AD17,$AI$5:AL74,2,0))</f>
        <v>CO2</v>
      </c>
      <c r="AF17" s="11" t="str">
        <f t="shared" si="15"/>
        <v>CH4</v>
      </c>
      <c r="AG17" s="11" t="str">
        <f t="shared" si="16"/>
        <v>N2O</v>
      </c>
      <c r="AH17" s="8"/>
      <c r="AI17" s="35" t="s">
        <v>186</v>
      </c>
      <c r="AJ17" s="36" t="s">
        <v>233</v>
      </c>
      <c r="AK17" s="36" t="s">
        <v>234</v>
      </c>
      <c r="AL17" s="35"/>
    </row>
    <row r="18" spans="2:38" ht="18" customHeight="1" x14ac:dyDescent="0.4">
      <c r="B18" s="9">
        <v>14</v>
      </c>
      <c r="C18" s="99" t="s">
        <v>517</v>
      </c>
      <c r="D18" s="9" t="s">
        <v>482</v>
      </c>
      <c r="E18" s="34" t="s">
        <v>492</v>
      </c>
      <c r="F18" s="9" t="str">
        <f>VLOOKUP(E18,製表用!$E$3:$F$24,2,0)</f>
        <v>固定</v>
      </c>
      <c r="G18" s="9" t="s">
        <v>477</v>
      </c>
      <c r="H18" s="9" t="s">
        <v>477</v>
      </c>
      <c r="I18" s="9" t="s">
        <v>477</v>
      </c>
      <c r="J18" s="9"/>
      <c r="K18" s="9"/>
      <c r="L18" s="9"/>
      <c r="M18" s="9"/>
      <c r="O18" s="11" t="str">
        <f t="shared" si="6"/>
        <v>CO2</v>
      </c>
      <c r="P18" s="11" t="str">
        <f t="shared" si="7"/>
        <v>CH4</v>
      </c>
      <c r="Q18" s="11" t="str">
        <f t="shared" si="8"/>
        <v>N2O</v>
      </c>
      <c r="R18" s="11" t="str">
        <f t="shared" si="9"/>
        <v/>
      </c>
      <c r="S18" s="11" t="str">
        <f t="shared" si="10"/>
        <v/>
      </c>
      <c r="T18" s="11" t="str">
        <f t="shared" si="11"/>
        <v/>
      </c>
      <c r="U18" s="11" t="str">
        <f t="shared" si="0"/>
        <v/>
      </c>
      <c r="W18" s="11" t="str">
        <f t="shared" si="1"/>
        <v>a</v>
      </c>
      <c r="X18" s="11" t="str">
        <f t="shared" si="2"/>
        <v>b</v>
      </c>
      <c r="Y18" s="11" t="str">
        <f t="shared" si="3"/>
        <v>c</v>
      </c>
      <c r="Z18" s="11" t="str">
        <f t="shared" si="4"/>
        <v/>
      </c>
      <c r="AA18" s="11" t="str">
        <f t="shared" si="5"/>
        <v/>
      </c>
      <c r="AB18" s="11" t="str">
        <f t="shared" si="12"/>
        <v/>
      </c>
      <c r="AC18" s="11" t="str">
        <f t="shared" si="13"/>
        <v/>
      </c>
      <c r="AD18" s="11" t="str">
        <f t="shared" si="14"/>
        <v>abc</v>
      </c>
      <c r="AE18" s="11" t="str">
        <f>IF(AD18="","",VLOOKUP($AD18,$AI$5:AL75,2,0))</f>
        <v>CO2</v>
      </c>
      <c r="AF18" s="11" t="str">
        <f t="shared" si="15"/>
        <v>CH4</v>
      </c>
      <c r="AG18" s="11" t="str">
        <f t="shared" si="16"/>
        <v>N2O</v>
      </c>
      <c r="AH18" s="8"/>
      <c r="AI18" s="35" t="s">
        <v>187</v>
      </c>
      <c r="AJ18" s="36" t="s">
        <v>233</v>
      </c>
      <c r="AK18" s="36" t="s">
        <v>235</v>
      </c>
      <c r="AL18" s="35"/>
    </row>
    <row r="19" spans="2:38" ht="18" customHeight="1" x14ac:dyDescent="0.4">
      <c r="B19" s="9">
        <v>15</v>
      </c>
      <c r="C19" s="99" t="s">
        <v>518</v>
      </c>
      <c r="D19" s="9" t="s">
        <v>482</v>
      </c>
      <c r="E19" s="34" t="s">
        <v>492</v>
      </c>
      <c r="F19" s="9" t="str">
        <f>VLOOKUP(E19,製表用!$E$3:$F$24,2,0)</f>
        <v>固定</v>
      </c>
      <c r="G19" s="9" t="s">
        <v>477</v>
      </c>
      <c r="H19" s="9" t="s">
        <v>477</v>
      </c>
      <c r="I19" s="9" t="s">
        <v>477</v>
      </c>
      <c r="J19" s="9"/>
      <c r="K19" s="9"/>
      <c r="L19" s="9"/>
      <c r="M19" s="9"/>
      <c r="O19" s="11" t="str">
        <f t="shared" si="6"/>
        <v>CO2</v>
      </c>
      <c r="P19" s="11" t="str">
        <f t="shared" si="7"/>
        <v>CH4</v>
      </c>
      <c r="Q19" s="11" t="str">
        <f t="shared" si="8"/>
        <v>N2O</v>
      </c>
      <c r="R19" s="11" t="str">
        <f t="shared" si="9"/>
        <v/>
      </c>
      <c r="S19" s="11" t="str">
        <f t="shared" si="10"/>
        <v/>
      </c>
      <c r="T19" s="11" t="str">
        <f t="shared" si="11"/>
        <v/>
      </c>
      <c r="U19" s="11" t="str">
        <f t="shared" si="0"/>
        <v/>
      </c>
      <c r="W19" s="11" t="str">
        <f t="shared" si="1"/>
        <v>a</v>
      </c>
      <c r="X19" s="11" t="str">
        <f t="shared" si="2"/>
        <v>b</v>
      </c>
      <c r="Y19" s="11" t="str">
        <f t="shared" si="3"/>
        <v>c</v>
      </c>
      <c r="Z19" s="11" t="str">
        <f t="shared" si="4"/>
        <v/>
      </c>
      <c r="AA19" s="11" t="str">
        <f t="shared" si="5"/>
        <v/>
      </c>
      <c r="AB19" s="11" t="str">
        <f t="shared" si="12"/>
        <v/>
      </c>
      <c r="AC19" s="11" t="str">
        <f t="shared" si="13"/>
        <v/>
      </c>
      <c r="AD19" s="11" t="str">
        <f t="shared" si="14"/>
        <v>abc</v>
      </c>
      <c r="AE19" s="11" t="str">
        <f>IF(AD19="","",VLOOKUP($AD19,$AI$5:AL76,2,0))</f>
        <v>CO2</v>
      </c>
      <c r="AF19" s="11" t="str">
        <f t="shared" si="15"/>
        <v>CH4</v>
      </c>
      <c r="AG19" s="11" t="str">
        <f t="shared" si="16"/>
        <v>N2O</v>
      </c>
      <c r="AH19" s="8"/>
      <c r="AI19" s="35" t="s">
        <v>188</v>
      </c>
      <c r="AJ19" s="36" t="s">
        <v>233</v>
      </c>
      <c r="AK19" s="36" t="s">
        <v>236</v>
      </c>
      <c r="AL19" s="35"/>
    </row>
    <row r="20" spans="2:38" ht="18" customHeight="1" x14ac:dyDescent="0.4">
      <c r="B20" s="9">
        <v>16</v>
      </c>
      <c r="C20" s="99" t="s">
        <v>519</v>
      </c>
      <c r="D20" s="9" t="s">
        <v>482</v>
      </c>
      <c r="E20" s="34" t="s">
        <v>492</v>
      </c>
      <c r="F20" s="9" t="str">
        <f>VLOOKUP(E20,製表用!$E$3:$F$24,2,0)</f>
        <v>固定</v>
      </c>
      <c r="G20" s="9" t="s">
        <v>477</v>
      </c>
      <c r="H20" s="9" t="s">
        <v>477</v>
      </c>
      <c r="I20" s="9" t="s">
        <v>477</v>
      </c>
      <c r="J20" s="9"/>
      <c r="K20" s="9"/>
      <c r="L20" s="9"/>
      <c r="M20" s="9"/>
      <c r="O20" s="11" t="str">
        <f t="shared" si="6"/>
        <v>CO2</v>
      </c>
      <c r="P20" s="11" t="str">
        <f t="shared" si="7"/>
        <v>CH4</v>
      </c>
      <c r="Q20" s="11" t="str">
        <f t="shared" si="8"/>
        <v>N2O</v>
      </c>
      <c r="R20" s="11" t="str">
        <f t="shared" si="9"/>
        <v/>
      </c>
      <c r="S20" s="11" t="str">
        <f t="shared" si="10"/>
        <v/>
      </c>
      <c r="T20" s="11" t="str">
        <f t="shared" si="11"/>
        <v/>
      </c>
      <c r="U20" s="11" t="str">
        <f t="shared" si="0"/>
        <v/>
      </c>
      <c r="W20" s="11" t="str">
        <f t="shared" si="1"/>
        <v>a</v>
      </c>
      <c r="X20" s="11" t="str">
        <f t="shared" si="2"/>
        <v>b</v>
      </c>
      <c r="Y20" s="11" t="str">
        <f t="shared" si="3"/>
        <v>c</v>
      </c>
      <c r="Z20" s="11" t="str">
        <f t="shared" si="4"/>
        <v/>
      </c>
      <c r="AA20" s="11" t="str">
        <f t="shared" si="5"/>
        <v/>
      </c>
      <c r="AB20" s="11" t="str">
        <f t="shared" si="12"/>
        <v/>
      </c>
      <c r="AC20" s="11" t="str">
        <f t="shared" si="13"/>
        <v/>
      </c>
      <c r="AD20" s="11" t="str">
        <f t="shared" si="14"/>
        <v>abc</v>
      </c>
      <c r="AE20" s="11" t="str">
        <f>IF(AD20="","",VLOOKUP($AD20,$AI$5:AL77,2,0))</f>
        <v>CO2</v>
      </c>
      <c r="AF20" s="11" t="str">
        <f t="shared" si="15"/>
        <v>CH4</v>
      </c>
      <c r="AG20" s="11" t="str">
        <f t="shared" si="16"/>
        <v>N2O</v>
      </c>
      <c r="AH20" s="8"/>
      <c r="AI20" s="35" t="s">
        <v>189</v>
      </c>
      <c r="AJ20" s="36" t="s">
        <v>233</v>
      </c>
      <c r="AK20" s="36" t="s">
        <v>237</v>
      </c>
      <c r="AL20" s="35"/>
    </row>
    <row r="21" spans="2:38" ht="18" customHeight="1" x14ac:dyDescent="0.4">
      <c r="B21" s="9">
        <v>17</v>
      </c>
      <c r="C21" s="99" t="s">
        <v>520</v>
      </c>
      <c r="D21" s="9" t="s">
        <v>482</v>
      </c>
      <c r="E21" s="34" t="s">
        <v>492</v>
      </c>
      <c r="F21" s="9" t="str">
        <f>VLOOKUP(E21,製表用!$E$3:$F$24,2,0)</f>
        <v>固定</v>
      </c>
      <c r="G21" s="9" t="s">
        <v>477</v>
      </c>
      <c r="H21" s="9" t="s">
        <v>477</v>
      </c>
      <c r="I21" s="9" t="s">
        <v>477</v>
      </c>
      <c r="J21" s="9"/>
      <c r="K21" s="9"/>
      <c r="L21" s="9"/>
      <c r="M21" s="9"/>
      <c r="O21" s="11" t="str">
        <f t="shared" si="6"/>
        <v>CO2</v>
      </c>
      <c r="P21" s="11" t="str">
        <f t="shared" si="7"/>
        <v>CH4</v>
      </c>
      <c r="Q21" s="11" t="str">
        <f t="shared" si="8"/>
        <v>N2O</v>
      </c>
      <c r="R21" s="11" t="str">
        <f t="shared" si="9"/>
        <v/>
      </c>
      <c r="S21" s="11" t="str">
        <f t="shared" si="10"/>
        <v/>
      </c>
      <c r="T21" s="11" t="str">
        <f t="shared" si="11"/>
        <v/>
      </c>
      <c r="U21" s="11" t="str">
        <f t="shared" si="11"/>
        <v/>
      </c>
      <c r="W21" s="11" t="str">
        <f t="shared" si="1"/>
        <v>a</v>
      </c>
      <c r="X21" s="11" t="str">
        <f t="shared" si="2"/>
        <v>b</v>
      </c>
      <c r="Y21" s="11" t="str">
        <f t="shared" si="3"/>
        <v>c</v>
      </c>
      <c r="Z21" s="11" t="str">
        <f t="shared" si="4"/>
        <v/>
      </c>
      <c r="AA21" s="11" t="str">
        <f t="shared" si="5"/>
        <v/>
      </c>
      <c r="AB21" s="11" t="str">
        <f t="shared" si="12"/>
        <v/>
      </c>
      <c r="AC21" s="11" t="str">
        <f t="shared" si="13"/>
        <v/>
      </c>
      <c r="AD21" s="11" t="str">
        <f t="shared" si="14"/>
        <v>abc</v>
      </c>
      <c r="AE21" s="11" t="str">
        <f>IF(AD21="","",VLOOKUP($AD21,$AI$5:AL78,2,0))</f>
        <v>CO2</v>
      </c>
      <c r="AF21" s="11" t="str">
        <f t="shared" si="15"/>
        <v>CH4</v>
      </c>
      <c r="AG21" s="11" t="str">
        <f t="shared" si="16"/>
        <v>N2O</v>
      </c>
      <c r="AH21" s="8"/>
      <c r="AI21" s="35" t="s">
        <v>190</v>
      </c>
      <c r="AJ21" s="36" t="s">
        <v>233</v>
      </c>
      <c r="AK21" s="36" t="s">
        <v>238</v>
      </c>
      <c r="AL21" s="35"/>
    </row>
    <row r="22" spans="2:38" ht="18" customHeight="1" x14ac:dyDescent="0.4">
      <c r="B22" s="9">
        <v>18</v>
      </c>
      <c r="C22" s="99" t="s">
        <v>522</v>
      </c>
      <c r="D22" s="9" t="s">
        <v>482</v>
      </c>
      <c r="E22" s="34" t="s">
        <v>492</v>
      </c>
      <c r="F22" s="9" t="str">
        <f>VLOOKUP(E22,製表用!$E$3:$F$24,2,0)</f>
        <v>固定</v>
      </c>
      <c r="G22" s="9" t="s">
        <v>477</v>
      </c>
      <c r="H22" s="9" t="s">
        <v>477</v>
      </c>
      <c r="I22" s="9" t="s">
        <v>477</v>
      </c>
      <c r="J22" s="9"/>
      <c r="K22" s="9"/>
      <c r="L22" s="9"/>
      <c r="M22" s="9"/>
      <c r="O22" s="11" t="str">
        <f t="shared" si="6"/>
        <v>CO2</v>
      </c>
      <c r="P22" s="11" t="str">
        <f t="shared" si="7"/>
        <v>CH4</v>
      </c>
      <c r="Q22" s="11" t="str">
        <f t="shared" si="8"/>
        <v>N2O</v>
      </c>
      <c r="R22" s="11" t="str">
        <f t="shared" si="9"/>
        <v/>
      </c>
      <c r="S22" s="11" t="str">
        <f t="shared" si="10"/>
        <v/>
      </c>
      <c r="T22" s="11" t="str">
        <f t="shared" si="11"/>
        <v/>
      </c>
      <c r="U22" s="11" t="str">
        <f t="shared" si="11"/>
        <v/>
      </c>
      <c r="W22" s="11" t="str">
        <f t="shared" si="1"/>
        <v>a</v>
      </c>
      <c r="X22" s="11" t="str">
        <f t="shared" si="2"/>
        <v>b</v>
      </c>
      <c r="Y22" s="11" t="str">
        <f t="shared" si="3"/>
        <v>c</v>
      </c>
      <c r="Z22" s="11" t="str">
        <f t="shared" si="4"/>
        <v/>
      </c>
      <c r="AA22" s="11" t="str">
        <f t="shared" si="5"/>
        <v/>
      </c>
      <c r="AB22" s="11" t="str">
        <f t="shared" si="12"/>
        <v/>
      </c>
      <c r="AC22" s="11" t="str">
        <f t="shared" si="13"/>
        <v/>
      </c>
      <c r="AD22" s="11" t="str">
        <f t="shared" si="14"/>
        <v>abc</v>
      </c>
      <c r="AE22" s="11" t="str">
        <f>IF(AD22="","",VLOOKUP($AD22,$AI$5:AL79,2,0))</f>
        <v>CO2</v>
      </c>
      <c r="AF22" s="11" t="str">
        <f t="shared" si="15"/>
        <v>CH4</v>
      </c>
      <c r="AG22" s="11" t="str">
        <f t="shared" si="16"/>
        <v>N2O</v>
      </c>
      <c r="AH22" s="8"/>
      <c r="AI22" s="35" t="s">
        <v>191</v>
      </c>
      <c r="AJ22" s="36" t="s">
        <v>234</v>
      </c>
      <c r="AK22" s="36" t="s">
        <v>235</v>
      </c>
      <c r="AL22" s="35"/>
    </row>
    <row r="23" spans="2:38" ht="18" customHeight="1" x14ac:dyDescent="0.4">
      <c r="B23" s="9">
        <v>19</v>
      </c>
      <c r="C23" s="99" t="s">
        <v>523</v>
      </c>
      <c r="D23" s="9" t="s">
        <v>482</v>
      </c>
      <c r="E23" s="34" t="s">
        <v>492</v>
      </c>
      <c r="F23" s="9" t="str">
        <f>VLOOKUP(E23,製表用!$E$3:$F$24,2,0)</f>
        <v>固定</v>
      </c>
      <c r="G23" s="9" t="s">
        <v>477</v>
      </c>
      <c r="H23" s="9" t="s">
        <v>477</v>
      </c>
      <c r="I23" s="9" t="s">
        <v>477</v>
      </c>
      <c r="J23" s="9"/>
      <c r="K23" s="9"/>
      <c r="L23" s="9"/>
      <c r="M23" s="9"/>
      <c r="O23" s="11" t="str">
        <f t="shared" si="6"/>
        <v>CO2</v>
      </c>
      <c r="P23" s="11" t="str">
        <f t="shared" si="7"/>
        <v>CH4</v>
      </c>
      <c r="Q23" s="11" t="str">
        <f t="shared" si="8"/>
        <v>N2O</v>
      </c>
      <c r="R23" s="11" t="str">
        <f t="shared" si="9"/>
        <v/>
      </c>
      <c r="S23" s="11" t="str">
        <f t="shared" si="10"/>
        <v/>
      </c>
      <c r="T23" s="11" t="str">
        <f t="shared" si="11"/>
        <v/>
      </c>
      <c r="U23" s="11" t="str">
        <f t="shared" si="11"/>
        <v/>
      </c>
      <c r="W23" s="11" t="str">
        <f t="shared" si="1"/>
        <v>a</v>
      </c>
      <c r="X23" s="11" t="str">
        <f t="shared" si="2"/>
        <v>b</v>
      </c>
      <c r="Y23" s="11" t="str">
        <f t="shared" si="3"/>
        <v>c</v>
      </c>
      <c r="Z23" s="11" t="str">
        <f t="shared" si="4"/>
        <v/>
      </c>
      <c r="AA23" s="11" t="str">
        <f t="shared" si="5"/>
        <v/>
      </c>
      <c r="AB23" s="11" t="str">
        <f t="shared" si="12"/>
        <v/>
      </c>
      <c r="AC23" s="11" t="str">
        <f t="shared" si="13"/>
        <v/>
      </c>
      <c r="AD23" s="11" t="str">
        <f t="shared" si="14"/>
        <v>abc</v>
      </c>
      <c r="AE23" s="11" t="str">
        <f>IF(AD23="","",VLOOKUP($AD23,$AI$5:AL80,2,0))</f>
        <v>CO2</v>
      </c>
      <c r="AF23" s="11" t="str">
        <f t="shared" si="15"/>
        <v>CH4</v>
      </c>
      <c r="AG23" s="11" t="str">
        <f t="shared" si="16"/>
        <v>N2O</v>
      </c>
      <c r="AH23" s="8"/>
      <c r="AI23" s="35" t="s">
        <v>192</v>
      </c>
      <c r="AJ23" s="36" t="s">
        <v>234</v>
      </c>
      <c r="AK23" s="36" t="s">
        <v>236</v>
      </c>
      <c r="AL23" s="35"/>
    </row>
    <row r="24" spans="2:38" ht="18" customHeight="1" x14ac:dyDescent="0.4">
      <c r="B24" s="9">
        <v>20</v>
      </c>
      <c r="C24" s="99" t="s">
        <v>524</v>
      </c>
      <c r="D24" s="9" t="s">
        <v>482</v>
      </c>
      <c r="E24" s="34" t="s">
        <v>492</v>
      </c>
      <c r="F24" s="9" t="str">
        <f>VLOOKUP(E24,製表用!$E$3:$F$24,2,0)</f>
        <v>固定</v>
      </c>
      <c r="G24" s="9" t="s">
        <v>477</v>
      </c>
      <c r="H24" s="9" t="s">
        <v>477</v>
      </c>
      <c r="I24" s="9" t="s">
        <v>477</v>
      </c>
      <c r="J24" s="9"/>
      <c r="K24" s="9"/>
      <c r="L24" s="9"/>
      <c r="M24" s="9"/>
      <c r="O24" s="11" t="str">
        <f t="shared" si="6"/>
        <v>CO2</v>
      </c>
      <c r="P24" s="11" t="str">
        <f t="shared" si="7"/>
        <v>CH4</v>
      </c>
      <c r="Q24" s="11" t="str">
        <f t="shared" si="8"/>
        <v>N2O</v>
      </c>
      <c r="R24" s="11" t="str">
        <f t="shared" si="9"/>
        <v/>
      </c>
      <c r="S24" s="11" t="str">
        <f t="shared" si="10"/>
        <v/>
      </c>
      <c r="T24" s="11" t="str">
        <f t="shared" si="11"/>
        <v/>
      </c>
      <c r="U24" s="11" t="str">
        <f t="shared" si="11"/>
        <v/>
      </c>
      <c r="W24" s="11" t="str">
        <f t="shared" si="1"/>
        <v>a</v>
      </c>
      <c r="X24" s="11" t="str">
        <f t="shared" si="2"/>
        <v>b</v>
      </c>
      <c r="Y24" s="11" t="str">
        <f t="shared" si="3"/>
        <v>c</v>
      </c>
      <c r="Z24" s="11" t="str">
        <f t="shared" si="4"/>
        <v/>
      </c>
      <c r="AA24" s="11" t="str">
        <f t="shared" si="5"/>
        <v/>
      </c>
      <c r="AB24" s="11" t="str">
        <f t="shared" si="12"/>
        <v/>
      </c>
      <c r="AC24" s="11" t="str">
        <f t="shared" si="13"/>
        <v/>
      </c>
      <c r="AD24" s="11" t="str">
        <f t="shared" si="14"/>
        <v>abc</v>
      </c>
      <c r="AE24" s="11" t="str">
        <f>IF(AD24="","",VLOOKUP($AD24,$AI$5:AL81,2,0))</f>
        <v>CO2</v>
      </c>
      <c r="AF24" s="11" t="str">
        <f t="shared" si="15"/>
        <v>CH4</v>
      </c>
      <c r="AG24" s="11" t="str">
        <f t="shared" si="16"/>
        <v>N2O</v>
      </c>
      <c r="AH24" s="8"/>
      <c r="AI24" s="35" t="s">
        <v>193</v>
      </c>
      <c r="AJ24" s="36" t="s">
        <v>234</v>
      </c>
      <c r="AK24" s="36" t="s">
        <v>237</v>
      </c>
      <c r="AL24" s="35"/>
    </row>
    <row r="25" spans="2:38" ht="18" customHeight="1" x14ac:dyDescent="0.4">
      <c r="B25" s="9">
        <v>21</v>
      </c>
      <c r="C25" s="99" t="s">
        <v>525</v>
      </c>
      <c r="D25" s="9" t="s">
        <v>482</v>
      </c>
      <c r="E25" s="34" t="s">
        <v>492</v>
      </c>
      <c r="F25" s="9" t="str">
        <f>VLOOKUP(E25,製表用!$E$3:$F$24,2,0)</f>
        <v>固定</v>
      </c>
      <c r="G25" s="9" t="s">
        <v>477</v>
      </c>
      <c r="H25" s="9" t="s">
        <v>477</v>
      </c>
      <c r="I25" s="9" t="s">
        <v>477</v>
      </c>
      <c r="J25" s="9"/>
      <c r="K25" s="9"/>
      <c r="L25" s="9"/>
      <c r="M25" s="9"/>
      <c r="O25" s="11" t="str">
        <f t="shared" si="6"/>
        <v>CO2</v>
      </c>
      <c r="P25" s="11" t="str">
        <f t="shared" si="7"/>
        <v>CH4</v>
      </c>
      <c r="Q25" s="11" t="str">
        <f t="shared" si="8"/>
        <v>N2O</v>
      </c>
      <c r="R25" s="11" t="str">
        <f t="shared" si="9"/>
        <v/>
      </c>
      <c r="S25" s="11" t="str">
        <f t="shared" si="10"/>
        <v/>
      </c>
      <c r="T25" s="11" t="str">
        <f t="shared" si="11"/>
        <v/>
      </c>
      <c r="U25" s="11" t="str">
        <f t="shared" si="11"/>
        <v/>
      </c>
      <c r="W25" s="11" t="str">
        <f t="shared" si="1"/>
        <v>a</v>
      </c>
      <c r="X25" s="11" t="str">
        <f t="shared" si="2"/>
        <v>b</v>
      </c>
      <c r="Y25" s="11" t="str">
        <f t="shared" si="3"/>
        <v>c</v>
      </c>
      <c r="Z25" s="11" t="str">
        <f t="shared" si="4"/>
        <v/>
      </c>
      <c r="AA25" s="11" t="str">
        <f t="shared" si="5"/>
        <v/>
      </c>
      <c r="AB25" s="11" t="str">
        <f t="shared" si="12"/>
        <v/>
      </c>
      <c r="AC25" s="11" t="str">
        <f t="shared" si="13"/>
        <v/>
      </c>
      <c r="AD25" s="11" t="str">
        <f t="shared" si="14"/>
        <v>abc</v>
      </c>
      <c r="AE25" s="11" t="str">
        <f>IF(AD25="","",VLOOKUP($AD25,$AI$5:AL82,2,0))</f>
        <v>CO2</v>
      </c>
      <c r="AF25" s="11" t="str">
        <f t="shared" si="15"/>
        <v>CH4</v>
      </c>
      <c r="AG25" s="11" t="str">
        <f t="shared" si="16"/>
        <v>N2O</v>
      </c>
      <c r="AH25" s="8"/>
      <c r="AI25" s="35" t="s">
        <v>194</v>
      </c>
      <c r="AJ25" s="36" t="s">
        <v>234</v>
      </c>
      <c r="AK25" s="36" t="s">
        <v>238</v>
      </c>
      <c r="AL25" s="35"/>
    </row>
    <row r="26" spans="2:38" ht="18" customHeight="1" x14ac:dyDescent="0.4">
      <c r="B26" s="9">
        <v>22</v>
      </c>
      <c r="C26" s="99" t="s">
        <v>526</v>
      </c>
      <c r="D26" s="9" t="s">
        <v>482</v>
      </c>
      <c r="E26" s="34" t="s">
        <v>492</v>
      </c>
      <c r="F26" s="9" t="str">
        <f>VLOOKUP(E26,製表用!$E$3:$F$24,2,0)</f>
        <v>固定</v>
      </c>
      <c r="G26" s="9" t="s">
        <v>477</v>
      </c>
      <c r="H26" s="9" t="s">
        <v>477</v>
      </c>
      <c r="I26" s="9" t="s">
        <v>477</v>
      </c>
      <c r="J26" s="9"/>
      <c r="K26" s="9"/>
      <c r="L26" s="9"/>
      <c r="M26" s="9"/>
      <c r="O26" s="11" t="str">
        <f t="shared" si="6"/>
        <v>CO2</v>
      </c>
      <c r="P26" s="11" t="str">
        <f t="shared" si="7"/>
        <v>CH4</v>
      </c>
      <c r="Q26" s="11" t="str">
        <f t="shared" si="8"/>
        <v>N2O</v>
      </c>
      <c r="R26" s="11" t="str">
        <f t="shared" si="9"/>
        <v/>
      </c>
      <c r="S26" s="11" t="str">
        <f t="shared" si="10"/>
        <v/>
      </c>
      <c r="T26" s="11" t="str">
        <f t="shared" si="11"/>
        <v/>
      </c>
      <c r="U26" s="11" t="str">
        <f t="shared" si="11"/>
        <v/>
      </c>
      <c r="W26" s="11" t="str">
        <f t="shared" si="1"/>
        <v>a</v>
      </c>
      <c r="X26" s="11" t="str">
        <f t="shared" si="2"/>
        <v>b</v>
      </c>
      <c r="Y26" s="11" t="str">
        <f t="shared" si="3"/>
        <v>c</v>
      </c>
      <c r="Z26" s="11" t="str">
        <f t="shared" si="4"/>
        <v/>
      </c>
      <c r="AA26" s="11" t="str">
        <f t="shared" si="5"/>
        <v/>
      </c>
      <c r="AB26" s="11" t="str">
        <f t="shared" si="12"/>
        <v/>
      </c>
      <c r="AC26" s="11" t="str">
        <f t="shared" si="13"/>
        <v/>
      </c>
      <c r="AD26" s="11" t="str">
        <f t="shared" si="14"/>
        <v>abc</v>
      </c>
      <c r="AE26" s="11" t="str">
        <f>IF(AD26="","",VLOOKUP($AD26,$AI$5:AL83,2,0))</f>
        <v>CO2</v>
      </c>
      <c r="AF26" s="11" t="str">
        <f t="shared" si="15"/>
        <v>CH4</v>
      </c>
      <c r="AG26" s="11" t="str">
        <f t="shared" si="16"/>
        <v>N2O</v>
      </c>
      <c r="AH26" s="8"/>
      <c r="AI26" s="35" t="s">
        <v>195</v>
      </c>
      <c r="AJ26" s="36" t="s">
        <v>235</v>
      </c>
      <c r="AK26" s="36" t="s">
        <v>236</v>
      </c>
      <c r="AL26" s="35"/>
    </row>
    <row r="27" spans="2:38" ht="18" customHeight="1" x14ac:dyDescent="0.4">
      <c r="B27" s="9">
        <v>23</v>
      </c>
      <c r="C27" s="99" t="s">
        <v>527</v>
      </c>
      <c r="D27" s="9" t="s">
        <v>482</v>
      </c>
      <c r="E27" s="34" t="s">
        <v>492</v>
      </c>
      <c r="F27" s="9" t="str">
        <f>VLOOKUP(E27,製表用!$E$3:$F$24,2,0)</f>
        <v>固定</v>
      </c>
      <c r="G27" s="9" t="s">
        <v>477</v>
      </c>
      <c r="H27" s="9" t="s">
        <v>477</v>
      </c>
      <c r="I27" s="9" t="s">
        <v>477</v>
      </c>
      <c r="J27" s="9"/>
      <c r="K27" s="9"/>
      <c r="L27" s="9"/>
      <c r="M27" s="9"/>
      <c r="O27" s="11" t="str">
        <f t="shared" si="6"/>
        <v>CO2</v>
      </c>
      <c r="P27" s="11" t="str">
        <f t="shared" si="7"/>
        <v>CH4</v>
      </c>
      <c r="Q27" s="11" t="str">
        <f t="shared" si="8"/>
        <v>N2O</v>
      </c>
      <c r="R27" s="11" t="str">
        <f t="shared" si="9"/>
        <v/>
      </c>
      <c r="S27" s="11" t="str">
        <f t="shared" si="10"/>
        <v/>
      </c>
      <c r="T27" s="11" t="str">
        <f t="shared" si="11"/>
        <v/>
      </c>
      <c r="U27" s="11" t="str">
        <f t="shared" si="11"/>
        <v/>
      </c>
      <c r="W27" s="11" t="str">
        <f t="shared" si="1"/>
        <v>a</v>
      </c>
      <c r="X27" s="11" t="str">
        <f t="shared" si="2"/>
        <v>b</v>
      </c>
      <c r="Y27" s="11" t="str">
        <f t="shared" si="3"/>
        <v>c</v>
      </c>
      <c r="Z27" s="11" t="str">
        <f t="shared" si="4"/>
        <v/>
      </c>
      <c r="AA27" s="11" t="str">
        <f t="shared" si="5"/>
        <v/>
      </c>
      <c r="AB27" s="11" t="str">
        <f t="shared" si="12"/>
        <v/>
      </c>
      <c r="AC27" s="11" t="str">
        <f t="shared" si="13"/>
        <v/>
      </c>
      <c r="AD27" s="11" t="str">
        <f t="shared" si="14"/>
        <v>abc</v>
      </c>
      <c r="AE27" s="11" t="str">
        <f>IF(AD27="","",VLOOKUP($AD27,$AI$5:AL84,2,0))</f>
        <v>CO2</v>
      </c>
      <c r="AF27" s="11" t="str">
        <f t="shared" si="15"/>
        <v>CH4</v>
      </c>
      <c r="AG27" s="11" t="str">
        <f t="shared" si="16"/>
        <v>N2O</v>
      </c>
      <c r="AH27" s="8"/>
      <c r="AI27" s="35" t="s">
        <v>196</v>
      </c>
      <c r="AJ27" s="36" t="s">
        <v>235</v>
      </c>
      <c r="AK27" s="36" t="s">
        <v>237</v>
      </c>
      <c r="AL27" s="35"/>
    </row>
    <row r="28" spans="2:38" ht="18" customHeight="1" x14ac:dyDescent="0.4">
      <c r="B28" s="9">
        <v>24</v>
      </c>
      <c r="C28" s="99" t="s">
        <v>528</v>
      </c>
      <c r="D28" s="9" t="s">
        <v>482</v>
      </c>
      <c r="E28" s="34" t="s">
        <v>492</v>
      </c>
      <c r="F28" s="9" t="str">
        <f>VLOOKUP(E28,製表用!$E$3:$F$24,2,0)</f>
        <v>固定</v>
      </c>
      <c r="G28" s="9" t="s">
        <v>477</v>
      </c>
      <c r="H28" s="9" t="s">
        <v>477</v>
      </c>
      <c r="I28" s="9" t="s">
        <v>477</v>
      </c>
      <c r="J28" s="9"/>
      <c r="K28" s="9"/>
      <c r="L28" s="9"/>
      <c r="M28" s="9"/>
      <c r="O28" s="11" t="str">
        <f t="shared" si="6"/>
        <v>CO2</v>
      </c>
      <c r="P28" s="11" t="str">
        <f t="shared" si="7"/>
        <v>CH4</v>
      </c>
      <c r="Q28" s="11" t="str">
        <f t="shared" si="8"/>
        <v>N2O</v>
      </c>
      <c r="R28" s="11" t="str">
        <f t="shared" si="9"/>
        <v/>
      </c>
      <c r="S28" s="11" t="str">
        <f t="shared" si="10"/>
        <v/>
      </c>
      <c r="T28" s="11" t="str">
        <f t="shared" si="11"/>
        <v/>
      </c>
      <c r="U28" s="11" t="str">
        <f t="shared" si="11"/>
        <v/>
      </c>
      <c r="W28" s="11" t="str">
        <f t="shared" si="1"/>
        <v>a</v>
      </c>
      <c r="X28" s="11" t="str">
        <f t="shared" si="2"/>
        <v>b</v>
      </c>
      <c r="Y28" s="11" t="str">
        <f t="shared" si="3"/>
        <v>c</v>
      </c>
      <c r="Z28" s="11" t="str">
        <f t="shared" si="4"/>
        <v/>
      </c>
      <c r="AA28" s="11" t="str">
        <f t="shared" si="5"/>
        <v/>
      </c>
      <c r="AB28" s="11" t="str">
        <f t="shared" si="12"/>
        <v/>
      </c>
      <c r="AC28" s="11" t="str">
        <f t="shared" si="13"/>
        <v/>
      </c>
      <c r="AD28" s="11" t="str">
        <f t="shared" si="14"/>
        <v>abc</v>
      </c>
      <c r="AE28" s="11" t="str">
        <f>IF(AD28="","",VLOOKUP($AD28,$AI$5:AL85,2,0))</f>
        <v>CO2</v>
      </c>
      <c r="AF28" s="11" t="str">
        <f t="shared" si="15"/>
        <v>CH4</v>
      </c>
      <c r="AG28" s="11" t="str">
        <f t="shared" si="16"/>
        <v>N2O</v>
      </c>
      <c r="AH28" s="8"/>
      <c r="AI28" s="35" t="s">
        <v>197</v>
      </c>
      <c r="AJ28" s="36" t="s">
        <v>235</v>
      </c>
      <c r="AK28" s="36" t="s">
        <v>238</v>
      </c>
      <c r="AL28" s="35"/>
    </row>
    <row r="29" spans="2:38" ht="18" customHeight="1" x14ac:dyDescent="0.4">
      <c r="B29" s="9">
        <v>25</v>
      </c>
      <c r="C29" s="99" t="s">
        <v>529</v>
      </c>
      <c r="D29" s="9" t="s">
        <v>482</v>
      </c>
      <c r="E29" s="34" t="s">
        <v>492</v>
      </c>
      <c r="F29" s="9" t="str">
        <f>VLOOKUP(E29,製表用!$E$3:$F$24,2,0)</f>
        <v>固定</v>
      </c>
      <c r="G29" s="9" t="s">
        <v>477</v>
      </c>
      <c r="H29" s="9" t="s">
        <v>477</v>
      </c>
      <c r="I29" s="9" t="s">
        <v>477</v>
      </c>
      <c r="J29" s="9"/>
      <c r="K29" s="9"/>
      <c r="L29" s="9"/>
      <c r="M29" s="9"/>
      <c r="O29" s="11" t="str">
        <f t="shared" si="6"/>
        <v>CO2</v>
      </c>
      <c r="P29" s="11" t="str">
        <f t="shared" si="7"/>
        <v>CH4</v>
      </c>
      <c r="Q29" s="11" t="str">
        <f t="shared" si="8"/>
        <v>N2O</v>
      </c>
      <c r="R29" s="11" t="str">
        <f t="shared" si="9"/>
        <v/>
      </c>
      <c r="S29" s="11" t="str">
        <f t="shared" si="10"/>
        <v/>
      </c>
      <c r="T29" s="11" t="str">
        <f t="shared" si="11"/>
        <v/>
      </c>
      <c r="U29" s="11" t="str">
        <f t="shared" si="11"/>
        <v/>
      </c>
      <c r="W29" s="11" t="str">
        <f t="shared" si="1"/>
        <v>a</v>
      </c>
      <c r="X29" s="11" t="str">
        <f t="shared" si="2"/>
        <v>b</v>
      </c>
      <c r="Y29" s="11" t="str">
        <f t="shared" si="3"/>
        <v>c</v>
      </c>
      <c r="Z29" s="11" t="str">
        <f t="shared" si="4"/>
        <v/>
      </c>
      <c r="AA29" s="11" t="str">
        <f t="shared" si="5"/>
        <v/>
      </c>
      <c r="AB29" s="11" t="str">
        <f t="shared" si="12"/>
        <v/>
      </c>
      <c r="AC29" s="11" t="str">
        <f t="shared" si="13"/>
        <v/>
      </c>
      <c r="AD29" s="11" t="str">
        <f t="shared" si="14"/>
        <v>abc</v>
      </c>
      <c r="AE29" s="11" t="str">
        <f>IF(AD29="","",VLOOKUP($AD29,$AI$5:AL86,2,0))</f>
        <v>CO2</v>
      </c>
      <c r="AF29" s="11" t="str">
        <f t="shared" si="15"/>
        <v>CH4</v>
      </c>
      <c r="AG29" s="11" t="str">
        <f t="shared" si="16"/>
        <v>N2O</v>
      </c>
      <c r="AH29" s="8"/>
      <c r="AI29" s="35" t="s">
        <v>198</v>
      </c>
      <c r="AJ29" s="36" t="s">
        <v>236</v>
      </c>
      <c r="AK29" s="36" t="s">
        <v>237</v>
      </c>
      <c r="AL29" s="35"/>
    </row>
    <row r="30" spans="2:38" ht="18" customHeight="1" x14ac:dyDescent="0.4">
      <c r="B30" s="9">
        <v>26</v>
      </c>
      <c r="C30" s="99" t="s">
        <v>530</v>
      </c>
      <c r="D30" s="9" t="s">
        <v>482</v>
      </c>
      <c r="E30" s="34" t="s">
        <v>492</v>
      </c>
      <c r="F30" s="9" t="str">
        <f>VLOOKUP(E30,製表用!$E$3:$F$24,2,0)</f>
        <v>固定</v>
      </c>
      <c r="G30" s="9" t="s">
        <v>477</v>
      </c>
      <c r="H30" s="9" t="s">
        <v>477</v>
      </c>
      <c r="I30" s="9" t="s">
        <v>477</v>
      </c>
      <c r="J30" s="9"/>
      <c r="K30" s="9"/>
      <c r="L30" s="9"/>
      <c r="M30" s="9"/>
      <c r="O30" s="11" t="str">
        <f t="shared" si="6"/>
        <v>CO2</v>
      </c>
      <c r="P30" s="11" t="str">
        <f t="shared" si="7"/>
        <v>CH4</v>
      </c>
      <c r="Q30" s="11" t="str">
        <f t="shared" si="8"/>
        <v>N2O</v>
      </c>
      <c r="R30" s="11" t="str">
        <f t="shared" si="9"/>
        <v/>
      </c>
      <c r="S30" s="11" t="str">
        <f t="shared" si="10"/>
        <v/>
      </c>
      <c r="T30" s="11" t="str">
        <f t="shared" si="11"/>
        <v/>
      </c>
      <c r="U30" s="11" t="str">
        <f t="shared" si="11"/>
        <v/>
      </c>
      <c r="W30" s="11" t="str">
        <f t="shared" si="1"/>
        <v>a</v>
      </c>
      <c r="X30" s="11" t="str">
        <f t="shared" si="2"/>
        <v>b</v>
      </c>
      <c r="Y30" s="11" t="str">
        <f t="shared" si="3"/>
        <v>c</v>
      </c>
      <c r="Z30" s="11" t="str">
        <f t="shared" si="4"/>
        <v/>
      </c>
      <c r="AA30" s="11" t="str">
        <f t="shared" si="5"/>
        <v/>
      </c>
      <c r="AB30" s="11" t="str">
        <f t="shared" si="12"/>
        <v/>
      </c>
      <c r="AC30" s="11" t="str">
        <f t="shared" si="13"/>
        <v/>
      </c>
      <c r="AD30" s="11" t="str">
        <f t="shared" si="14"/>
        <v>abc</v>
      </c>
      <c r="AE30" s="11" t="str">
        <f>IF(AD30="","",VLOOKUP($AD30,$AI$5:AL87,2,0))</f>
        <v>CO2</v>
      </c>
      <c r="AF30" s="11" t="str">
        <f t="shared" si="15"/>
        <v>CH4</v>
      </c>
      <c r="AG30" s="11" t="str">
        <f t="shared" si="16"/>
        <v>N2O</v>
      </c>
      <c r="AH30" s="8"/>
      <c r="AI30" s="35" t="s">
        <v>199</v>
      </c>
      <c r="AJ30" s="36" t="s">
        <v>236</v>
      </c>
      <c r="AK30" s="36" t="s">
        <v>238</v>
      </c>
      <c r="AL30" s="35"/>
    </row>
    <row r="31" spans="2:38" ht="18" customHeight="1" x14ac:dyDescent="0.4">
      <c r="B31" s="9">
        <v>27</v>
      </c>
      <c r="C31" s="99" t="s">
        <v>531</v>
      </c>
      <c r="D31" s="9" t="s">
        <v>482</v>
      </c>
      <c r="E31" s="34" t="s">
        <v>492</v>
      </c>
      <c r="F31" s="9" t="str">
        <f>VLOOKUP(E31,製表用!$E$3:$F$24,2,0)</f>
        <v>固定</v>
      </c>
      <c r="G31" s="9" t="s">
        <v>477</v>
      </c>
      <c r="H31" s="9" t="s">
        <v>477</v>
      </c>
      <c r="I31" s="9" t="s">
        <v>477</v>
      </c>
      <c r="J31" s="9"/>
      <c r="K31" s="9"/>
      <c r="L31" s="9"/>
      <c r="M31" s="9"/>
      <c r="O31" s="11" t="str">
        <f t="shared" si="6"/>
        <v>CO2</v>
      </c>
      <c r="P31" s="11" t="str">
        <f t="shared" si="7"/>
        <v>CH4</v>
      </c>
      <c r="Q31" s="11" t="str">
        <f t="shared" si="8"/>
        <v>N2O</v>
      </c>
      <c r="R31" s="11" t="str">
        <f t="shared" si="9"/>
        <v/>
      </c>
      <c r="S31" s="11" t="str">
        <f t="shared" si="10"/>
        <v/>
      </c>
      <c r="T31" s="11" t="str">
        <f t="shared" si="11"/>
        <v/>
      </c>
      <c r="U31" s="11" t="str">
        <f t="shared" si="11"/>
        <v/>
      </c>
      <c r="W31" s="11" t="str">
        <f t="shared" si="1"/>
        <v>a</v>
      </c>
      <c r="X31" s="11" t="str">
        <f t="shared" si="2"/>
        <v>b</v>
      </c>
      <c r="Y31" s="11" t="str">
        <f t="shared" si="3"/>
        <v>c</v>
      </c>
      <c r="Z31" s="11" t="str">
        <f t="shared" si="4"/>
        <v/>
      </c>
      <c r="AA31" s="11" t="str">
        <f t="shared" si="5"/>
        <v/>
      </c>
      <c r="AB31" s="11" t="str">
        <f t="shared" si="12"/>
        <v/>
      </c>
      <c r="AC31" s="11" t="str">
        <f t="shared" si="13"/>
        <v/>
      </c>
      <c r="AD31" s="11" t="str">
        <f t="shared" si="14"/>
        <v>abc</v>
      </c>
      <c r="AE31" s="11" t="str">
        <f>IF(AD31="","",VLOOKUP($AD31,$AI$5:AL88,2,0))</f>
        <v>CO2</v>
      </c>
      <c r="AF31" s="11" t="str">
        <f t="shared" si="15"/>
        <v>CH4</v>
      </c>
      <c r="AG31" s="11" t="str">
        <f t="shared" si="16"/>
        <v>N2O</v>
      </c>
      <c r="AH31" s="8"/>
      <c r="AI31" s="35" t="s">
        <v>200</v>
      </c>
      <c r="AJ31" s="36" t="s">
        <v>237</v>
      </c>
      <c r="AK31" s="36" t="s">
        <v>238</v>
      </c>
      <c r="AL31" s="35"/>
    </row>
    <row r="32" spans="2:38" ht="18" customHeight="1" x14ac:dyDescent="0.4">
      <c r="B32" s="9">
        <v>28</v>
      </c>
      <c r="C32" s="99" t="s">
        <v>532</v>
      </c>
      <c r="D32" s="9" t="s">
        <v>482</v>
      </c>
      <c r="E32" s="34" t="s">
        <v>492</v>
      </c>
      <c r="F32" s="9" t="str">
        <f>VLOOKUP(E32,製表用!$E$3:$F$24,2,0)</f>
        <v>固定</v>
      </c>
      <c r="G32" s="9" t="s">
        <v>477</v>
      </c>
      <c r="H32" s="9" t="s">
        <v>477</v>
      </c>
      <c r="I32" s="9" t="s">
        <v>477</v>
      </c>
      <c r="J32" s="9"/>
      <c r="K32" s="9"/>
      <c r="L32" s="9"/>
      <c r="M32" s="9"/>
      <c r="O32" s="11" t="str">
        <f t="shared" si="6"/>
        <v>CO2</v>
      </c>
      <c r="P32" s="11" t="str">
        <f t="shared" si="7"/>
        <v>CH4</v>
      </c>
      <c r="Q32" s="11" t="str">
        <f t="shared" si="8"/>
        <v>N2O</v>
      </c>
      <c r="R32" s="11" t="str">
        <f t="shared" si="9"/>
        <v/>
      </c>
      <c r="S32" s="11" t="str">
        <f t="shared" si="10"/>
        <v/>
      </c>
      <c r="T32" s="11" t="str">
        <f t="shared" si="11"/>
        <v/>
      </c>
      <c r="U32" s="11" t="str">
        <f t="shared" si="11"/>
        <v/>
      </c>
      <c r="W32" s="11" t="str">
        <f t="shared" si="1"/>
        <v>a</v>
      </c>
      <c r="X32" s="11" t="str">
        <f t="shared" si="2"/>
        <v>b</v>
      </c>
      <c r="Y32" s="11" t="str">
        <f t="shared" si="3"/>
        <v>c</v>
      </c>
      <c r="Z32" s="11" t="str">
        <f t="shared" si="4"/>
        <v/>
      </c>
      <c r="AA32" s="11" t="str">
        <f t="shared" si="5"/>
        <v/>
      </c>
      <c r="AB32" s="11" t="str">
        <f t="shared" si="12"/>
        <v/>
      </c>
      <c r="AC32" s="11" t="str">
        <f t="shared" si="13"/>
        <v/>
      </c>
      <c r="AD32" s="11" t="str">
        <f t="shared" si="14"/>
        <v>abc</v>
      </c>
      <c r="AE32" s="11" t="str">
        <f>IF(AD32="","",VLOOKUP($AD32,$AI$5:AL89,2,0))</f>
        <v>CO2</v>
      </c>
      <c r="AF32" s="11" t="str">
        <f t="shared" si="15"/>
        <v>CH4</v>
      </c>
      <c r="AG32" s="11" t="str">
        <f t="shared" si="16"/>
        <v>N2O</v>
      </c>
      <c r="AH32" s="8"/>
      <c r="AI32" s="35" t="s">
        <v>201</v>
      </c>
      <c r="AJ32" s="36" t="s">
        <v>232</v>
      </c>
      <c r="AK32" s="36" t="s">
        <v>233</v>
      </c>
      <c r="AL32" s="36" t="s">
        <v>234</v>
      </c>
    </row>
    <row r="33" spans="2:38" ht="18" customHeight="1" x14ac:dyDescent="0.4">
      <c r="B33" s="9">
        <v>29</v>
      </c>
      <c r="C33" s="99" t="s">
        <v>533</v>
      </c>
      <c r="D33" s="9" t="s">
        <v>482</v>
      </c>
      <c r="E33" s="34" t="s">
        <v>492</v>
      </c>
      <c r="F33" s="9" t="str">
        <f>VLOOKUP(E33,製表用!$E$3:$F$24,2,0)</f>
        <v>固定</v>
      </c>
      <c r="G33" s="9" t="s">
        <v>477</v>
      </c>
      <c r="H33" s="9" t="s">
        <v>477</v>
      </c>
      <c r="I33" s="9" t="s">
        <v>477</v>
      </c>
      <c r="J33" s="9"/>
      <c r="K33" s="9"/>
      <c r="L33" s="9"/>
      <c r="M33" s="9"/>
      <c r="O33" s="11" t="str">
        <f t="shared" si="6"/>
        <v>CO2</v>
      </c>
      <c r="P33" s="11" t="str">
        <f t="shared" si="7"/>
        <v>CH4</v>
      </c>
      <c r="Q33" s="11" t="str">
        <f t="shared" si="8"/>
        <v>N2O</v>
      </c>
      <c r="R33" s="11" t="str">
        <f t="shared" si="9"/>
        <v/>
      </c>
      <c r="S33" s="11" t="str">
        <f t="shared" si="10"/>
        <v/>
      </c>
      <c r="T33" s="11" t="str">
        <f t="shared" si="11"/>
        <v/>
      </c>
      <c r="U33" s="11" t="str">
        <f t="shared" si="11"/>
        <v/>
      </c>
      <c r="W33" s="11" t="str">
        <f t="shared" si="1"/>
        <v>a</v>
      </c>
      <c r="X33" s="11" t="str">
        <f t="shared" si="2"/>
        <v>b</v>
      </c>
      <c r="Y33" s="11" t="str">
        <f t="shared" si="3"/>
        <v>c</v>
      </c>
      <c r="Z33" s="11" t="str">
        <f t="shared" si="4"/>
        <v/>
      </c>
      <c r="AA33" s="11" t="str">
        <f t="shared" si="5"/>
        <v/>
      </c>
      <c r="AB33" s="11" t="str">
        <f t="shared" si="12"/>
        <v/>
      </c>
      <c r="AC33" s="11" t="str">
        <f t="shared" si="13"/>
        <v/>
      </c>
      <c r="AD33" s="11" t="str">
        <f t="shared" si="14"/>
        <v>abc</v>
      </c>
      <c r="AE33" s="11" t="str">
        <f>IF(AD33="","",VLOOKUP($AD33,$AI$5:AL90,2,0))</f>
        <v>CO2</v>
      </c>
      <c r="AF33" s="11" t="str">
        <f t="shared" si="15"/>
        <v>CH4</v>
      </c>
      <c r="AG33" s="11" t="str">
        <f t="shared" si="16"/>
        <v>N2O</v>
      </c>
      <c r="AH33" s="8"/>
      <c r="AI33" s="35" t="s">
        <v>202</v>
      </c>
      <c r="AJ33" s="36" t="s">
        <v>232</v>
      </c>
      <c r="AK33" s="36" t="s">
        <v>233</v>
      </c>
      <c r="AL33" s="36" t="s">
        <v>235</v>
      </c>
    </row>
    <row r="34" spans="2:38" ht="18" customHeight="1" x14ac:dyDescent="0.4">
      <c r="B34" s="9">
        <v>30</v>
      </c>
      <c r="C34" s="99" t="s">
        <v>534</v>
      </c>
      <c r="D34" s="9" t="s">
        <v>482</v>
      </c>
      <c r="E34" s="34" t="s">
        <v>492</v>
      </c>
      <c r="F34" s="9" t="str">
        <f>VLOOKUP(E34,製表用!$E$3:$F$24,2,0)</f>
        <v>固定</v>
      </c>
      <c r="G34" s="9" t="s">
        <v>477</v>
      </c>
      <c r="H34" s="9" t="s">
        <v>477</v>
      </c>
      <c r="I34" s="9" t="s">
        <v>477</v>
      </c>
      <c r="J34" s="9"/>
      <c r="K34" s="9"/>
      <c r="L34" s="9"/>
      <c r="M34" s="9"/>
      <c r="O34" s="11" t="str">
        <f t="shared" si="6"/>
        <v>CO2</v>
      </c>
      <c r="P34" s="11" t="str">
        <f t="shared" si="7"/>
        <v>CH4</v>
      </c>
      <c r="Q34" s="11" t="str">
        <f t="shared" si="8"/>
        <v>N2O</v>
      </c>
      <c r="R34" s="11" t="str">
        <f t="shared" si="9"/>
        <v/>
      </c>
      <c r="S34" s="11" t="str">
        <f t="shared" si="10"/>
        <v/>
      </c>
      <c r="T34" s="11" t="str">
        <f t="shared" si="11"/>
        <v/>
      </c>
      <c r="U34" s="11" t="str">
        <f t="shared" si="11"/>
        <v/>
      </c>
      <c r="W34" s="11" t="str">
        <f t="shared" si="1"/>
        <v>a</v>
      </c>
      <c r="X34" s="11" t="str">
        <f t="shared" si="2"/>
        <v>b</v>
      </c>
      <c r="Y34" s="11" t="str">
        <f t="shared" si="3"/>
        <v>c</v>
      </c>
      <c r="Z34" s="11" t="str">
        <f t="shared" si="4"/>
        <v/>
      </c>
      <c r="AA34" s="11" t="str">
        <f t="shared" si="5"/>
        <v/>
      </c>
      <c r="AB34" s="11" t="str">
        <f t="shared" si="12"/>
        <v/>
      </c>
      <c r="AC34" s="11" t="str">
        <f t="shared" si="13"/>
        <v/>
      </c>
      <c r="AD34" s="11" t="str">
        <f t="shared" si="14"/>
        <v>abc</v>
      </c>
      <c r="AE34" s="11" t="str">
        <f>IF(AD34="","",VLOOKUP($AD34,$AI$5:AL91,2,0))</f>
        <v>CO2</v>
      </c>
      <c r="AF34" s="11" t="str">
        <f t="shared" si="15"/>
        <v>CH4</v>
      </c>
      <c r="AG34" s="11" t="str">
        <f t="shared" si="16"/>
        <v>N2O</v>
      </c>
      <c r="AH34" s="8"/>
      <c r="AI34" s="35" t="s">
        <v>203</v>
      </c>
      <c r="AJ34" s="36" t="s">
        <v>232</v>
      </c>
      <c r="AK34" s="36" t="s">
        <v>233</v>
      </c>
      <c r="AL34" s="36" t="s">
        <v>236</v>
      </c>
    </row>
    <row r="35" spans="2:38" ht="18" customHeight="1" x14ac:dyDescent="0.4">
      <c r="B35" s="9">
        <v>31</v>
      </c>
      <c r="C35" s="99" t="s">
        <v>485</v>
      </c>
      <c r="D35" s="9" t="s">
        <v>482</v>
      </c>
      <c r="E35" s="34" t="s">
        <v>536</v>
      </c>
      <c r="F35" s="9" t="str">
        <f>VLOOKUP(E35,製表用!$E$3:$F$24,2,0)</f>
        <v>移動</v>
      </c>
      <c r="G35" s="9" t="s">
        <v>477</v>
      </c>
      <c r="H35" s="9" t="s">
        <v>477</v>
      </c>
      <c r="I35" s="9" t="s">
        <v>477</v>
      </c>
      <c r="J35" s="9"/>
      <c r="K35" s="9"/>
      <c r="L35" s="9"/>
      <c r="M35" s="9"/>
      <c r="O35" s="11" t="str">
        <f t="shared" si="6"/>
        <v>CO2</v>
      </c>
      <c r="P35" s="11" t="str">
        <f t="shared" si="7"/>
        <v>CH4</v>
      </c>
      <c r="Q35" s="11" t="str">
        <f t="shared" si="8"/>
        <v>N2O</v>
      </c>
      <c r="R35" s="11" t="str">
        <f t="shared" si="9"/>
        <v/>
      </c>
      <c r="S35" s="11" t="str">
        <f t="shared" si="10"/>
        <v/>
      </c>
      <c r="T35" s="11" t="str">
        <f t="shared" si="11"/>
        <v/>
      </c>
      <c r="U35" s="11" t="str">
        <f t="shared" si="11"/>
        <v/>
      </c>
      <c r="W35" s="11" t="str">
        <f t="shared" si="1"/>
        <v>a</v>
      </c>
      <c r="X35" s="11" t="str">
        <f t="shared" si="2"/>
        <v>b</v>
      </c>
      <c r="Y35" s="11" t="str">
        <f t="shared" si="3"/>
        <v>c</v>
      </c>
      <c r="Z35" s="11" t="str">
        <f t="shared" si="4"/>
        <v/>
      </c>
      <c r="AA35" s="11" t="str">
        <f t="shared" si="5"/>
        <v/>
      </c>
      <c r="AB35" s="11" t="str">
        <f t="shared" si="12"/>
        <v/>
      </c>
      <c r="AC35" s="11" t="str">
        <f t="shared" si="13"/>
        <v/>
      </c>
      <c r="AD35" s="11" t="str">
        <f t="shared" si="14"/>
        <v>abc</v>
      </c>
      <c r="AE35" s="11" t="str">
        <f>IF(AD35="","",VLOOKUP($AD35,$AI$5:AL92,2,0))</f>
        <v>CO2</v>
      </c>
      <c r="AF35" s="11" t="str">
        <f t="shared" si="15"/>
        <v>CH4</v>
      </c>
      <c r="AG35" s="11" t="str">
        <f t="shared" si="16"/>
        <v>N2O</v>
      </c>
      <c r="AH35" s="8"/>
      <c r="AI35" s="35" t="s">
        <v>204</v>
      </c>
      <c r="AJ35" s="36" t="s">
        <v>232</v>
      </c>
      <c r="AK35" s="36" t="s">
        <v>233</v>
      </c>
      <c r="AL35" s="36" t="s">
        <v>237</v>
      </c>
    </row>
    <row r="36" spans="2:38" ht="18" customHeight="1" x14ac:dyDescent="0.4">
      <c r="B36" s="9">
        <v>32</v>
      </c>
      <c r="C36" s="99" t="s">
        <v>537</v>
      </c>
      <c r="D36" s="9" t="s">
        <v>482</v>
      </c>
      <c r="E36" s="34" t="s">
        <v>536</v>
      </c>
      <c r="F36" s="9" t="str">
        <f>VLOOKUP(E36,製表用!$E$3:$F$24,2,0)</f>
        <v>移動</v>
      </c>
      <c r="G36" s="9" t="s">
        <v>477</v>
      </c>
      <c r="H36" s="9" t="s">
        <v>477</v>
      </c>
      <c r="I36" s="9" t="s">
        <v>477</v>
      </c>
      <c r="J36" s="9"/>
      <c r="K36" s="9"/>
      <c r="L36" s="9"/>
      <c r="M36" s="9"/>
      <c r="O36" s="11" t="str">
        <f t="shared" si="6"/>
        <v>CO2</v>
      </c>
      <c r="P36" s="11" t="str">
        <f t="shared" si="7"/>
        <v>CH4</v>
      </c>
      <c r="Q36" s="11" t="str">
        <f t="shared" si="8"/>
        <v>N2O</v>
      </c>
      <c r="R36" s="11" t="str">
        <f t="shared" si="9"/>
        <v/>
      </c>
      <c r="S36" s="11" t="str">
        <f t="shared" si="10"/>
        <v/>
      </c>
      <c r="T36" s="11" t="str">
        <f t="shared" si="11"/>
        <v/>
      </c>
      <c r="U36" s="11" t="str">
        <f t="shared" si="11"/>
        <v/>
      </c>
      <c r="W36" s="11" t="str">
        <f t="shared" si="1"/>
        <v>a</v>
      </c>
      <c r="X36" s="11" t="str">
        <f t="shared" si="2"/>
        <v>b</v>
      </c>
      <c r="Y36" s="11" t="str">
        <f t="shared" si="3"/>
        <v>c</v>
      </c>
      <c r="Z36" s="11" t="str">
        <f t="shared" si="4"/>
        <v/>
      </c>
      <c r="AA36" s="11" t="str">
        <f t="shared" si="5"/>
        <v/>
      </c>
      <c r="AB36" s="11" t="str">
        <f t="shared" si="12"/>
        <v/>
      </c>
      <c r="AC36" s="11" t="str">
        <f t="shared" si="13"/>
        <v/>
      </c>
      <c r="AD36" s="11" t="str">
        <f t="shared" si="14"/>
        <v>abc</v>
      </c>
      <c r="AE36" s="11" t="str">
        <f>IF(AD36="","",VLOOKUP($AD36,$AI$5:AL93,2,0))</f>
        <v>CO2</v>
      </c>
      <c r="AF36" s="11" t="str">
        <f t="shared" si="15"/>
        <v>CH4</v>
      </c>
      <c r="AG36" s="11" t="str">
        <f t="shared" si="16"/>
        <v>N2O</v>
      </c>
      <c r="AH36" s="8"/>
      <c r="AI36" s="35" t="s">
        <v>205</v>
      </c>
      <c r="AJ36" s="36" t="s">
        <v>232</v>
      </c>
      <c r="AK36" s="36" t="s">
        <v>233</v>
      </c>
      <c r="AL36" s="36" t="s">
        <v>238</v>
      </c>
    </row>
    <row r="37" spans="2:38" ht="18" customHeight="1" x14ac:dyDescent="0.4">
      <c r="B37" s="9">
        <v>33</v>
      </c>
      <c r="C37" s="99" t="s">
        <v>493</v>
      </c>
      <c r="D37" s="9" t="s">
        <v>482</v>
      </c>
      <c r="E37" s="34" t="s">
        <v>536</v>
      </c>
      <c r="F37" s="9" t="str">
        <f>VLOOKUP(E37,製表用!$E$3:$F$24,2,0)</f>
        <v>移動</v>
      </c>
      <c r="G37" s="9" t="s">
        <v>477</v>
      </c>
      <c r="H37" s="9" t="s">
        <v>477</v>
      </c>
      <c r="I37" s="9" t="s">
        <v>477</v>
      </c>
      <c r="J37" s="9"/>
      <c r="K37" s="9"/>
      <c r="L37" s="9"/>
      <c r="M37" s="9"/>
      <c r="O37" s="11" t="str">
        <f t="shared" si="6"/>
        <v>CO2</v>
      </c>
      <c r="P37" s="11" t="str">
        <f t="shared" si="7"/>
        <v>CH4</v>
      </c>
      <c r="Q37" s="11" t="str">
        <f t="shared" si="8"/>
        <v>N2O</v>
      </c>
      <c r="R37" s="11" t="str">
        <f t="shared" si="9"/>
        <v/>
      </c>
      <c r="S37" s="11" t="str">
        <f t="shared" si="10"/>
        <v/>
      </c>
      <c r="T37" s="11" t="str">
        <f t="shared" si="11"/>
        <v/>
      </c>
      <c r="U37" s="11" t="str">
        <f t="shared" si="11"/>
        <v/>
      </c>
      <c r="W37" s="11" t="str">
        <f t="shared" ref="W37:W70" si="17">IF(G37&lt;&gt;"","a","")</f>
        <v>a</v>
      </c>
      <c r="X37" s="11" t="str">
        <f t="shared" ref="X37:X70" si="18">IF(H37&lt;&gt;"","b","")</f>
        <v>b</v>
      </c>
      <c r="Y37" s="11" t="str">
        <f t="shared" ref="Y37:Y70" si="19">IF(I37&lt;&gt;"","c","")</f>
        <v>c</v>
      </c>
      <c r="Z37" s="11" t="str">
        <f t="shared" ref="Z37:Z70" si="20">IF(J37&lt;&gt;"","d","")</f>
        <v/>
      </c>
      <c r="AA37" s="11" t="str">
        <f t="shared" ref="AA37:AA70" si="21">IF(K37&lt;&gt;"","e","")</f>
        <v/>
      </c>
      <c r="AB37" s="11" t="str">
        <f t="shared" si="12"/>
        <v/>
      </c>
      <c r="AC37" s="11" t="str">
        <f t="shared" si="13"/>
        <v/>
      </c>
      <c r="AD37" s="11" t="str">
        <f t="shared" si="14"/>
        <v>abc</v>
      </c>
      <c r="AE37" s="11" t="str">
        <f>IF(AD37="","",VLOOKUP($AD37,$AI$5:AL94,2,0))</f>
        <v>CO2</v>
      </c>
      <c r="AF37" s="11" t="str">
        <f t="shared" si="15"/>
        <v>CH4</v>
      </c>
      <c r="AG37" s="11" t="str">
        <f t="shared" si="16"/>
        <v>N2O</v>
      </c>
      <c r="AH37" s="8"/>
      <c r="AI37" s="35" t="s">
        <v>206</v>
      </c>
      <c r="AJ37" s="36" t="s">
        <v>232</v>
      </c>
      <c r="AK37" s="36" t="s">
        <v>234</v>
      </c>
      <c r="AL37" s="36" t="s">
        <v>235</v>
      </c>
    </row>
    <row r="38" spans="2:38" ht="18" customHeight="1" x14ac:dyDescent="0.4">
      <c r="B38" s="9">
        <v>34</v>
      </c>
      <c r="C38" s="99" t="s">
        <v>494</v>
      </c>
      <c r="D38" s="9" t="s">
        <v>482</v>
      </c>
      <c r="E38" s="34" t="s">
        <v>536</v>
      </c>
      <c r="F38" s="9" t="str">
        <f>VLOOKUP(E38,製表用!$E$3:$F$24,2,0)</f>
        <v>移動</v>
      </c>
      <c r="G38" s="9" t="s">
        <v>477</v>
      </c>
      <c r="H38" s="9" t="s">
        <v>477</v>
      </c>
      <c r="I38" s="9" t="s">
        <v>477</v>
      </c>
      <c r="J38" s="9"/>
      <c r="K38" s="9"/>
      <c r="L38" s="9"/>
      <c r="M38" s="9"/>
      <c r="O38" s="11" t="str">
        <f t="shared" si="6"/>
        <v>CO2</v>
      </c>
      <c r="P38" s="11" t="str">
        <f t="shared" si="7"/>
        <v>CH4</v>
      </c>
      <c r="Q38" s="11" t="str">
        <f t="shared" si="8"/>
        <v>N2O</v>
      </c>
      <c r="R38" s="11" t="str">
        <f t="shared" si="9"/>
        <v/>
      </c>
      <c r="S38" s="11" t="str">
        <f t="shared" si="10"/>
        <v/>
      </c>
      <c r="T38" s="11" t="str">
        <f t="shared" si="11"/>
        <v/>
      </c>
      <c r="U38" s="11" t="str">
        <f t="shared" si="11"/>
        <v/>
      </c>
      <c r="W38" s="11" t="str">
        <f t="shared" si="17"/>
        <v>a</v>
      </c>
      <c r="X38" s="11" t="str">
        <f t="shared" si="18"/>
        <v>b</v>
      </c>
      <c r="Y38" s="11" t="str">
        <f t="shared" si="19"/>
        <v>c</v>
      </c>
      <c r="Z38" s="11" t="str">
        <f t="shared" si="20"/>
        <v/>
      </c>
      <c r="AA38" s="11" t="str">
        <f t="shared" si="21"/>
        <v/>
      </c>
      <c r="AB38" s="11" t="str">
        <f t="shared" si="12"/>
        <v/>
      </c>
      <c r="AC38" s="11" t="str">
        <f t="shared" si="13"/>
        <v/>
      </c>
      <c r="AD38" s="11" t="str">
        <f t="shared" si="14"/>
        <v>abc</v>
      </c>
      <c r="AE38" s="11" t="str">
        <f>IF(AD38="","",VLOOKUP($AD38,$AI$5:AL95,2,0))</f>
        <v>CO2</v>
      </c>
      <c r="AF38" s="11" t="str">
        <f t="shared" si="15"/>
        <v>CH4</v>
      </c>
      <c r="AG38" s="11" t="str">
        <f t="shared" si="16"/>
        <v>N2O</v>
      </c>
      <c r="AH38" s="8"/>
      <c r="AI38" s="35" t="s">
        <v>207</v>
      </c>
      <c r="AJ38" s="36" t="s">
        <v>232</v>
      </c>
      <c r="AK38" s="36" t="s">
        <v>234</v>
      </c>
      <c r="AL38" s="36" t="s">
        <v>236</v>
      </c>
    </row>
    <row r="39" spans="2:38" ht="18" customHeight="1" x14ac:dyDescent="0.4">
      <c r="B39" s="9">
        <v>35</v>
      </c>
      <c r="C39" s="99" t="s">
        <v>513</v>
      </c>
      <c r="D39" s="9" t="s">
        <v>482</v>
      </c>
      <c r="E39" s="34" t="s">
        <v>536</v>
      </c>
      <c r="F39" s="9" t="str">
        <f>VLOOKUP(E39,製表用!$E$3:$F$24,2,0)</f>
        <v>移動</v>
      </c>
      <c r="G39" s="9" t="s">
        <v>477</v>
      </c>
      <c r="H39" s="9" t="s">
        <v>477</v>
      </c>
      <c r="I39" s="9" t="s">
        <v>477</v>
      </c>
      <c r="J39" s="9"/>
      <c r="K39" s="9"/>
      <c r="L39" s="9"/>
      <c r="M39" s="9"/>
      <c r="O39" s="11" t="str">
        <f t="shared" si="6"/>
        <v>CO2</v>
      </c>
      <c r="P39" s="11" t="str">
        <f t="shared" si="7"/>
        <v>CH4</v>
      </c>
      <c r="Q39" s="11" t="str">
        <f t="shared" si="8"/>
        <v>N2O</v>
      </c>
      <c r="R39" s="11" t="str">
        <f t="shared" si="9"/>
        <v/>
      </c>
      <c r="S39" s="11" t="str">
        <f t="shared" si="10"/>
        <v/>
      </c>
      <c r="T39" s="11" t="str">
        <f t="shared" si="11"/>
        <v/>
      </c>
      <c r="U39" s="11" t="str">
        <f t="shared" si="11"/>
        <v/>
      </c>
      <c r="W39" s="11" t="str">
        <f t="shared" si="17"/>
        <v>a</v>
      </c>
      <c r="X39" s="11" t="str">
        <f t="shared" si="18"/>
        <v>b</v>
      </c>
      <c r="Y39" s="11" t="str">
        <f t="shared" si="19"/>
        <v>c</v>
      </c>
      <c r="Z39" s="11" t="str">
        <f t="shared" si="20"/>
        <v/>
      </c>
      <c r="AA39" s="11" t="str">
        <f t="shared" si="21"/>
        <v/>
      </c>
      <c r="AB39" s="11" t="str">
        <f t="shared" si="12"/>
        <v/>
      </c>
      <c r="AC39" s="11" t="str">
        <f t="shared" si="13"/>
        <v/>
      </c>
      <c r="AD39" s="11" t="str">
        <f t="shared" si="14"/>
        <v>abc</v>
      </c>
      <c r="AE39" s="11" t="str">
        <f>IF(AD39="","",VLOOKUP($AD39,$AI$5:AL96,2,0))</f>
        <v>CO2</v>
      </c>
      <c r="AF39" s="11" t="str">
        <f t="shared" si="15"/>
        <v>CH4</v>
      </c>
      <c r="AG39" s="11" t="str">
        <f t="shared" si="16"/>
        <v>N2O</v>
      </c>
      <c r="AH39" s="8"/>
      <c r="AI39" s="35" t="s">
        <v>208</v>
      </c>
      <c r="AJ39" s="36" t="s">
        <v>232</v>
      </c>
      <c r="AK39" s="36" t="s">
        <v>234</v>
      </c>
      <c r="AL39" s="36" t="s">
        <v>237</v>
      </c>
    </row>
    <row r="40" spans="2:38" ht="18" customHeight="1" x14ac:dyDescent="0.4">
      <c r="B40" s="9">
        <v>36</v>
      </c>
      <c r="C40" s="99" t="s">
        <v>539</v>
      </c>
      <c r="D40" s="9" t="s">
        <v>482</v>
      </c>
      <c r="E40" s="34" t="s">
        <v>536</v>
      </c>
      <c r="F40" s="9" t="str">
        <f>VLOOKUP(E40,製表用!$E$3:$F$24,2,0)</f>
        <v>移動</v>
      </c>
      <c r="G40" s="9" t="s">
        <v>477</v>
      </c>
      <c r="H40" s="9" t="s">
        <v>477</v>
      </c>
      <c r="I40" s="9" t="s">
        <v>477</v>
      </c>
      <c r="J40" s="9"/>
      <c r="K40" s="9"/>
      <c r="L40" s="9"/>
      <c r="M40" s="9"/>
      <c r="O40" s="11" t="str">
        <f t="shared" si="6"/>
        <v>CO2</v>
      </c>
      <c r="P40" s="11" t="str">
        <f t="shared" si="7"/>
        <v>CH4</v>
      </c>
      <c r="Q40" s="11" t="str">
        <f t="shared" si="8"/>
        <v>N2O</v>
      </c>
      <c r="R40" s="11" t="str">
        <f t="shared" si="9"/>
        <v/>
      </c>
      <c r="S40" s="11" t="str">
        <f t="shared" si="10"/>
        <v/>
      </c>
      <c r="T40" s="11" t="str">
        <f t="shared" si="11"/>
        <v/>
      </c>
      <c r="U40" s="11" t="str">
        <f t="shared" si="11"/>
        <v/>
      </c>
      <c r="W40" s="11" t="str">
        <f t="shared" si="17"/>
        <v>a</v>
      </c>
      <c r="X40" s="11" t="str">
        <f t="shared" si="18"/>
        <v>b</v>
      </c>
      <c r="Y40" s="11" t="str">
        <f t="shared" si="19"/>
        <v>c</v>
      </c>
      <c r="Z40" s="11" t="str">
        <f t="shared" si="20"/>
        <v/>
      </c>
      <c r="AA40" s="11" t="str">
        <f t="shared" si="21"/>
        <v/>
      </c>
      <c r="AB40" s="11" t="str">
        <f t="shared" si="12"/>
        <v/>
      </c>
      <c r="AC40" s="11" t="str">
        <f t="shared" si="13"/>
        <v/>
      </c>
      <c r="AD40" s="11" t="str">
        <f t="shared" si="14"/>
        <v>abc</v>
      </c>
      <c r="AE40" s="11" t="str">
        <f>IF(AD40="","",VLOOKUP($AD40,$AI$5:AL97,2,0))</f>
        <v>CO2</v>
      </c>
      <c r="AF40" s="11" t="str">
        <f t="shared" si="15"/>
        <v>CH4</v>
      </c>
      <c r="AG40" s="11" t="str">
        <f t="shared" si="16"/>
        <v>N2O</v>
      </c>
      <c r="AH40" s="8"/>
      <c r="AI40" s="35" t="s">
        <v>209</v>
      </c>
      <c r="AJ40" s="36" t="s">
        <v>232</v>
      </c>
      <c r="AK40" s="36" t="s">
        <v>234</v>
      </c>
      <c r="AL40" s="36" t="s">
        <v>238</v>
      </c>
    </row>
    <row r="41" spans="2:38" ht="18" customHeight="1" x14ac:dyDescent="0.4">
      <c r="B41" s="9">
        <v>37</v>
      </c>
      <c r="C41" s="99" t="s">
        <v>541</v>
      </c>
      <c r="D41" s="9" t="s">
        <v>482</v>
      </c>
      <c r="E41" s="34" t="s">
        <v>540</v>
      </c>
      <c r="F41" s="9" t="str">
        <f>VLOOKUP(E41,製表用!$E$3:$F$24,2,0)</f>
        <v>逸散</v>
      </c>
      <c r="G41" s="9"/>
      <c r="H41" s="9"/>
      <c r="I41" s="9"/>
      <c r="J41" s="9" t="s">
        <v>477</v>
      </c>
      <c r="K41" s="9"/>
      <c r="L41" s="9"/>
      <c r="M41" s="9"/>
      <c r="O41" s="11" t="str">
        <f t="shared" si="6"/>
        <v/>
      </c>
      <c r="P41" s="11" t="str">
        <f t="shared" si="7"/>
        <v/>
      </c>
      <c r="Q41" s="11" t="str">
        <f t="shared" si="8"/>
        <v/>
      </c>
      <c r="R41" s="11" t="str">
        <f t="shared" si="9"/>
        <v>HFCs</v>
      </c>
      <c r="S41" s="11" t="str">
        <f t="shared" si="10"/>
        <v/>
      </c>
      <c r="T41" s="11" t="str">
        <f t="shared" si="11"/>
        <v/>
      </c>
      <c r="U41" s="11" t="str">
        <f t="shared" si="11"/>
        <v/>
      </c>
      <c r="W41" s="11" t="str">
        <f t="shared" si="17"/>
        <v/>
      </c>
      <c r="X41" s="11" t="str">
        <f t="shared" si="18"/>
        <v/>
      </c>
      <c r="Y41" s="11" t="str">
        <f t="shared" si="19"/>
        <v/>
      </c>
      <c r="Z41" s="11" t="str">
        <f t="shared" si="20"/>
        <v>d</v>
      </c>
      <c r="AA41" s="11" t="str">
        <f t="shared" si="21"/>
        <v/>
      </c>
      <c r="AB41" s="11" t="str">
        <f t="shared" si="12"/>
        <v/>
      </c>
      <c r="AC41" s="11" t="str">
        <f t="shared" si="13"/>
        <v/>
      </c>
      <c r="AD41" s="11" t="str">
        <f t="shared" si="14"/>
        <v>d</v>
      </c>
      <c r="AE41" s="11" t="str">
        <f>IF(AD41="","",VLOOKUP($AD41,$AI$5:AL98,2,0))</f>
        <v>HFCS</v>
      </c>
      <c r="AF41" s="11">
        <f t="shared" si="15"/>
        <v>0</v>
      </c>
      <c r="AG41" s="11">
        <f t="shared" si="16"/>
        <v>0</v>
      </c>
      <c r="AH41" s="8"/>
      <c r="AI41" s="35" t="s">
        <v>210</v>
      </c>
      <c r="AJ41" s="36" t="s">
        <v>232</v>
      </c>
      <c r="AK41" s="36" t="s">
        <v>235</v>
      </c>
      <c r="AL41" s="36" t="s">
        <v>236</v>
      </c>
    </row>
    <row r="42" spans="2:38" ht="18" customHeight="1" x14ac:dyDescent="0.4">
      <c r="B42" s="9">
        <v>38</v>
      </c>
      <c r="C42" s="99" t="s">
        <v>544</v>
      </c>
      <c r="D42" s="9" t="s">
        <v>482</v>
      </c>
      <c r="E42" s="34" t="s">
        <v>540</v>
      </c>
      <c r="F42" s="9" t="str">
        <f>VLOOKUP(E42,製表用!$E$3:$F$24,2,0)</f>
        <v>逸散</v>
      </c>
      <c r="G42" s="9"/>
      <c r="H42" s="9"/>
      <c r="I42" s="9"/>
      <c r="J42" s="9" t="s">
        <v>477</v>
      </c>
      <c r="K42" s="9"/>
      <c r="L42" s="9"/>
      <c r="M42" s="9"/>
      <c r="O42" s="11" t="str">
        <f t="shared" si="6"/>
        <v/>
      </c>
      <c r="P42" s="11" t="str">
        <f t="shared" si="7"/>
        <v/>
      </c>
      <c r="Q42" s="11" t="str">
        <f t="shared" si="8"/>
        <v/>
      </c>
      <c r="R42" s="11" t="str">
        <f t="shared" si="9"/>
        <v>HFCs</v>
      </c>
      <c r="S42" s="11" t="str">
        <f t="shared" si="10"/>
        <v/>
      </c>
      <c r="T42" s="11" t="str">
        <f t="shared" si="11"/>
        <v/>
      </c>
      <c r="U42" s="11" t="str">
        <f t="shared" si="11"/>
        <v/>
      </c>
      <c r="W42" s="11" t="str">
        <f t="shared" si="17"/>
        <v/>
      </c>
      <c r="X42" s="11" t="str">
        <f t="shared" si="18"/>
        <v/>
      </c>
      <c r="Y42" s="11" t="str">
        <f t="shared" si="19"/>
        <v/>
      </c>
      <c r="Z42" s="11" t="str">
        <f t="shared" si="20"/>
        <v>d</v>
      </c>
      <c r="AA42" s="11" t="str">
        <f t="shared" si="21"/>
        <v/>
      </c>
      <c r="AB42" s="11" t="str">
        <f t="shared" si="12"/>
        <v/>
      </c>
      <c r="AC42" s="11" t="str">
        <f t="shared" si="13"/>
        <v/>
      </c>
      <c r="AD42" s="11" t="str">
        <f t="shared" si="14"/>
        <v>d</v>
      </c>
      <c r="AE42" s="11" t="str">
        <f>IF(AD42="","",VLOOKUP($AD42,$AI$5:AL99,2,0))</f>
        <v>HFCS</v>
      </c>
      <c r="AF42" s="11">
        <f t="shared" si="15"/>
        <v>0</v>
      </c>
      <c r="AG42" s="11">
        <f t="shared" si="16"/>
        <v>0</v>
      </c>
      <c r="AH42" s="8"/>
      <c r="AI42" s="35" t="s">
        <v>211</v>
      </c>
      <c r="AJ42" s="36" t="s">
        <v>232</v>
      </c>
      <c r="AK42" s="36" t="s">
        <v>235</v>
      </c>
      <c r="AL42" s="36" t="s">
        <v>237</v>
      </c>
    </row>
    <row r="43" spans="2:38" ht="18" customHeight="1" x14ac:dyDescent="0.4">
      <c r="B43" s="9">
        <v>39</v>
      </c>
      <c r="C43" s="99" t="s">
        <v>545</v>
      </c>
      <c r="D43" s="9" t="s">
        <v>482</v>
      </c>
      <c r="E43" s="34" t="s">
        <v>540</v>
      </c>
      <c r="F43" s="9" t="str">
        <f>VLOOKUP(E43,製表用!$E$3:$F$24,2,0)</f>
        <v>逸散</v>
      </c>
      <c r="G43" s="9"/>
      <c r="H43" s="9"/>
      <c r="I43" s="9"/>
      <c r="J43" s="9" t="s">
        <v>477</v>
      </c>
      <c r="K43" s="9"/>
      <c r="L43" s="9"/>
      <c r="M43" s="9"/>
      <c r="O43" s="11" t="str">
        <f t="shared" si="6"/>
        <v/>
      </c>
      <c r="P43" s="11" t="str">
        <f t="shared" si="7"/>
        <v/>
      </c>
      <c r="Q43" s="11" t="str">
        <f t="shared" si="8"/>
        <v/>
      </c>
      <c r="R43" s="11" t="str">
        <f t="shared" si="9"/>
        <v>HFCs</v>
      </c>
      <c r="S43" s="11" t="str">
        <f t="shared" si="10"/>
        <v/>
      </c>
      <c r="T43" s="11" t="str">
        <f t="shared" si="11"/>
        <v/>
      </c>
      <c r="U43" s="11" t="str">
        <f t="shared" si="11"/>
        <v/>
      </c>
      <c r="W43" s="11" t="str">
        <f t="shared" si="17"/>
        <v/>
      </c>
      <c r="X43" s="11" t="str">
        <f t="shared" si="18"/>
        <v/>
      </c>
      <c r="Y43" s="11" t="str">
        <f t="shared" si="19"/>
        <v/>
      </c>
      <c r="Z43" s="11" t="str">
        <f t="shared" si="20"/>
        <v>d</v>
      </c>
      <c r="AA43" s="11" t="str">
        <f t="shared" si="21"/>
        <v/>
      </c>
      <c r="AB43" s="11" t="str">
        <f t="shared" si="12"/>
        <v/>
      </c>
      <c r="AC43" s="11" t="str">
        <f t="shared" si="13"/>
        <v/>
      </c>
      <c r="AD43" s="11" t="str">
        <f t="shared" si="14"/>
        <v>d</v>
      </c>
      <c r="AE43" s="11" t="str">
        <f>IF(AD43="","",VLOOKUP($AD43,$AI$5:AL100,2,0))</f>
        <v>HFCS</v>
      </c>
      <c r="AF43" s="11">
        <f t="shared" si="15"/>
        <v>0</v>
      </c>
      <c r="AG43" s="11">
        <f t="shared" si="16"/>
        <v>0</v>
      </c>
      <c r="AH43" s="8"/>
      <c r="AI43" s="35" t="s">
        <v>212</v>
      </c>
      <c r="AJ43" s="36" t="s">
        <v>232</v>
      </c>
      <c r="AK43" s="36" t="s">
        <v>235</v>
      </c>
      <c r="AL43" s="36" t="s">
        <v>238</v>
      </c>
    </row>
    <row r="44" spans="2:38" ht="18" customHeight="1" x14ac:dyDescent="0.4">
      <c r="B44" s="9">
        <v>40</v>
      </c>
      <c r="C44" s="99" t="s">
        <v>547</v>
      </c>
      <c r="D44" s="9" t="s">
        <v>482</v>
      </c>
      <c r="E44" s="34" t="s">
        <v>540</v>
      </c>
      <c r="F44" s="9" t="str">
        <f>VLOOKUP(E44,製表用!$E$3:$F$24,2,0)</f>
        <v>逸散</v>
      </c>
      <c r="G44" s="9"/>
      <c r="H44" s="9"/>
      <c r="I44" s="9"/>
      <c r="J44" s="9" t="s">
        <v>477</v>
      </c>
      <c r="K44" s="9"/>
      <c r="L44" s="9"/>
      <c r="M44" s="9"/>
      <c r="O44" s="11" t="str">
        <f t="shared" si="6"/>
        <v/>
      </c>
      <c r="P44" s="11" t="str">
        <f t="shared" si="7"/>
        <v/>
      </c>
      <c r="Q44" s="11" t="str">
        <f t="shared" si="8"/>
        <v/>
      </c>
      <c r="R44" s="11" t="str">
        <f t="shared" si="9"/>
        <v>HFCs</v>
      </c>
      <c r="S44" s="11" t="str">
        <f t="shared" si="10"/>
        <v/>
      </c>
      <c r="T44" s="11" t="str">
        <f t="shared" si="11"/>
        <v/>
      </c>
      <c r="U44" s="11" t="str">
        <f t="shared" si="11"/>
        <v/>
      </c>
      <c r="W44" s="11" t="str">
        <f t="shared" si="17"/>
        <v/>
      </c>
      <c r="X44" s="11" t="str">
        <f t="shared" si="18"/>
        <v/>
      </c>
      <c r="Y44" s="11" t="str">
        <f t="shared" si="19"/>
        <v/>
      </c>
      <c r="Z44" s="11" t="str">
        <f t="shared" si="20"/>
        <v>d</v>
      </c>
      <c r="AA44" s="11" t="str">
        <f t="shared" si="21"/>
        <v/>
      </c>
      <c r="AB44" s="11" t="str">
        <f t="shared" si="12"/>
        <v/>
      </c>
      <c r="AC44" s="11" t="str">
        <f t="shared" si="13"/>
        <v/>
      </c>
      <c r="AD44" s="11" t="str">
        <f t="shared" si="14"/>
        <v>d</v>
      </c>
      <c r="AE44" s="11" t="str">
        <f>IF(AD44="","",VLOOKUP($AD44,$AI$5:AL101,2,0))</f>
        <v>HFCS</v>
      </c>
      <c r="AF44" s="11">
        <f t="shared" si="15"/>
        <v>0</v>
      </c>
      <c r="AG44" s="11">
        <f t="shared" si="16"/>
        <v>0</v>
      </c>
      <c r="AH44" s="8"/>
      <c r="AI44" s="35" t="s">
        <v>213</v>
      </c>
      <c r="AJ44" s="36" t="s">
        <v>232</v>
      </c>
      <c r="AK44" s="36" t="s">
        <v>236</v>
      </c>
      <c r="AL44" s="36" t="s">
        <v>237</v>
      </c>
    </row>
    <row r="45" spans="2:38" ht="18" customHeight="1" x14ac:dyDescent="0.4">
      <c r="B45" s="9">
        <v>41</v>
      </c>
      <c r="C45" s="99" t="s">
        <v>548</v>
      </c>
      <c r="D45" s="9" t="s">
        <v>482</v>
      </c>
      <c r="E45" s="34" t="s">
        <v>540</v>
      </c>
      <c r="F45" s="9" t="str">
        <f>VLOOKUP(E45,製表用!$E$3:$F$24,2,0)</f>
        <v>逸散</v>
      </c>
      <c r="G45" s="9"/>
      <c r="H45" s="9"/>
      <c r="I45" s="9"/>
      <c r="J45" s="9" t="s">
        <v>477</v>
      </c>
      <c r="K45" s="9"/>
      <c r="L45" s="9"/>
      <c r="M45" s="9"/>
      <c r="O45" s="11" t="str">
        <f t="shared" si="6"/>
        <v/>
      </c>
      <c r="P45" s="11" t="str">
        <f t="shared" si="7"/>
        <v/>
      </c>
      <c r="Q45" s="11" t="str">
        <f t="shared" si="8"/>
        <v/>
      </c>
      <c r="R45" s="11" t="str">
        <f t="shared" si="9"/>
        <v>HFCs</v>
      </c>
      <c r="S45" s="11" t="str">
        <f t="shared" si="10"/>
        <v/>
      </c>
      <c r="T45" s="11" t="str">
        <f t="shared" si="11"/>
        <v/>
      </c>
      <c r="U45" s="11" t="str">
        <f t="shared" si="11"/>
        <v/>
      </c>
      <c r="W45" s="11" t="str">
        <f t="shared" si="17"/>
        <v/>
      </c>
      <c r="X45" s="11" t="str">
        <f t="shared" si="18"/>
        <v/>
      </c>
      <c r="Y45" s="11" t="str">
        <f t="shared" si="19"/>
        <v/>
      </c>
      <c r="Z45" s="11" t="str">
        <f t="shared" si="20"/>
        <v>d</v>
      </c>
      <c r="AA45" s="11" t="str">
        <f t="shared" si="21"/>
        <v/>
      </c>
      <c r="AB45" s="11" t="str">
        <f t="shared" si="12"/>
        <v/>
      </c>
      <c r="AC45" s="11" t="str">
        <f t="shared" si="13"/>
        <v/>
      </c>
      <c r="AD45" s="11" t="str">
        <f t="shared" si="14"/>
        <v>d</v>
      </c>
      <c r="AE45" s="11" t="str">
        <f>IF(AD45="","",VLOOKUP($AD45,$AI$5:AL102,2,0))</f>
        <v>HFCS</v>
      </c>
      <c r="AF45" s="11">
        <f t="shared" si="15"/>
        <v>0</v>
      </c>
      <c r="AG45" s="11">
        <f t="shared" si="16"/>
        <v>0</v>
      </c>
      <c r="AH45" s="8"/>
      <c r="AI45" s="35" t="s">
        <v>214</v>
      </c>
      <c r="AJ45" s="36" t="s">
        <v>232</v>
      </c>
      <c r="AK45" s="36" t="s">
        <v>236</v>
      </c>
      <c r="AL45" s="36" t="s">
        <v>238</v>
      </c>
    </row>
    <row r="46" spans="2:38" ht="18" customHeight="1" x14ac:dyDescent="0.4">
      <c r="B46" s="9">
        <v>42</v>
      </c>
      <c r="C46" s="99" t="s">
        <v>549</v>
      </c>
      <c r="D46" s="9" t="s">
        <v>482</v>
      </c>
      <c r="E46" s="34" t="s">
        <v>540</v>
      </c>
      <c r="F46" s="9" t="str">
        <f>VLOOKUP(E46,製表用!$E$3:$F$24,2,0)</f>
        <v>逸散</v>
      </c>
      <c r="G46" s="9"/>
      <c r="H46" s="9"/>
      <c r="I46" s="9"/>
      <c r="J46" s="9" t="s">
        <v>477</v>
      </c>
      <c r="K46" s="9"/>
      <c r="L46" s="9"/>
      <c r="M46" s="9"/>
      <c r="O46" s="11" t="str">
        <f t="shared" si="6"/>
        <v/>
      </c>
      <c r="P46" s="11" t="str">
        <f t="shared" si="7"/>
        <v/>
      </c>
      <c r="Q46" s="11" t="str">
        <f t="shared" si="8"/>
        <v/>
      </c>
      <c r="R46" s="11" t="str">
        <f t="shared" si="9"/>
        <v>HFCs</v>
      </c>
      <c r="S46" s="11" t="str">
        <f t="shared" si="10"/>
        <v/>
      </c>
      <c r="T46" s="11" t="str">
        <f t="shared" si="11"/>
        <v/>
      </c>
      <c r="U46" s="11" t="str">
        <f t="shared" si="11"/>
        <v/>
      </c>
      <c r="W46" s="11" t="str">
        <f t="shared" si="17"/>
        <v/>
      </c>
      <c r="X46" s="11" t="str">
        <f t="shared" si="18"/>
        <v/>
      </c>
      <c r="Y46" s="11" t="str">
        <f t="shared" si="19"/>
        <v/>
      </c>
      <c r="Z46" s="11" t="str">
        <f t="shared" si="20"/>
        <v>d</v>
      </c>
      <c r="AA46" s="11" t="str">
        <f t="shared" si="21"/>
        <v/>
      </c>
      <c r="AB46" s="11" t="str">
        <f t="shared" si="12"/>
        <v/>
      </c>
      <c r="AC46" s="11" t="str">
        <f t="shared" si="13"/>
        <v/>
      </c>
      <c r="AD46" s="11" t="str">
        <f t="shared" si="14"/>
        <v>d</v>
      </c>
      <c r="AE46" s="11" t="str">
        <f>IF(AD46="","",VLOOKUP($AD46,$AI$5:AL103,2,0))</f>
        <v>HFCS</v>
      </c>
      <c r="AF46" s="11">
        <f t="shared" si="15"/>
        <v>0</v>
      </c>
      <c r="AG46" s="11">
        <f t="shared" si="16"/>
        <v>0</v>
      </c>
      <c r="AH46" s="8"/>
      <c r="AI46" s="35" t="s">
        <v>215</v>
      </c>
      <c r="AJ46" s="36" t="s">
        <v>233</v>
      </c>
      <c r="AK46" s="36" t="s">
        <v>234</v>
      </c>
      <c r="AL46" s="36" t="s">
        <v>235</v>
      </c>
    </row>
    <row r="47" spans="2:38" ht="18" customHeight="1" x14ac:dyDescent="0.4">
      <c r="B47" s="9">
        <v>43</v>
      </c>
      <c r="C47" s="99" t="s">
        <v>550</v>
      </c>
      <c r="D47" s="9" t="s">
        <v>482</v>
      </c>
      <c r="E47" s="34" t="s">
        <v>540</v>
      </c>
      <c r="F47" s="9" t="str">
        <f>VLOOKUP(E47,製表用!$E$3:$F$24,2,0)</f>
        <v>逸散</v>
      </c>
      <c r="G47" s="9"/>
      <c r="H47" s="9"/>
      <c r="I47" s="9"/>
      <c r="J47" s="9" t="s">
        <v>477</v>
      </c>
      <c r="K47" s="9"/>
      <c r="L47" s="9"/>
      <c r="M47" s="9"/>
      <c r="O47" s="11" t="str">
        <f t="shared" si="6"/>
        <v/>
      </c>
      <c r="P47" s="11" t="str">
        <f t="shared" si="7"/>
        <v/>
      </c>
      <c r="Q47" s="11" t="str">
        <f t="shared" si="8"/>
        <v/>
      </c>
      <c r="R47" s="11" t="str">
        <f t="shared" si="9"/>
        <v>HFCs</v>
      </c>
      <c r="S47" s="11" t="str">
        <f t="shared" si="10"/>
        <v/>
      </c>
      <c r="T47" s="11" t="str">
        <f t="shared" si="11"/>
        <v/>
      </c>
      <c r="U47" s="11" t="str">
        <f t="shared" si="11"/>
        <v/>
      </c>
      <c r="W47" s="11" t="str">
        <f t="shared" si="17"/>
        <v/>
      </c>
      <c r="X47" s="11" t="str">
        <f t="shared" si="18"/>
        <v/>
      </c>
      <c r="Y47" s="11" t="str">
        <f t="shared" si="19"/>
        <v/>
      </c>
      <c r="Z47" s="11" t="str">
        <f t="shared" si="20"/>
        <v>d</v>
      </c>
      <c r="AA47" s="11" t="str">
        <f t="shared" si="21"/>
        <v/>
      </c>
      <c r="AB47" s="11" t="str">
        <f t="shared" si="12"/>
        <v/>
      </c>
      <c r="AC47" s="11" t="str">
        <f t="shared" si="13"/>
        <v/>
      </c>
      <c r="AD47" s="11" t="str">
        <f t="shared" si="14"/>
        <v>d</v>
      </c>
      <c r="AE47" s="11" t="str">
        <f>IF(AD47="","",VLOOKUP($AD47,$AI$5:AL104,2,0))</f>
        <v>HFCS</v>
      </c>
      <c r="AF47" s="11">
        <f t="shared" si="15"/>
        <v>0</v>
      </c>
      <c r="AG47" s="11">
        <f t="shared" si="16"/>
        <v>0</v>
      </c>
      <c r="AH47" s="8"/>
      <c r="AI47" s="35" t="s">
        <v>216</v>
      </c>
      <c r="AJ47" s="36" t="s">
        <v>233</v>
      </c>
      <c r="AK47" s="36" t="s">
        <v>234</v>
      </c>
      <c r="AL47" s="36" t="s">
        <v>236</v>
      </c>
    </row>
    <row r="48" spans="2:38" ht="18" customHeight="1" x14ac:dyDescent="0.4">
      <c r="B48" s="9">
        <v>44</v>
      </c>
      <c r="C48" s="99" t="s">
        <v>551</v>
      </c>
      <c r="D48" s="9" t="s">
        <v>482</v>
      </c>
      <c r="E48" s="34" t="s">
        <v>540</v>
      </c>
      <c r="F48" s="9" t="str">
        <f>VLOOKUP(E48,製表用!$E$3:$F$24,2,0)</f>
        <v>逸散</v>
      </c>
      <c r="G48" s="9"/>
      <c r="H48" s="9"/>
      <c r="I48" s="9"/>
      <c r="J48" s="9" t="s">
        <v>477</v>
      </c>
      <c r="K48" s="9"/>
      <c r="L48" s="9"/>
      <c r="M48" s="9"/>
      <c r="O48" s="11" t="str">
        <f t="shared" si="6"/>
        <v/>
      </c>
      <c r="P48" s="11" t="str">
        <f t="shared" si="7"/>
        <v/>
      </c>
      <c r="Q48" s="11" t="str">
        <f t="shared" si="8"/>
        <v/>
      </c>
      <c r="R48" s="11" t="str">
        <f t="shared" si="9"/>
        <v>HFCs</v>
      </c>
      <c r="S48" s="11" t="str">
        <f t="shared" si="10"/>
        <v/>
      </c>
      <c r="T48" s="11" t="str">
        <f t="shared" si="11"/>
        <v/>
      </c>
      <c r="U48" s="11" t="str">
        <f t="shared" si="11"/>
        <v/>
      </c>
      <c r="W48" s="11" t="str">
        <f t="shared" si="17"/>
        <v/>
      </c>
      <c r="X48" s="11" t="str">
        <f t="shared" si="18"/>
        <v/>
      </c>
      <c r="Y48" s="11" t="str">
        <f t="shared" si="19"/>
        <v/>
      </c>
      <c r="Z48" s="11" t="str">
        <f t="shared" si="20"/>
        <v>d</v>
      </c>
      <c r="AA48" s="11" t="str">
        <f t="shared" si="21"/>
        <v/>
      </c>
      <c r="AB48" s="11" t="str">
        <f t="shared" si="12"/>
        <v/>
      </c>
      <c r="AC48" s="11" t="str">
        <f t="shared" si="13"/>
        <v/>
      </c>
      <c r="AD48" s="11" t="str">
        <f t="shared" si="14"/>
        <v>d</v>
      </c>
      <c r="AE48" s="11" t="str">
        <f>IF(AD48="","",VLOOKUP($AD48,$AI$5:AL105,2,0))</f>
        <v>HFCS</v>
      </c>
      <c r="AF48" s="11">
        <f t="shared" si="15"/>
        <v>0</v>
      </c>
      <c r="AG48" s="11">
        <f t="shared" si="16"/>
        <v>0</v>
      </c>
      <c r="AH48" s="8"/>
      <c r="AI48" s="35" t="s">
        <v>217</v>
      </c>
      <c r="AJ48" s="36" t="s">
        <v>233</v>
      </c>
      <c r="AK48" s="36" t="s">
        <v>234</v>
      </c>
      <c r="AL48" s="36" t="s">
        <v>237</v>
      </c>
    </row>
    <row r="49" spans="2:38" ht="18" customHeight="1" x14ac:dyDescent="0.4">
      <c r="B49" s="9">
        <v>45</v>
      </c>
      <c r="C49" s="99" t="s">
        <v>552</v>
      </c>
      <c r="D49" s="9" t="s">
        <v>482</v>
      </c>
      <c r="E49" s="34" t="s">
        <v>540</v>
      </c>
      <c r="F49" s="9" t="str">
        <f>VLOOKUP(E49,製表用!$E$3:$F$24,2,0)</f>
        <v>逸散</v>
      </c>
      <c r="G49" s="9"/>
      <c r="H49" s="9"/>
      <c r="I49" s="9"/>
      <c r="J49" s="9" t="s">
        <v>477</v>
      </c>
      <c r="K49" s="9"/>
      <c r="L49" s="9"/>
      <c r="M49" s="9"/>
      <c r="O49" s="11" t="str">
        <f t="shared" si="6"/>
        <v/>
      </c>
      <c r="P49" s="11" t="str">
        <f t="shared" si="7"/>
        <v/>
      </c>
      <c r="Q49" s="11" t="str">
        <f t="shared" si="8"/>
        <v/>
      </c>
      <c r="R49" s="11" t="str">
        <f t="shared" si="9"/>
        <v>HFCs</v>
      </c>
      <c r="S49" s="11" t="str">
        <f t="shared" si="10"/>
        <v/>
      </c>
      <c r="T49" s="11" t="str">
        <f t="shared" si="11"/>
        <v/>
      </c>
      <c r="U49" s="11" t="str">
        <f t="shared" si="11"/>
        <v/>
      </c>
      <c r="W49" s="11" t="str">
        <f t="shared" si="17"/>
        <v/>
      </c>
      <c r="X49" s="11" t="str">
        <f t="shared" si="18"/>
        <v/>
      </c>
      <c r="Y49" s="11" t="str">
        <f t="shared" si="19"/>
        <v/>
      </c>
      <c r="Z49" s="11" t="str">
        <f t="shared" si="20"/>
        <v>d</v>
      </c>
      <c r="AA49" s="11" t="str">
        <f t="shared" si="21"/>
        <v/>
      </c>
      <c r="AB49" s="11" t="str">
        <f t="shared" si="12"/>
        <v/>
      </c>
      <c r="AC49" s="11" t="str">
        <f t="shared" si="13"/>
        <v/>
      </c>
      <c r="AD49" s="11" t="str">
        <f t="shared" si="14"/>
        <v>d</v>
      </c>
      <c r="AE49" s="11" t="str">
        <f>IF(AD49="","",VLOOKUP($AD49,$AI$5:AL106,2,0))</f>
        <v>HFCS</v>
      </c>
      <c r="AF49" s="11">
        <f t="shared" si="15"/>
        <v>0</v>
      </c>
      <c r="AG49" s="11">
        <f t="shared" si="16"/>
        <v>0</v>
      </c>
      <c r="AH49" s="8"/>
      <c r="AI49" s="35" t="s">
        <v>218</v>
      </c>
      <c r="AJ49" s="36" t="s">
        <v>233</v>
      </c>
      <c r="AK49" s="36" t="s">
        <v>234</v>
      </c>
      <c r="AL49" s="36" t="s">
        <v>238</v>
      </c>
    </row>
    <row r="50" spans="2:38" ht="18" customHeight="1" x14ac:dyDescent="0.4">
      <c r="B50" s="9">
        <v>46</v>
      </c>
      <c r="C50" s="99" t="s">
        <v>553</v>
      </c>
      <c r="D50" s="9" t="s">
        <v>482</v>
      </c>
      <c r="E50" s="34" t="s">
        <v>540</v>
      </c>
      <c r="F50" s="9" t="str">
        <f>VLOOKUP(E50,製表用!$E$3:$F$24,2,0)</f>
        <v>逸散</v>
      </c>
      <c r="G50" s="9"/>
      <c r="H50" s="9"/>
      <c r="I50" s="9"/>
      <c r="J50" s="9" t="s">
        <v>477</v>
      </c>
      <c r="K50" s="9"/>
      <c r="L50" s="9"/>
      <c r="M50" s="9"/>
      <c r="O50" s="11" t="str">
        <f t="shared" si="6"/>
        <v/>
      </c>
      <c r="P50" s="11" t="str">
        <f t="shared" si="7"/>
        <v/>
      </c>
      <c r="Q50" s="11" t="str">
        <f t="shared" si="8"/>
        <v/>
      </c>
      <c r="R50" s="11" t="str">
        <f t="shared" si="9"/>
        <v>HFCs</v>
      </c>
      <c r="S50" s="11" t="str">
        <f t="shared" si="10"/>
        <v/>
      </c>
      <c r="T50" s="11" t="str">
        <f t="shared" si="11"/>
        <v/>
      </c>
      <c r="U50" s="11" t="str">
        <f t="shared" si="11"/>
        <v/>
      </c>
      <c r="W50" s="11" t="str">
        <f t="shared" si="17"/>
        <v/>
      </c>
      <c r="X50" s="11" t="str">
        <f t="shared" si="18"/>
        <v/>
      </c>
      <c r="Y50" s="11" t="str">
        <f t="shared" si="19"/>
        <v/>
      </c>
      <c r="Z50" s="11" t="str">
        <f t="shared" si="20"/>
        <v>d</v>
      </c>
      <c r="AA50" s="11" t="str">
        <f t="shared" si="21"/>
        <v/>
      </c>
      <c r="AB50" s="11" t="str">
        <f t="shared" si="12"/>
        <v/>
      </c>
      <c r="AC50" s="11" t="str">
        <f t="shared" si="13"/>
        <v/>
      </c>
      <c r="AD50" s="11" t="str">
        <f t="shared" si="14"/>
        <v>d</v>
      </c>
      <c r="AE50" s="11" t="str">
        <f>IF(AD50="","",VLOOKUP($AD50,$AI$5:AL107,2,0))</f>
        <v>HFCS</v>
      </c>
      <c r="AF50" s="11">
        <f t="shared" si="15"/>
        <v>0</v>
      </c>
      <c r="AG50" s="11">
        <f t="shared" si="16"/>
        <v>0</v>
      </c>
      <c r="AH50" s="8"/>
      <c r="AI50" s="35" t="s">
        <v>219</v>
      </c>
      <c r="AJ50" s="36" t="s">
        <v>233</v>
      </c>
      <c r="AK50" s="36" t="s">
        <v>235</v>
      </c>
      <c r="AL50" s="36" t="s">
        <v>236</v>
      </c>
    </row>
    <row r="51" spans="2:38" ht="18" customHeight="1" x14ac:dyDescent="0.4">
      <c r="B51" s="9">
        <v>47</v>
      </c>
      <c r="C51" s="99" t="s">
        <v>554</v>
      </c>
      <c r="D51" s="9" t="s">
        <v>482</v>
      </c>
      <c r="E51" s="34" t="s">
        <v>540</v>
      </c>
      <c r="F51" s="9" t="str">
        <f>VLOOKUP(E51,製表用!$E$3:$F$24,2,0)</f>
        <v>逸散</v>
      </c>
      <c r="G51" s="9"/>
      <c r="H51" s="9"/>
      <c r="I51" s="9"/>
      <c r="J51" s="9" t="s">
        <v>477</v>
      </c>
      <c r="K51" s="9"/>
      <c r="L51" s="9"/>
      <c r="M51" s="9"/>
      <c r="O51" s="11" t="str">
        <f t="shared" si="6"/>
        <v/>
      </c>
      <c r="P51" s="11" t="str">
        <f t="shared" si="7"/>
        <v/>
      </c>
      <c r="Q51" s="11" t="str">
        <f t="shared" si="8"/>
        <v/>
      </c>
      <c r="R51" s="11" t="str">
        <f t="shared" si="9"/>
        <v>HFCs</v>
      </c>
      <c r="S51" s="11" t="str">
        <f t="shared" si="10"/>
        <v/>
      </c>
      <c r="T51" s="11" t="str">
        <f t="shared" si="11"/>
        <v/>
      </c>
      <c r="U51" s="11" t="str">
        <f t="shared" si="11"/>
        <v/>
      </c>
      <c r="W51" s="11" t="str">
        <f t="shared" si="17"/>
        <v/>
      </c>
      <c r="X51" s="11" t="str">
        <f t="shared" si="18"/>
        <v/>
      </c>
      <c r="Y51" s="11" t="str">
        <f t="shared" si="19"/>
        <v/>
      </c>
      <c r="Z51" s="11" t="str">
        <f t="shared" si="20"/>
        <v>d</v>
      </c>
      <c r="AA51" s="11" t="str">
        <f t="shared" si="21"/>
        <v/>
      </c>
      <c r="AB51" s="11" t="str">
        <f t="shared" si="12"/>
        <v/>
      </c>
      <c r="AC51" s="11" t="str">
        <f t="shared" si="13"/>
        <v/>
      </c>
      <c r="AD51" s="11" t="str">
        <f t="shared" si="14"/>
        <v>d</v>
      </c>
      <c r="AE51" s="11" t="str">
        <f>IF(AD51="","",VLOOKUP($AD51,$AI$5:AL108,2,0))</f>
        <v>HFCS</v>
      </c>
      <c r="AF51" s="11">
        <f t="shared" si="15"/>
        <v>0</v>
      </c>
      <c r="AG51" s="11">
        <f t="shared" si="16"/>
        <v>0</v>
      </c>
      <c r="AH51" s="8"/>
      <c r="AI51" s="35" t="s">
        <v>220</v>
      </c>
      <c r="AJ51" s="36" t="s">
        <v>233</v>
      </c>
      <c r="AK51" s="36" t="s">
        <v>235</v>
      </c>
      <c r="AL51" s="36" t="s">
        <v>237</v>
      </c>
    </row>
    <row r="52" spans="2:38" ht="18" customHeight="1" x14ac:dyDescent="0.4">
      <c r="B52" s="9">
        <v>48</v>
      </c>
      <c r="C52" s="99" t="s">
        <v>555</v>
      </c>
      <c r="D52" s="9" t="s">
        <v>482</v>
      </c>
      <c r="E52" s="34" t="s">
        <v>540</v>
      </c>
      <c r="F52" s="9" t="str">
        <f>VLOOKUP(E52,製表用!$E$3:$F$24,2,0)</f>
        <v>逸散</v>
      </c>
      <c r="G52" s="9"/>
      <c r="H52" s="9"/>
      <c r="I52" s="9"/>
      <c r="J52" s="9" t="s">
        <v>477</v>
      </c>
      <c r="K52" s="9"/>
      <c r="L52" s="9"/>
      <c r="M52" s="9"/>
      <c r="O52" s="11" t="str">
        <f t="shared" si="6"/>
        <v/>
      </c>
      <c r="P52" s="11" t="str">
        <f t="shared" si="7"/>
        <v/>
      </c>
      <c r="Q52" s="11" t="str">
        <f t="shared" si="8"/>
        <v/>
      </c>
      <c r="R52" s="11" t="str">
        <f t="shared" si="9"/>
        <v>HFCs</v>
      </c>
      <c r="S52" s="11" t="str">
        <f t="shared" si="10"/>
        <v/>
      </c>
      <c r="T52" s="11" t="str">
        <f t="shared" si="11"/>
        <v/>
      </c>
      <c r="U52" s="11" t="str">
        <f t="shared" si="11"/>
        <v/>
      </c>
      <c r="W52" s="11" t="str">
        <f t="shared" si="17"/>
        <v/>
      </c>
      <c r="X52" s="11" t="str">
        <f t="shared" si="18"/>
        <v/>
      </c>
      <c r="Y52" s="11" t="str">
        <f t="shared" si="19"/>
        <v/>
      </c>
      <c r="Z52" s="11" t="str">
        <f t="shared" si="20"/>
        <v>d</v>
      </c>
      <c r="AA52" s="11" t="str">
        <f t="shared" si="21"/>
        <v/>
      </c>
      <c r="AB52" s="11" t="str">
        <f t="shared" si="12"/>
        <v/>
      </c>
      <c r="AC52" s="11" t="str">
        <f t="shared" si="13"/>
        <v/>
      </c>
      <c r="AD52" s="11" t="str">
        <f t="shared" si="14"/>
        <v>d</v>
      </c>
      <c r="AE52" s="11" t="str">
        <f>IF(AD52="","",VLOOKUP($AD52,$AI$5:AL109,2,0))</f>
        <v>HFCS</v>
      </c>
      <c r="AF52" s="11">
        <f t="shared" si="15"/>
        <v>0</v>
      </c>
      <c r="AG52" s="11">
        <f t="shared" si="16"/>
        <v>0</v>
      </c>
      <c r="AH52" s="8"/>
      <c r="AI52" s="35" t="s">
        <v>221</v>
      </c>
      <c r="AJ52" s="36" t="s">
        <v>233</v>
      </c>
      <c r="AK52" s="36" t="s">
        <v>235</v>
      </c>
      <c r="AL52" s="36" t="s">
        <v>238</v>
      </c>
    </row>
    <row r="53" spans="2:38" ht="18" customHeight="1" x14ac:dyDescent="0.4">
      <c r="B53" s="9">
        <v>49</v>
      </c>
      <c r="C53" s="99" t="s">
        <v>556</v>
      </c>
      <c r="D53" s="9" t="s">
        <v>482</v>
      </c>
      <c r="E53" s="34" t="s">
        <v>540</v>
      </c>
      <c r="F53" s="9" t="str">
        <f>VLOOKUP(E53,製表用!$E$3:$F$24,2,0)</f>
        <v>逸散</v>
      </c>
      <c r="G53" s="9"/>
      <c r="H53" s="9" t="s">
        <v>477</v>
      </c>
      <c r="I53" s="9"/>
      <c r="J53" s="9"/>
      <c r="K53" s="9"/>
      <c r="L53" s="9"/>
      <c r="M53" s="9"/>
      <c r="O53" s="11" t="str">
        <f t="shared" si="6"/>
        <v/>
      </c>
      <c r="P53" s="11" t="str">
        <f t="shared" si="7"/>
        <v>CH4</v>
      </c>
      <c r="Q53" s="11" t="str">
        <f t="shared" si="8"/>
        <v/>
      </c>
      <c r="R53" s="11" t="str">
        <f t="shared" si="9"/>
        <v/>
      </c>
      <c r="S53" s="11" t="str">
        <f t="shared" si="10"/>
        <v/>
      </c>
      <c r="T53" s="11" t="str">
        <f t="shared" si="11"/>
        <v/>
      </c>
      <c r="U53" s="11" t="str">
        <f t="shared" si="11"/>
        <v/>
      </c>
      <c r="W53" s="11" t="str">
        <f t="shared" si="17"/>
        <v/>
      </c>
      <c r="X53" s="11" t="str">
        <f t="shared" si="18"/>
        <v>b</v>
      </c>
      <c r="Y53" s="11" t="str">
        <f t="shared" si="19"/>
        <v/>
      </c>
      <c r="Z53" s="11" t="str">
        <f t="shared" si="20"/>
        <v/>
      </c>
      <c r="AA53" s="11" t="str">
        <f t="shared" si="21"/>
        <v/>
      </c>
      <c r="AB53" s="11" t="str">
        <f t="shared" si="12"/>
        <v/>
      </c>
      <c r="AC53" s="11" t="str">
        <f t="shared" si="13"/>
        <v/>
      </c>
      <c r="AD53" s="11" t="str">
        <f t="shared" si="14"/>
        <v>b</v>
      </c>
      <c r="AE53" s="11" t="str">
        <f>IF(AD53="","",VLOOKUP($AD53,$AI$5:AL110,2,0))</f>
        <v>CH4</v>
      </c>
      <c r="AF53" s="11">
        <f t="shared" si="15"/>
        <v>0</v>
      </c>
      <c r="AG53" s="11">
        <f t="shared" si="16"/>
        <v>0</v>
      </c>
      <c r="AH53" s="8"/>
      <c r="AI53" s="35" t="s">
        <v>222</v>
      </c>
      <c r="AJ53" s="36" t="s">
        <v>233</v>
      </c>
      <c r="AK53" s="36" t="s">
        <v>236</v>
      </c>
      <c r="AL53" s="36" t="s">
        <v>237</v>
      </c>
    </row>
    <row r="54" spans="2:38" ht="18" customHeight="1" x14ac:dyDescent="0.4">
      <c r="B54" s="9">
        <v>50</v>
      </c>
      <c r="C54" s="99" t="s">
        <v>561</v>
      </c>
      <c r="D54" s="9" t="s">
        <v>482</v>
      </c>
      <c r="E54" s="34" t="s">
        <v>540</v>
      </c>
      <c r="F54" s="9" t="str">
        <f>VLOOKUP(E54,製表用!$E$3:$F$24,2,0)</f>
        <v>逸散</v>
      </c>
      <c r="G54" s="9" t="s">
        <v>477</v>
      </c>
      <c r="H54" s="9"/>
      <c r="I54" s="9"/>
      <c r="J54" s="9"/>
      <c r="K54" s="9"/>
      <c r="L54" s="9"/>
      <c r="M54" s="9"/>
      <c r="O54" s="11" t="str">
        <f t="shared" si="6"/>
        <v>CO2</v>
      </c>
      <c r="P54" s="11" t="str">
        <f t="shared" si="7"/>
        <v/>
      </c>
      <c r="Q54" s="11" t="str">
        <f t="shared" si="8"/>
        <v/>
      </c>
      <c r="R54" s="11" t="str">
        <f t="shared" si="9"/>
        <v/>
      </c>
      <c r="S54" s="11" t="str">
        <f t="shared" si="10"/>
        <v/>
      </c>
      <c r="T54" s="11" t="str">
        <f t="shared" si="11"/>
        <v/>
      </c>
      <c r="U54" s="11" t="str">
        <f t="shared" si="11"/>
        <v/>
      </c>
      <c r="W54" s="11" t="str">
        <f t="shared" si="17"/>
        <v>a</v>
      </c>
      <c r="X54" s="11" t="str">
        <f t="shared" si="18"/>
        <v/>
      </c>
      <c r="Y54" s="11" t="str">
        <f t="shared" si="19"/>
        <v/>
      </c>
      <c r="Z54" s="11" t="str">
        <f t="shared" si="20"/>
        <v/>
      </c>
      <c r="AA54" s="11" t="str">
        <f t="shared" si="21"/>
        <v/>
      </c>
      <c r="AB54" s="11" t="str">
        <f t="shared" si="12"/>
        <v/>
      </c>
      <c r="AC54" s="11" t="str">
        <f t="shared" si="13"/>
        <v/>
      </c>
      <c r="AD54" s="11" t="str">
        <f t="shared" si="14"/>
        <v>a</v>
      </c>
      <c r="AE54" s="11" t="str">
        <f>IF(AD54="","",VLOOKUP($AD54,$AI$5:AL111,2,0))</f>
        <v>CO2</v>
      </c>
      <c r="AF54" s="11">
        <f t="shared" si="15"/>
        <v>0</v>
      </c>
      <c r="AG54" s="11">
        <f t="shared" si="16"/>
        <v>0</v>
      </c>
      <c r="AH54" s="8"/>
      <c r="AI54" s="35" t="s">
        <v>223</v>
      </c>
      <c r="AJ54" s="36" t="s">
        <v>233</v>
      </c>
      <c r="AK54" s="36" t="s">
        <v>236</v>
      </c>
      <c r="AL54" s="36" t="s">
        <v>238</v>
      </c>
    </row>
    <row r="55" spans="2:38" ht="18" customHeight="1" x14ac:dyDescent="0.4">
      <c r="B55" s="9">
        <v>51</v>
      </c>
      <c r="C55" s="99" t="s">
        <v>590</v>
      </c>
      <c r="D55" s="9" t="s">
        <v>482</v>
      </c>
      <c r="E55" s="34" t="s">
        <v>564</v>
      </c>
      <c r="F55" s="9" t="str">
        <f>VLOOKUP(E55,製表用!$E$3:$F$24,2,0)</f>
        <v>製程</v>
      </c>
      <c r="G55" s="9" t="s">
        <v>477</v>
      </c>
      <c r="H55" s="9"/>
      <c r="I55" s="9"/>
      <c r="J55" s="9"/>
      <c r="K55" s="9"/>
      <c r="L55" s="9"/>
      <c r="M55" s="9"/>
      <c r="O55" s="11" t="str">
        <f t="shared" ref="O55:O70" si="22">IF(G55&lt;&gt;"",G$3,"")</f>
        <v>CO2</v>
      </c>
      <c r="P55" s="11" t="str">
        <f t="shared" ref="P55:P70" si="23">IF(H55&lt;&gt;"",H$3,"")</f>
        <v/>
      </c>
      <c r="Q55" s="11" t="str">
        <f t="shared" ref="Q55:Q70" si="24">IF(I55&lt;&gt;"",I$3,"")</f>
        <v/>
      </c>
      <c r="R55" s="11" t="str">
        <f t="shared" ref="R55:R70" si="25">IF(J55&lt;&gt;"",J$3,"")</f>
        <v/>
      </c>
      <c r="S55" s="11" t="str">
        <f t="shared" ref="S55:S70" si="26">IF(K55&lt;&gt;"",K$3,"")</f>
        <v/>
      </c>
      <c r="T55" s="11" t="str">
        <f t="shared" ref="T55:U70" si="27">IF(L55&lt;&gt;"",L$3,"")</f>
        <v/>
      </c>
      <c r="U55" s="11" t="str">
        <f t="shared" si="27"/>
        <v/>
      </c>
      <c r="W55" s="11" t="str">
        <f t="shared" si="17"/>
        <v>a</v>
      </c>
      <c r="X55" s="11" t="str">
        <f t="shared" si="18"/>
        <v/>
      </c>
      <c r="Y55" s="11" t="str">
        <f t="shared" si="19"/>
        <v/>
      </c>
      <c r="Z55" s="11" t="str">
        <f t="shared" si="20"/>
        <v/>
      </c>
      <c r="AA55" s="11" t="str">
        <f t="shared" si="21"/>
        <v/>
      </c>
      <c r="AB55" s="11" t="str">
        <f t="shared" si="12"/>
        <v/>
      </c>
      <c r="AC55" s="11" t="str">
        <f t="shared" si="13"/>
        <v/>
      </c>
      <c r="AD55" s="11" t="str">
        <f t="shared" ref="AD55:AD70" si="28">W55&amp;X55&amp;Y55&amp;Z55&amp;AA55&amp;AB55</f>
        <v>a</v>
      </c>
      <c r="AE55" s="11" t="str">
        <f>IF(AD55="","",VLOOKUP($AD55,$AI$5:AL112,2,0))</f>
        <v>CO2</v>
      </c>
      <c r="AF55" s="11">
        <f t="shared" ref="AF55:AF70" si="29">IF(AD55="","",VLOOKUP($AD55,$AI$5:$AL$62,3,0))</f>
        <v>0</v>
      </c>
      <c r="AG55" s="11">
        <f t="shared" ref="AG55:AG70" si="30">IF(AD55="","",VLOOKUP($AD55,$AI$5:$AL$62,4,0))</f>
        <v>0</v>
      </c>
      <c r="AI55" s="35" t="s">
        <v>224</v>
      </c>
      <c r="AJ55" s="36" t="s">
        <v>234</v>
      </c>
      <c r="AK55" s="36" t="s">
        <v>235</v>
      </c>
      <c r="AL55" s="36" t="s">
        <v>236</v>
      </c>
    </row>
    <row r="56" spans="2:38" ht="18" customHeight="1" x14ac:dyDescent="0.4">
      <c r="B56" s="9">
        <v>52</v>
      </c>
      <c r="C56" s="99" t="s">
        <v>569</v>
      </c>
      <c r="D56" s="9" t="s">
        <v>482</v>
      </c>
      <c r="E56" s="34" t="s">
        <v>540</v>
      </c>
      <c r="F56" s="9" t="str">
        <f>VLOOKUP(E56,製表用!$E$3:$F$24,2,0)</f>
        <v>逸散</v>
      </c>
      <c r="G56" s="9"/>
      <c r="H56" s="9"/>
      <c r="I56" s="9"/>
      <c r="J56" s="9"/>
      <c r="K56" s="9"/>
      <c r="L56" s="9" t="s">
        <v>477</v>
      </c>
      <c r="M56" s="9"/>
      <c r="O56" s="11" t="str">
        <f t="shared" si="22"/>
        <v/>
      </c>
      <c r="P56" s="11" t="str">
        <f t="shared" si="23"/>
        <v/>
      </c>
      <c r="Q56" s="11" t="str">
        <f t="shared" si="24"/>
        <v/>
      </c>
      <c r="R56" s="11" t="str">
        <f t="shared" si="25"/>
        <v/>
      </c>
      <c r="S56" s="11" t="str">
        <f t="shared" si="26"/>
        <v/>
      </c>
      <c r="T56" s="11" t="str">
        <f t="shared" si="27"/>
        <v>SF6</v>
      </c>
      <c r="U56" s="11" t="str">
        <f t="shared" si="27"/>
        <v/>
      </c>
      <c r="W56" s="11" t="str">
        <f t="shared" si="17"/>
        <v/>
      </c>
      <c r="X56" s="11" t="str">
        <f t="shared" si="18"/>
        <v/>
      </c>
      <c r="Y56" s="11" t="str">
        <f t="shared" si="19"/>
        <v/>
      </c>
      <c r="Z56" s="11" t="str">
        <f t="shared" si="20"/>
        <v/>
      </c>
      <c r="AA56" s="11" t="str">
        <f t="shared" si="21"/>
        <v/>
      </c>
      <c r="AB56" s="11" t="str">
        <f t="shared" si="12"/>
        <v>f</v>
      </c>
      <c r="AC56" s="11" t="str">
        <f t="shared" si="13"/>
        <v/>
      </c>
      <c r="AD56" s="11" t="str">
        <f t="shared" si="28"/>
        <v>f</v>
      </c>
      <c r="AE56" s="11" t="str">
        <f>IF(AD56="","",VLOOKUP($AD56,$AI$5:AL113,2,0))</f>
        <v>SF6</v>
      </c>
      <c r="AF56" s="11">
        <f t="shared" si="29"/>
        <v>0</v>
      </c>
      <c r="AG56" s="11">
        <f t="shared" si="30"/>
        <v>0</v>
      </c>
      <c r="AI56" s="35" t="s">
        <v>225</v>
      </c>
      <c r="AJ56" s="36" t="s">
        <v>234</v>
      </c>
      <c r="AK56" s="36" t="s">
        <v>235</v>
      </c>
      <c r="AL56" s="36" t="s">
        <v>237</v>
      </c>
    </row>
    <row r="57" spans="2:38" ht="18" customHeight="1" x14ac:dyDescent="0.4">
      <c r="B57" s="9">
        <v>53</v>
      </c>
      <c r="C57" s="99" t="s">
        <v>570</v>
      </c>
      <c r="D57" s="9" t="s">
        <v>482</v>
      </c>
      <c r="E57" s="34" t="s">
        <v>564</v>
      </c>
      <c r="F57" s="9" t="str">
        <f>VLOOKUP(E57,製表用!$E$3:$F$24,2,0)</f>
        <v>製程</v>
      </c>
      <c r="G57" s="9" t="s">
        <v>477</v>
      </c>
      <c r="H57" s="9"/>
      <c r="I57" s="9"/>
      <c r="J57" s="9"/>
      <c r="K57" s="9"/>
      <c r="L57" s="9"/>
      <c r="M57" s="9"/>
      <c r="O57" s="11" t="str">
        <f t="shared" si="22"/>
        <v>CO2</v>
      </c>
      <c r="P57" s="11" t="str">
        <f t="shared" si="23"/>
        <v/>
      </c>
      <c r="Q57" s="11" t="str">
        <f t="shared" si="24"/>
        <v/>
      </c>
      <c r="R57" s="11" t="str">
        <f t="shared" si="25"/>
        <v/>
      </c>
      <c r="S57" s="11" t="str">
        <f t="shared" si="26"/>
        <v/>
      </c>
      <c r="T57" s="11" t="str">
        <f t="shared" si="27"/>
        <v/>
      </c>
      <c r="U57" s="11" t="str">
        <f t="shared" si="27"/>
        <v/>
      </c>
      <c r="W57" s="11" t="str">
        <f t="shared" si="17"/>
        <v>a</v>
      </c>
      <c r="X57" s="11" t="str">
        <f t="shared" si="18"/>
        <v/>
      </c>
      <c r="Y57" s="11" t="str">
        <f t="shared" si="19"/>
        <v/>
      </c>
      <c r="Z57" s="11" t="str">
        <f t="shared" si="20"/>
        <v/>
      </c>
      <c r="AA57" s="11" t="str">
        <f t="shared" si="21"/>
        <v/>
      </c>
      <c r="AB57" s="11" t="str">
        <f t="shared" si="12"/>
        <v/>
      </c>
      <c r="AC57" s="11" t="str">
        <f t="shared" si="13"/>
        <v/>
      </c>
      <c r="AD57" s="11" t="str">
        <f t="shared" si="28"/>
        <v>a</v>
      </c>
      <c r="AE57" s="11" t="str">
        <f>IF(AD57="","",VLOOKUP($AD57,$AI$5:AL114,2,0))</f>
        <v>CO2</v>
      </c>
      <c r="AF57" s="11">
        <f t="shared" si="29"/>
        <v>0</v>
      </c>
      <c r="AG57" s="11">
        <f t="shared" si="30"/>
        <v>0</v>
      </c>
      <c r="AI57" s="35" t="s">
        <v>226</v>
      </c>
      <c r="AJ57" s="36" t="s">
        <v>234</v>
      </c>
      <c r="AK57" s="36" t="s">
        <v>235</v>
      </c>
      <c r="AL57" s="36" t="s">
        <v>238</v>
      </c>
    </row>
    <row r="58" spans="2:38" ht="18" customHeight="1" x14ac:dyDescent="0.4">
      <c r="B58" s="9">
        <v>54</v>
      </c>
      <c r="C58" s="99" t="s">
        <v>573</v>
      </c>
      <c r="D58" s="9" t="s">
        <v>482</v>
      </c>
      <c r="E58" s="34" t="s">
        <v>564</v>
      </c>
      <c r="F58" s="9" t="str">
        <f>VLOOKUP(E58,製表用!$E$3:$F$24,2,0)</f>
        <v>製程</v>
      </c>
      <c r="G58" s="9" t="s">
        <v>477</v>
      </c>
      <c r="H58" s="9"/>
      <c r="I58" s="9"/>
      <c r="J58" s="9"/>
      <c r="K58" s="9"/>
      <c r="L58" s="9"/>
      <c r="M58" s="9"/>
      <c r="O58" s="11" t="str">
        <f t="shared" si="22"/>
        <v>CO2</v>
      </c>
      <c r="P58" s="11" t="str">
        <f t="shared" si="23"/>
        <v/>
      </c>
      <c r="Q58" s="11" t="str">
        <f t="shared" si="24"/>
        <v/>
      </c>
      <c r="R58" s="11" t="str">
        <f t="shared" si="25"/>
        <v/>
      </c>
      <c r="S58" s="11" t="str">
        <f t="shared" si="26"/>
        <v/>
      </c>
      <c r="T58" s="11" t="str">
        <f t="shared" si="27"/>
        <v/>
      </c>
      <c r="U58" s="11" t="str">
        <f t="shared" si="27"/>
        <v/>
      </c>
      <c r="W58" s="11" t="str">
        <f t="shared" si="17"/>
        <v>a</v>
      </c>
      <c r="X58" s="11" t="str">
        <f t="shared" si="18"/>
        <v/>
      </c>
      <c r="Y58" s="11" t="str">
        <f t="shared" si="19"/>
        <v/>
      </c>
      <c r="Z58" s="11" t="str">
        <f t="shared" si="20"/>
        <v/>
      </c>
      <c r="AA58" s="11" t="str">
        <f t="shared" si="21"/>
        <v/>
      </c>
      <c r="AB58" s="11" t="str">
        <f t="shared" si="12"/>
        <v/>
      </c>
      <c r="AC58" s="11" t="str">
        <f t="shared" si="13"/>
        <v/>
      </c>
      <c r="AD58" s="11" t="str">
        <f t="shared" si="28"/>
        <v>a</v>
      </c>
      <c r="AE58" s="11" t="str">
        <f>IF(AD58="","",VLOOKUP($AD58,$AI$5:AL115,2,0))</f>
        <v>CO2</v>
      </c>
      <c r="AF58" s="11">
        <f t="shared" si="29"/>
        <v>0</v>
      </c>
      <c r="AG58" s="11">
        <f t="shared" si="30"/>
        <v>0</v>
      </c>
      <c r="AI58" s="35" t="s">
        <v>227</v>
      </c>
      <c r="AJ58" s="36" t="s">
        <v>234</v>
      </c>
      <c r="AK58" s="36" t="s">
        <v>236</v>
      </c>
      <c r="AL58" s="36" t="s">
        <v>237</v>
      </c>
    </row>
    <row r="59" spans="2:38" ht="18" customHeight="1" x14ac:dyDescent="0.4">
      <c r="B59" s="9">
        <v>55</v>
      </c>
      <c r="C59" s="99" t="s">
        <v>136</v>
      </c>
      <c r="D59" s="9" t="s">
        <v>484</v>
      </c>
      <c r="E59" s="34" t="s">
        <v>575</v>
      </c>
      <c r="F59" s="9" t="str">
        <f>VLOOKUP(E59,製表用!$E$3:$F$24,2,0)</f>
        <v>外購電力</v>
      </c>
      <c r="G59" s="9" t="s">
        <v>477</v>
      </c>
      <c r="H59" s="9"/>
      <c r="I59" s="9"/>
      <c r="J59" s="9"/>
      <c r="K59" s="9"/>
      <c r="L59" s="9"/>
      <c r="M59" s="9"/>
      <c r="O59" s="11" t="str">
        <f t="shared" si="22"/>
        <v>CO2</v>
      </c>
      <c r="P59" s="11" t="str">
        <f t="shared" si="23"/>
        <v/>
      </c>
      <c r="Q59" s="11" t="str">
        <f t="shared" si="24"/>
        <v/>
      </c>
      <c r="R59" s="11" t="str">
        <f t="shared" si="25"/>
        <v/>
      </c>
      <c r="S59" s="11" t="str">
        <f t="shared" si="26"/>
        <v/>
      </c>
      <c r="T59" s="11" t="str">
        <f t="shared" si="27"/>
        <v/>
      </c>
      <c r="U59" s="11" t="str">
        <f t="shared" si="27"/>
        <v/>
      </c>
      <c r="W59" s="11" t="str">
        <f t="shared" si="17"/>
        <v>a</v>
      </c>
      <c r="X59" s="11" t="str">
        <f t="shared" si="18"/>
        <v/>
      </c>
      <c r="Y59" s="11" t="str">
        <f t="shared" si="19"/>
        <v/>
      </c>
      <c r="Z59" s="11" t="str">
        <f t="shared" si="20"/>
        <v/>
      </c>
      <c r="AA59" s="11" t="str">
        <f t="shared" si="21"/>
        <v/>
      </c>
      <c r="AB59" s="11" t="str">
        <f t="shared" si="12"/>
        <v/>
      </c>
      <c r="AC59" s="11" t="str">
        <f t="shared" si="13"/>
        <v/>
      </c>
      <c r="AD59" s="11" t="str">
        <f t="shared" si="28"/>
        <v>a</v>
      </c>
      <c r="AE59" s="11" t="str">
        <f>IF(AD59="","",VLOOKUP($AD59,$AI$5:AL116,2,0))</f>
        <v>CO2</v>
      </c>
      <c r="AF59" s="11">
        <f t="shared" si="29"/>
        <v>0</v>
      </c>
      <c r="AG59" s="11">
        <f t="shared" si="30"/>
        <v>0</v>
      </c>
      <c r="AI59" s="35" t="s">
        <v>228</v>
      </c>
      <c r="AJ59" s="36" t="s">
        <v>234</v>
      </c>
      <c r="AK59" s="36" t="s">
        <v>236</v>
      </c>
      <c r="AL59" s="36" t="s">
        <v>238</v>
      </c>
    </row>
    <row r="60" spans="2:38" ht="18" customHeight="1" x14ac:dyDescent="0.4">
      <c r="B60" s="9">
        <v>56</v>
      </c>
      <c r="C60" s="99" t="s">
        <v>137</v>
      </c>
      <c r="D60" s="9" t="s">
        <v>484</v>
      </c>
      <c r="E60" s="34" t="s">
        <v>581</v>
      </c>
      <c r="F60" s="9" t="str">
        <f>VLOOKUP(E60,製表用!$E$3:$F$24,2,0)</f>
        <v>外購蒸氣</v>
      </c>
      <c r="G60" s="9" t="s">
        <v>477</v>
      </c>
      <c r="H60" s="9"/>
      <c r="I60" s="9"/>
      <c r="J60" s="9"/>
      <c r="K60" s="9"/>
      <c r="L60" s="9"/>
      <c r="M60" s="9"/>
      <c r="O60" s="11" t="str">
        <f t="shared" si="22"/>
        <v>CO2</v>
      </c>
      <c r="P60" s="11" t="str">
        <f t="shared" si="23"/>
        <v/>
      </c>
      <c r="Q60" s="11" t="str">
        <f t="shared" si="24"/>
        <v/>
      </c>
      <c r="R60" s="11" t="str">
        <f t="shared" si="25"/>
        <v/>
      </c>
      <c r="S60" s="11" t="str">
        <f t="shared" si="26"/>
        <v/>
      </c>
      <c r="T60" s="11" t="str">
        <f t="shared" si="27"/>
        <v/>
      </c>
      <c r="U60" s="11" t="str">
        <f t="shared" si="27"/>
        <v/>
      </c>
      <c r="W60" s="11" t="str">
        <f t="shared" si="17"/>
        <v>a</v>
      </c>
      <c r="X60" s="11" t="str">
        <f t="shared" si="18"/>
        <v/>
      </c>
      <c r="Y60" s="11" t="str">
        <f t="shared" si="19"/>
        <v/>
      </c>
      <c r="Z60" s="11" t="str">
        <f t="shared" si="20"/>
        <v/>
      </c>
      <c r="AA60" s="11" t="str">
        <f t="shared" si="21"/>
        <v/>
      </c>
      <c r="AB60" s="11" t="str">
        <f t="shared" si="12"/>
        <v/>
      </c>
      <c r="AC60" s="11" t="str">
        <f t="shared" si="13"/>
        <v/>
      </c>
      <c r="AD60" s="11" t="str">
        <f t="shared" si="28"/>
        <v>a</v>
      </c>
      <c r="AE60" s="11" t="str">
        <f>IF(AD60="","",VLOOKUP($AD60,$AI$5:AL117,2,0))</f>
        <v>CO2</v>
      </c>
      <c r="AF60" s="11">
        <f t="shared" si="29"/>
        <v>0</v>
      </c>
      <c r="AG60" s="11">
        <f t="shared" si="30"/>
        <v>0</v>
      </c>
      <c r="AI60" s="35" t="s">
        <v>229</v>
      </c>
      <c r="AJ60" s="36" t="s">
        <v>235</v>
      </c>
      <c r="AK60" s="36" t="s">
        <v>236</v>
      </c>
      <c r="AL60" s="36" t="s">
        <v>237</v>
      </c>
    </row>
    <row r="61" spans="2:38" ht="18" customHeight="1" x14ac:dyDescent="0.4">
      <c r="B61" s="9">
        <v>57</v>
      </c>
      <c r="C61" s="99" t="s">
        <v>623</v>
      </c>
      <c r="D61" s="9" t="s">
        <v>565</v>
      </c>
      <c r="E61" s="34" t="s">
        <v>583</v>
      </c>
      <c r="F61" s="9" t="str">
        <f>VLOOKUP(E61,製表用!$E$3:$F$24,2,0)</f>
        <v>原物料運輸</v>
      </c>
      <c r="G61" s="9" t="s">
        <v>477</v>
      </c>
      <c r="H61" s="9"/>
      <c r="I61" s="9"/>
      <c r="J61" s="9"/>
      <c r="K61" s="9"/>
      <c r="L61" s="9"/>
      <c r="M61" s="9"/>
      <c r="O61" s="11" t="str">
        <f t="shared" si="22"/>
        <v>CO2</v>
      </c>
      <c r="P61" s="11" t="str">
        <f t="shared" si="23"/>
        <v/>
      </c>
      <c r="Q61" s="11" t="str">
        <f t="shared" si="24"/>
        <v/>
      </c>
      <c r="R61" s="11" t="str">
        <f t="shared" si="25"/>
        <v/>
      </c>
      <c r="S61" s="11" t="str">
        <f t="shared" si="26"/>
        <v/>
      </c>
      <c r="T61" s="11" t="str">
        <f t="shared" si="27"/>
        <v/>
      </c>
      <c r="U61" s="11" t="str">
        <f t="shared" si="27"/>
        <v/>
      </c>
      <c r="W61" s="11" t="str">
        <f t="shared" si="17"/>
        <v>a</v>
      </c>
      <c r="X61" s="11" t="str">
        <f t="shared" si="18"/>
        <v/>
      </c>
      <c r="Y61" s="11" t="str">
        <f t="shared" si="19"/>
        <v/>
      </c>
      <c r="Z61" s="11" t="str">
        <f t="shared" si="20"/>
        <v/>
      </c>
      <c r="AA61" s="11" t="str">
        <f t="shared" si="21"/>
        <v/>
      </c>
      <c r="AB61" s="11" t="str">
        <f t="shared" si="12"/>
        <v/>
      </c>
      <c r="AC61" s="11" t="str">
        <f t="shared" si="13"/>
        <v/>
      </c>
      <c r="AD61" s="11" t="str">
        <f t="shared" si="28"/>
        <v>a</v>
      </c>
      <c r="AE61" s="11" t="str">
        <f>IF(AD61="","",VLOOKUP($AD61,$AI$5:AL118,2,0))</f>
        <v>CO2</v>
      </c>
      <c r="AF61" s="11">
        <f t="shared" si="29"/>
        <v>0</v>
      </c>
      <c r="AG61" s="11">
        <f t="shared" si="30"/>
        <v>0</v>
      </c>
      <c r="AI61" s="35" t="s">
        <v>230</v>
      </c>
      <c r="AJ61" s="36" t="s">
        <v>235</v>
      </c>
      <c r="AK61" s="36" t="s">
        <v>236</v>
      </c>
      <c r="AL61" s="36" t="s">
        <v>238</v>
      </c>
    </row>
    <row r="62" spans="2:38" ht="18" customHeight="1" x14ac:dyDescent="0.4">
      <c r="B62" s="9">
        <v>58</v>
      </c>
      <c r="C62" s="99" t="s">
        <v>624</v>
      </c>
      <c r="D62" s="9" t="s">
        <v>565</v>
      </c>
      <c r="E62" s="34" t="s">
        <v>647</v>
      </c>
      <c r="F62" s="9" t="str">
        <f>VLOOKUP(E62,製表用!$E$3:$F$24,2,0)</f>
        <v>運輸</v>
      </c>
      <c r="G62" s="9" t="s">
        <v>477</v>
      </c>
      <c r="H62" s="9"/>
      <c r="I62" s="9"/>
      <c r="J62" s="9"/>
      <c r="K62" s="9"/>
      <c r="L62" s="9"/>
      <c r="M62" s="9"/>
      <c r="O62" s="11" t="str">
        <f t="shared" si="22"/>
        <v>CO2</v>
      </c>
      <c r="P62" s="11" t="str">
        <f t="shared" si="23"/>
        <v/>
      </c>
      <c r="Q62" s="11" t="str">
        <f t="shared" si="24"/>
        <v/>
      </c>
      <c r="R62" s="11" t="str">
        <f t="shared" si="25"/>
        <v/>
      </c>
      <c r="S62" s="11" t="str">
        <f t="shared" si="26"/>
        <v/>
      </c>
      <c r="T62" s="11" t="str">
        <f t="shared" si="27"/>
        <v/>
      </c>
      <c r="U62" s="11" t="str">
        <f t="shared" si="27"/>
        <v/>
      </c>
      <c r="W62" s="11" t="str">
        <f t="shared" si="17"/>
        <v>a</v>
      </c>
      <c r="X62" s="11" t="str">
        <f t="shared" si="18"/>
        <v/>
      </c>
      <c r="Y62" s="11" t="str">
        <f t="shared" si="19"/>
        <v/>
      </c>
      <c r="Z62" s="11" t="str">
        <f t="shared" si="20"/>
        <v/>
      </c>
      <c r="AA62" s="11" t="str">
        <f t="shared" si="21"/>
        <v/>
      </c>
      <c r="AB62" s="11" t="str">
        <f t="shared" si="12"/>
        <v/>
      </c>
      <c r="AC62" s="11" t="str">
        <f t="shared" si="13"/>
        <v/>
      </c>
      <c r="AD62" s="11" t="str">
        <f t="shared" si="28"/>
        <v>a</v>
      </c>
      <c r="AE62" s="11" t="str">
        <f>IF(AD62="","",VLOOKUP($AD62,$AI$5:AL119,2,0))</f>
        <v>CO2</v>
      </c>
      <c r="AF62" s="11">
        <f t="shared" si="29"/>
        <v>0</v>
      </c>
      <c r="AG62" s="11">
        <f t="shared" si="30"/>
        <v>0</v>
      </c>
      <c r="AI62" s="35" t="s">
        <v>231</v>
      </c>
      <c r="AJ62" s="36" t="s">
        <v>236</v>
      </c>
      <c r="AK62" s="36" t="s">
        <v>237</v>
      </c>
      <c r="AL62" s="36" t="s">
        <v>238</v>
      </c>
    </row>
    <row r="63" spans="2:38" ht="18" customHeight="1" x14ac:dyDescent="0.4">
      <c r="B63" s="9">
        <v>59</v>
      </c>
      <c r="C63" s="99" t="s">
        <v>616</v>
      </c>
      <c r="D63" s="9" t="s">
        <v>565</v>
      </c>
      <c r="E63" s="34" t="s">
        <v>648</v>
      </c>
      <c r="F63" s="9" t="str">
        <f>VLOOKUP(E63,製表用!$E$3:$F$24,2,0)</f>
        <v>運輸</v>
      </c>
      <c r="G63" s="9" t="s">
        <v>477</v>
      </c>
      <c r="H63" s="9"/>
      <c r="I63" s="9"/>
      <c r="J63" s="9"/>
      <c r="K63" s="9"/>
      <c r="L63" s="9"/>
      <c r="M63" s="9"/>
      <c r="O63" s="11" t="str">
        <f t="shared" si="22"/>
        <v>CO2</v>
      </c>
      <c r="P63" s="11" t="str">
        <f t="shared" si="23"/>
        <v/>
      </c>
      <c r="Q63" s="11" t="str">
        <f t="shared" si="24"/>
        <v/>
      </c>
      <c r="R63" s="11" t="str">
        <f t="shared" si="25"/>
        <v/>
      </c>
      <c r="S63" s="11" t="str">
        <f t="shared" si="26"/>
        <v/>
      </c>
      <c r="T63" s="11" t="str">
        <f t="shared" si="27"/>
        <v/>
      </c>
      <c r="U63" s="11" t="str">
        <f t="shared" si="27"/>
        <v/>
      </c>
      <c r="W63" s="11" t="str">
        <f t="shared" si="17"/>
        <v>a</v>
      </c>
      <c r="X63" s="11" t="str">
        <f t="shared" si="18"/>
        <v/>
      </c>
      <c r="Y63" s="11" t="str">
        <f t="shared" si="19"/>
        <v/>
      </c>
      <c r="Z63" s="11" t="str">
        <f t="shared" si="20"/>
        <v/>
      </c>
      <c r="AA63" s="11" t="str">
        <f t="shared" si="21"/>
        <v/>
      </c>
      <c r="AB63" s="11" t="str">
        <f t="shared" si="12"/>
        <v/>
      </c>
      <c r="AC63" s="11" t="str">
        <f t="shared" si="13"/>
        <v/>
      </c>
      <c r="AD63" s="11" t="str">
        <f t="shared" si="28"/>
        <v>a</v>
      </c>
      <c r="AE63" s="11" t="str">
        <f>IF(AD63="","",VLOOKUP($AD63,$AI$5:AL120,2,0))</f>
        <v>CO2</v>
      </c>
      <c r="AF63" s="11">
        <f t="shared" si="29"/>
        <v>0</v>
      </c>
      <c r="AG63" s="11">
        <f t="shared" si="30"/>
        <v>0</v>
      </c>
    </row>
    <row r="64" spans="2:38" ht="18" customHeight="1" x14ac:dyDescent="0.4">
      <c r="B64" s="9">
        <v>60</v>
      </c>
      <c r="C64" s="99" t="s">
        <v>627</v>
      </c>
      <c r="D64" s="9" t="s">
        <v>565</v>
      </c>
      <c r="E64" s="34" t="s">
        <v>589</v>
      </c>
      <c r="F64" s="9" t="str">
        <f>VLOOKUP(E64,製表用!$E$3:$F$24,2,0)</f>
        <v>產品運輸</v>
      </c>
      <c r="G64" s="9" t="s">
        <v>477</v>
      </c>
      <c r="H64" s="9"/>
      <c r="I64" s="9"/>
      <c r="J64" s="9"/>
      <c r="K64" s="9"/>
      <c r="L64" s="9"/>
      <c r="M64" s="9"/>
      <c r="O64" s="11" t="str">
        <f t="shared" si="22"/>
        <v>CO2</v>
      </c>
      <c r="P64" s="11" t="str">
        <f t="shared" si="23"/>
        <v/>
      </c>
      <c r="Q64" s="11" t="str">
        <f t="shared" si="24"/>
        <v/>
      </c>
      <c r="R64" s="11" t="str">
        <f t="shared" si="25"/>
        <v/>
      </c>
      <c r="S64" s="11" t="str">
        <f t="shared" si="26"/>
        <v/>
      </c>
      <c r="T64" s="11" t="str">
        <f t="shared" si="27"/>
        <v/>
      </c>
      <c r="U64" s="11" t="str">
        <f t="shared" si="27"/>
        <v/>
      </c>
      <c r="W64" s="11" t="str">
        <f t="shared" si="17"/>
        <v>a</v>
      </c>
      <c r="X64" s="11" t="str">
        <f t="shared" si="18"/>
        <v/>
      </c>
      <c r="Y64" s="11" t="str">
        <f t="shared" si="19"/>
        <v/>
      </c>
      <c r="Z64" s="11" t="str">
        <f t="shared" si="20"/>
        <v/>
      </c>
      <c r="AA64" s="11" t="str">
        <f t="shared" si="21"/>
        <v/>
      </c>
      <c r="AB64" s="11" t="str">
        <f t="shared" si="12"/>
        <v/>
      </c>
      <c r="AC64" s="11" t="str">
        <f t="shared" si="13"/>
        <v/>
      </c>
      <c r="AD64" s="11" t="str">
        <f t="shared" si="28"/>
        <v>a</v>
      </c>
      <c r="AE64" s="11" t="str">
        <f>IF(AD64="","",VLOOKUP($AD64,$AI$5:AL121,2,0))</f>
        <v>CO2</v>
      </c>
      <c r="AF64" s="11">
        <f t="shared" si="29"/>
        <v>0</v>
      </c>
      <c r="AG64" s="11">
        <f t="shared" si="30"/>
        <v>0</v>
      </c>
    </row>
    <row r="65" spans="2:33" ht="18" customHeight="1" x14ac:dyDescent="0.4">
      <c r="B65" s="9">
        <v>61</v>
      </c>
      <c r="C65" s="99" t="s">
        <v>629</v>
      </c>
      <c r="D65" s="9" t="s">
        <v>566</v>
      </c>
      <c r="E65" s="34" t="s">
        <v>649</v>
      </c>
      <c r="F65" s="9" t="str">
        <f>VLOOKUP(E65,製表用!$E$3:$F$24,2,0)</f>
        <v>組織使用產品</v>
      </c>
      <c r="G65" s="9" t="s">
        <v>477</v>
      </c>
      <c r="H65" s="9"/>
      <c r="I65" s="9"/>
      <c r="J65" s="9"/>
      <c r="K65" s="9"/>
      <c r="L65" s="9"/>
      <c r="M65" s="9"/>
      <c r="O65" s="11" t="str">
        <f t="shared" si="22"/>
        <v>CO2</v>
      </c>
      <c r="P65" s="11" t="str">
        <f t="shared" si="23"/>
        <v/>
      </c>
      <c r="Q65" s="11" t="str">
        <f t="shared" si="24"/>
        <v/>
      </c>
      <c r="R65" s="11" t="str">
        <f t="shared" si="25"/>
        <v/>
      </c>
      <c r="S65" s="11" t="str">
        <f t="shared" si="26"/>
        <v/>
      </c>
      <c r="T65" s="11" t="str">
        <f t="shared" si="27"/>
        <v/>
      </c>
      <c r="U65" s="11" t="str">
        <f t="shared" si="27"/>
        <v/>
      </c>
      <c r="W65" s="11" t="str">
        <f t="shared" si="17"/>
        <v>a</v>
      </c>
      <c r="X65" s="11" t="str">
        <f t="shared" si="18"/>
        <v/>
      </c>
      <c r="Y65" s="11" t="str">
        <f t="shared" si="19"/>
        <v/>
      </c>
      <c r="Z65" s="11" t="str">
        <f t="shared" si="20"/>
        <v/>
      </c>
      <c r="AA65" s="11" t="str">
        <f t="shared" si="21"/>
        <v/>
      </c>
      <c r="AB65" s="11" t="str">
        <f t="shared" si="12"/>
        <v/>
      </c>
      <c r="AC65" s="11" t="str">
        <f t="shared" si="13"/>
        <v/>
      </c>
      <c r="AD65" s="11" t="str">
        <f t="shared" si="28"/>
        <v>a</v>
      </c>
      <c r="AE65" s="11" t="str">
        <f>IF(AD65="","",VLOOKUP($AD65,$AI$5:AL122,2,0))</f>
        <v>CO2</v>
      </c>
      <c r="AF65" s="11">
        <f t="shared" si="29"/>
        <v>0</v>
      </c>
      <c r="AG65" s="11">
        <f t="shared" si="30"/>
        <v>0</v>
      </c>
    </row>
    <row r="66" spans="2:33" ht="18" customHeight="1" x14ac:dyDescent="0.4">
      <c r="B66" s="9">
        <v>62</v>
      </c>
      <c r="C66" s="99" t="s">
        <v>631</v>
      </c>
      <c r="D66" s="9" t="s">
        <v>566</v>
      </c>
      <c r="E66" s="34" t="s">
        <v>650</v>
      </c>
      <c r="F66" s="9" t="str">
        <f>VLOOKUP(E66,製表用!$E$3:$F$24,2,0)</f>
        <v>組織使用產品</v>
      </c>
      <c r="G66" s="9" t="s">
        <v>477</v>
      </c>
      <c r="H66" s="9"/>
      <c r="I66" s="9"/>
      <c r="J66" s="9"/>
      <c r="K66" s="9"/>
      <c r="L66" s="9"/>
      <c r="M66" s="9"/>
      <c r="O66" s="11" t="str">
        <f t="shared" si="22"/>
        <v>CO2</v>
      </c>
      <c r="P66" s="11" t="str">
        <f t="shared" si="23"/>
        <v/>
      </c>
      <c r="Q66" s="11" t="str">
        <f t="shared" si="24"/>
        <v/>
      </c>
      <c r="R66" s="11" t="str">
        <f t="shared" si="25"/>
        <v/>
      </c>
      <c r="S66" s="11" t="str">
        <f t="shared" si="26"/>
        <v/>
      </c>
      <c r="T66" s="11" t="str">
        <f t="shared" si="27"/>
        <v/>
      </c>
      <c r="U66" s="11" t="str">
        <f t="shared" si="27"/>
        <v/>
      </c>
      <c r="W66" s="11" t="str">
        <f t="shared" si="17"/>
        <v>a</v>
      </c>
      <c r="X66" s="11" t="str">
        <f t="shared" si="18"/>
        <v/>
      </c>
      <c r="Y66" s="11" t="str">
        <f t="shared" si="19"/>
        <v/>
      </c>
      <c r="Z66" s="11" t="str">
        <f t="shared" si="20"/>
        <v/>
      </c>
      <c r="AA66" s="11" t="str">
        <f t="shared" si="21"/>
        <v/>
      </c>
      <c r="AB66" s="11" t="str">
        <f t="shared" si="12"/>
        <v/>
      </c>
      <c r="AC66" s="11" t="str">
        <f t="shared" si="13"/>
        <v/>
      </c>
      <c r="AD66" s="11" t="str">
        <f t="shared" si="28"/>
        <v>a</v>
      </c>
      <c r="AE66" s="11" t="str">
        <f>IF(AD66="","",VLOOKUP($AD66,$AI$5:AL123,2,0))</f>
        <v>CO2</v>
      </c>
      <c r="AF66" s="11">
        <f t="shared" si="29"/>
        <v>0</v>
      </c>
      <c r="AG66" s="11">
        <f t="shared" si="30"/>
        <v>0</v>
      </c>
    </row>
    <row r="67" spans="2:33" ht="18" customHeight="1" x14ac:dyDescent="0.4">
      <c r="B67" s="9">
        <v>63</v>
      </c>
      <c r="C67" s="99" t="s">
        <v>633</v>
      </c>
      <c r="D67" s="9" t="s">
        <v>566</v>
      </c>
      <c r="E67" s="34" t="s">
        <v>649</v>
      </c>
      <c r="F67" s="9" t="str">
        <f>VLOOKUP(E67,製表用!$E$3:$F$24,2,0)</f>
        <v>組織使用產品</v>
      </c>
      <c r="G67" s="9" t="s">
        <v>477</v>
      </c>
      <c r="H67" s="9"/>
      <c r="I67" s="9"/>
      <c r="J67" s="9"/>
      <c r="K67" s="9"/>
      <c r="L67" s="9"/>
      <c r="M67" s="9"/>
      <c r="O67" s="11" t="str">
        <f t="shared" si="22"/>
        <v>CO2</v>
      </c>
      <c r="P67" s="11" t="str">
        <f t="shared" si="23"/>
        <v/>
      </c>
      <c r="Q67" s="11" t="str">
        <f t="shared" si="24"/>
        <v/>
      </c>
      <c r="R67" s="11" t="str">
        <f t="shared" si="25"/>
        <v/>
      </c>
      <c r="S67" s="11" t="str">
        <f t="shared" si="26"/>
        <v/>
      </c>
      <c r="T67" s="11" t="str">
        <f t="shared" si="27"/>
        <v/>
      </c>
      <c r="U67" s="11" t="str">
        <f t="shared" si="27"/>
        <v/>
      </c>
      <c r="W67" s="11" t="str">
        <f t="shared" si="17"/>
        <v>a</v>
      </c>
      <c r="X67" s="11" t="str">
        <f t="shared" si="18"/>
        <v/>
      </c>
      <c r="Y67" s="11" t="str">
        <f t="shared" si="19"/>
        <v/>
      </c>
      <c r="Z67" s="11" t="str">
        <f t="shared" si="20"/>
        <v/>
      </c>
      <c r="AA67" s="11" t="str">
        <f t="shared" si="21"/>
        <v/>
      </c>
      <c r="AB67" s="11" t="str">
        <f t="shared" si="12"/>
        <v/>
      </c>
      <c r="AC67" s="11" t="str">
        <f t="shared" si="13"/>
        <v/>
      </c>
      <c r="AD67" s="11" t="str">
        <f t="shared" si="28"/>
        <v>a</v>
      </c>
      <c r="AE67" s="11" t="str">
        <f>IF(AD67="","",VLOOKUP($AD67,$AI$5:AL124,2,0))</f>
        <v>CO2</v>
      </c>
      <c r="AF67" s="11">
        <f t="shared" si="29"/>
        <v>0</v>
      </c>
      <c r="AG67" s="11">
        <f t="shared" si="30"/>
        <v>0</v>
      </c>
    </row>
    <row r="68" spans="2:33" ht="18" customHeight="1" x14ac:dyDescent="0.4">
      <c r="B68" s="9">
        <v>64</v>
      </c>
      <c r="C68" s="99" t="s">
        <v>635</v>
      </c>
      <c r="D68" s="9" t="s">
        <v>566</v>
      </c>
      <c r="E68" s="34" t="s">
        <v>654</v>
      </c>
      <c r="F68" s="9" t="str">
        <f>VLOOKUP(E68,製表用!$E$3:$F$24,2,0)</f>
        <v>組織使用產品</v>
      </c>
      <c r="G68" s="9" t="s">
        <v>477</v>
      </c>
      <c r="H68" s="9"/>
      <c r="I68" s="9"/>
      <c r="J68" s="9"/>
      <c r="K68" s="9"/>
      <c r="L68" s="9"/>
      <c r="M68" s="9"/>
      <c r="O68" s="11" t="str">
        <f t="shared" si="22"/>
        <v>CO2</v>
      </c>
      <c r="P68" s="11" t="str">
        <f t="shared" si="23"/>
        <v/>
      </c>
      <c r="Q68" s="11" t="str">
        <f t="shared" si="24"/>
        <v/>
      </c>
      <c r="R68" s="11" t="str">
        <f t="shared" si="25"/>
        <v/>
      </c>
      <c r="S68" s="11" t="str">
        <f t="shared" si="26"/>
        <v/>
      </c>
      <c r="T68" s="11" t="str">
        <f t="shared" si="27"/>
        <v/>
      </c>
      <c r="U68" s="11" t="str">
        <f t="shared" si="27"/>
        <v/>
      </c>
      <c r="W68" s="11" t="str">
        <f t="shared" si="17"/>
        <v>a</v>
      </c>
      <c r="X68" s="11" t="str">
        <f t="shared" si="18"/>
        <v/>
      </c>
      <c r="Y68" s="11" t="str">
        <f t="shared" si="19"/>
        <v/>
      </c>
      <c r="Z68" s="11" t="str">
        <f t="shared" si="20"/>
        <v/>
      </c>
      <c r="AA68" s="11" t="str">
        <f t="shared" si="21"/>
        <v/>
      </c>
      <c r="AB68" s="11" t="str">
        <f t="shared" si="12"/>
        <v/>
      </c>
      <c r="AC68" s="11" t="str">
        <f t="shared" si="13"/>
        <v/>
      </c>
      <c r="AD68" s="11" t="str">
        <f t="shared" si="28"/>
        <v>a</v>
      </c>
      <c r="AE68" s="11" t="str">
        <f>IF(AD68="","",VLOOKUP($AD68,$AI$5:AL125,2,0))</f>
        <v>CO2</v>
      </c>
      <c r="AF68" s="11">
        <f t="shared" si="29"/>
        <v>0</v>
      </c>
      <c r="AG68" s="11">
        <f t="shared" si="30"/>
        <v>0</v>
      </c>
    </row>
    <row r="69" spans="2:33" ht="18" customHeight="1" x14ac:dyDescent="0.4">
      <c r="B69" s="9">
        <v>65</v>
      </c>
      <c r="C69" s="99" t="s">
        <v>637</v>
      </c>
      <c r="D69" s="9" t="s">
        <v>566</v>
      </c>
      <c r="E69" s="34" t="s">
        <v>655</v>
      </c>
      <c r="F69" s="9" t="str">
        <f>VLOOKUP(E69,製表用!$E$3:$F$24,2,0)</f>
        <v>組織使用產品</v>
      </c>
      <c r="G69" s="9" t="s">
        <v>477</v>
      </c>
      <c r="H69" s="9"/>
      <c r="I69" s="9"/>
      <c r="J69" s="9"/>
      <c r="K69" s="9"/>
      <c r="L69" s="9"/>
      <c r="M69" s="9"/>
      <c r="O69" s="11" t="str">
        <f t="shared" si="22"/>
        <v>CO2</v>
      </c>
      <c r="P69" s="11" t="str">
        <f t="shared" si="23"/>
        <v/>
      </c>
      <c r="Q69" s="11" t="str">
        <f t="shared" si="24"/>
        <v/>
      </c>
      <c r="R69" s="11" t="str">
        <f t="shared" si="25"/>
        <v/>
      </c>
      <c r="S69" s="11" t="str">
        <f t="shared" si="26"/>
        <v/>
      </c>
      <c r="T69" s="11" t="str">
        <f t="shared" si="27"/>
        <v/>
      </c>
      <c r="U69" s="11" t="str">
        <f t="shared" si="27"/>
        <v/>
      </c>
      <c r="W69" s="11" t="str">
        <f t="shared" si="17"/>
        <v>a</v>
      </c>
      <c r="X69" s="11" t="str">
        <f t="shared" si="18"/>
        <v/>
      </c>
      <c r="Y69" s="11" t="str">
        <f t="shared" si="19"/>
        <v/>
      </c>
      <c r="Z69" s="11" t="str">
        <f t="shared" si="20"/>
        <v/>
      </c>
      <c r="AA69" s="11" t="str">
        <f t="shared" si="21"/>
        <v/>
      </c>
      <c r="AB69" s="11" t="str">
        <f t="shared" si="12"/>
        <v/>
      </c>
      <c r="AC69" s="11" t="str">
        <f t="shared" si="13"/>
        <v/>
      </c>
      <c r="AD69" s="11" t="str">
        <f t="shared" si="28"/>
        <v>a</v>
      </c>
      <c r="AE69" s="11" t="str">
        <f>IF(AD69="","",VLOOKUP($AD69,$AI$5:AL126,2,0))</f>
        <v>CO2</v>
      </c>
      <c r="AF69" s="11">
        <f t="shared" si="29"/>
        <v>0</v>
      </c>
      <c r="AG69" s="11">
        <f t="shared" si="30"/>
        <v>0</v>
      </c>
    </row>
    <row r="70" spans="2:33" ht="16.5" customHeight="1" x14ac:dyDescent="0.4">
      <c r="B70" s="9">
        <v>66</v>
      </c>
      <c r="C70" s="99" t="s">
        <v>639</v>
      </c>
      <c r="D70" s="9" t="s">
        <v>567</v>
      </c>
      <c r="E70" s="34" t="s">
        <v>656</v>
      </c>
      <c r="F70" s="9" t="str">
        <f>VLOOKUP(E70,製表用!$E$3:$F$24,2,0)</f>
        <v>使用來自組織產品</v>
      </c>
      <c r="G70" s="9" t="s">
        <v>477</v>
      </c>
      <c r="H70" s="9"/>
      <c r="I70" s="9"/>
      <c r="J70" s="9"/>
      <c r="K70" s="9"/>
      <c r="L70" s="9"/>
      <c r="M70" s="9"/>
      <c r="O70" s="11" t="str">
        <f t="shared" si="22"/>
        <v>CO2</v>
      </c>
      <c r="P70" s="11" t="str">
        <f t="shared" si="23"/>
        <v/>
      </c>
      <c r="Q70" s="11" t="str">
        <f t="shared" si="24"/>
        <v/>
      </c>
      <c r="R70" s="11" t="str">
        <f t="shared" si="25"/>
        <v/>
      </c>
      <c r="S70" s="11" t="str">
        <f t="shared" si="26"/>
        <v/>
      </c>
      <c r="T70" s="11" t="str">
        <f t="shared" si="27"/>
        <v/>
      </c>
      <c r="U70" s="11" t="str">
        <f t="shared" si="27"/>
        <v/>
      </c>
      <c r="W70" s="11" t="str">
        <f t="shared" si="17"/>
        <v>a</v>
      </c>
      <c r="X70" s="11" t="str">
        <f t="shared" si="18"/>
        <v/>
      </c>
      <c r="Y70" s="11" t="str">
        <f t="shared" si="19"/>
        <v/>
      </c>
      <c r="Z70" s="11" t="str">
        <f t="shared" si="20"/>
        <v/>
      </c>
      <c r="AA70" s="11" t="str">
        <f t="shared" si="21"/>
        <v/>
      </c>
      <c r="AB70" s="11" t="str">
        <f t="shared" ref="AB70" si="31">IF(L70&lt;&gt;"","f","")</f>
        <v/>
      </c>
      <c r="AC70" s="11" t="str">
        <f t="shared" ref="AC70" si="32">IF(M70&lt;&gt;"","g","")</f>
        <v/>
      </c>
      <c r="AD70" s="11" t="str">
        <f t="shared" si="28"/>
        <v>a</v>
      </c>
      <c r="AE70" s="11" t="str">
        <f>IF(AD70="","",VLOOKUP($AD70,$AI$5:AL127,2,0))</f>
        <v>CO2</v>
      </c>
      <c r="AF70" s="11">
        <f t="shared" si="29"/>
        <v>0</v>
      </c>
      <c r="AG70" s="11">
        <f t="shared" si="30"/>
        <v>0</v>
      </c>
    </row>
    <row r="71" spans="2:33" ht="14.5" customHeight="1" x14ac:dyDescent="0.4">
      <c r="B71" s="9">
        <v>67</v>
      </c>
      <c r="C71" s="99" t="s">
        <v>641</v>
      </c>
      <c r="D71" s="9" t="s">
        <v>567</v>
      </c>
      <c r="E71" s="34" t="s">
        <v>657</v>
      </c>
      <c r="F71" s="9" t="str">
        <f>VLOOKUP(E71,製表用!$E$3:$F$24,2,0)</f>
        <v>使用來自組織產品</v>
      </c>
      <c r="G71" s="9" t="s">
        <v>477</v>
      </c>
      <c r="H71" s="9"/>
      <c r="I71" s="9"/>
      <c r="J71" s="9"/>
      <c r="K71" s="9"/>
      <c r="L71" s="9"/>
      <c r="M71" s="9"/>
      <c r="O71" s="11" t="str">
        <f t="shared" ref="O71:O75" si="33">IF(G71&lt;&gt;"",G$3,"")</f>
        <v>CO2</v>
      </c>
      <c r="P71" s="11" t="str">
        <f t="shared" ref="P71:P75" si="34">IF(H71&lt;&gt;"",H$3,"")</f>
        <v/>
      </c>
      <c r="Q71" s="11" t="str">
        <f t="shared" ref="Q71:Q75" si="35">IF(I71&lt;&gt;"",I$3,"")</f>
        <v/>
      </c>
      <c r="R71" s="11" t="str">
        <f t="shared" ref="R71:R75" si="36">IF(J71&lt;&gt;"",J$3,"")</f>
        <v/>
      </c>
      <c r="S71" s="11" t="str">
        <f t="shared" ref="S71:S75" si="37">IF(K71&lt;&gt;"",K$3,"")</f>
        <v/>
      </c>
      <c r="T71" s="11" t="str">
        <f t="shared" ref="T71:T75" si="38">IF(L71&lt;&gt;"",L$3,"")</f>
        <v/>
      </c>
      <c r="U71" s="11" t="str">
        <f t="shared" ref="U71:U75" si="39">IF(M71&lt;&gt;"",M$3,"")</f>
        <v/>
      </c>
      <c r="W71" s="11" t="str">
        <f t="shared" ref="W71:W75" si="40">IF(G71&lt;&gt;"","a","")</f>
        <v>a</v>
      </c>
      <c r="X71" s="11" t="str">
        <f t="shared" ref="X71:X75" si="41">IF(H71&lt;&gt;"","b","")</f>
        <v/>
      </c>
      <c r="Y71" s="11" t="str">
        <f t="shared" ref="Y71:Y75" si="42">IF(I71&lt;&gt;"","c","")</f>
        <v/>
      </c>
      <c r="Z71" s="11" t="str">
        <f t="shared" ref="Z71:Z75" si="43">IF(J71&lt;&gt;"","d","")</f>
        <v/>
      </c>
      <c r="AA71" s="11" t="str">
        <f t="shared" ref="AA71:AA75" si="44">IF(K71&lt;&gt;"","e","")</f>
        <v/>
      </c>
      <c r="AB71" s="11" t="str">
        <f t="shared" ref="AB71:AB75" si="45">IF(L71&lt;&gt;"","f","")</f>
        <v/>
      </c>
      <c r="AC71" s="11" t="str">
        <f t="shared" ref="AC71:AC75" si="46">IF(M71&lt;&gt;"","g","")</f>
        <v/>
      </c>
      <c r="AD71" s="11" t="str">
        <f t="shared" ref="AD71:AD75" si="47">W71&amp;X71&amp;Y71&amp;Z71&amp;AA71&amp;AB71</f>
        <v>a</v>
      </c>
      <c r="AE71" s="11" t="str">
        <f>IF(AD71="","",VLOOKUP($AD71,$AI$5:AL128,2,0))</f>
        <v>CO2</v>
      </c>
      <c r="AF71" s="11">
        <f t="shared" ref="AF71:AF75" si="48">IF(AD71="","",VLOOKUP($AD71,$AI$5:$AL$62,3,0))</f>
        <v>0</v>
      </c>
      <c r="AG71" s="11">
        <f t="shared" ref="AG71:AG75" si="49">IF(AD71="","",VLOOKUP($AD71,$AI$5:$AL$62,4,0))</f>
        <v>0</v>
      </c>
    </row>
    <row r="72" spans="2:33" ht="14.5" customHeight="1" x14ac:dyDescent="0.4">
      <c r="B72" s="9">
        <v>68</v>
      </c>
      <c r="C72" s="99" t="s">
        <v>643</v>
      </c>
      <c r="D72" s="9" t="s">
        <v>567</v>
      </c>
      <c r="E72" s="34" t="s">
        <v>659</v>
      </c>
      <c r="F72" s="9" t="str">
        <f>VLOOKUP(E72,製表用!$E$3:$F$24,2,0)</f>
        <v>使用來自組織產品</v>
      </c>
      <c r="G72" s="9" t="s">
        <v>477</v>
      </c>
      <c r="H72" s="9"/>
      <c r="I72" s="9"/>
      <c r="J72" s="9"/>
      <c r="K72" s="9"/>
      <c r="L72" s="9"/>
      <c r="M72" s="9"/>
      <c r="O72" s="11" t="str">
        <f t="shared" si="33"/>
        <v>CO2</v>
      </c>
      <c r="P72" s="11" t="str">
        <f t="shared" si="34"/>
        <v/>
      </c>
      <c r="Q72" s="11" t="str">
        <f t="shared" si="35"/>
        <v/>
      </c>
      <c r="R72" s="11" t="str">
        <f t="shared" si="36"/>
        <v/>
      </c>
      <c r="S72" s="11" t="str">
        <f t="shared" si="37"/>
        <v/>
      </c>
      <c r="T72" s="11" t="str">
        <f t="shared" si="38"/>
        <v/>
      </c>
      <c r="U72" s="11" t="str">
        <f t="shared" si="39"/>
        <v/>
      </c>
      <c r="W72" s="11" t="str">
        <f t="shared" si="40"/>
        <v>a</v>
      </c>
      <c r="X72" s="11" t="str">
        <f t="shared" si="41"/>
        <v/>
      </c>
      <c r="Y72" s="11" t="str">
        <f t="shared" si="42"/>
        <v/>
      </c>
      <c r="Z72" s="11" t="str">
        <f t="shared" si="43"/>
        <v/>
      </c>
      <c r="AA72" s="11" t="str">
        <f t="shared" si="44"/>
        <v/>
      </c>
      <c r="AB72" s="11" t="str">
        <f t="shared" si="45"/>
        <v/>
      </c>
      <c r="AC72" s="11" t="str">
        <f t="shared" si="46"/>
        <v/>
      </c>
      <c r="AD72" s="11" t="str">
        <f t="shared" si="47"/>
        <v>a</v>
      </c>
      <c r="AE72" s="11" t="str">
        <f>IF(AD72="","",VLOOKUP($AD72,$AI$5:AL129,2,0))</f>
        <v>CO2</v>
      </c>
      <c r="AF72" s="11">
        <f t="shared" si="48"/>
        <v>0</v>
      </c>
      <c r="AG72" s="11">
        <f t="shared" si="49"/>
        <v>0</v>
      </c>
    </row>
    <row r="73" spans="2:33" ht="14.5" customHeight="1" x14ac:dyDescent="0.4">
      <c r="B73" s="9">
        <v>69</v>
      </c>
      <c r="C73" s="99" t="s">
        <v>645</v>
      </c>
      <c r="D73" s="9" t="s">
        <v>567</v>
      </c>
      <c r="E73" s="34" t="s">
        <v>658</v>
      </c>
      <c r="F73" s="9" t="str">
        <f>VLOOKUP(E73,製表用!$E$3:$F$24,2,0)</f>
        <v>使用來自組織產品</v>
      </c>
      <c r="G73" s="9" t="s">
        <v>477</v>
      </c>
      <c r="H73" s="9"/>
      <c r="I73" s="9"/>
      <c r="J73" s="9"/>
      <c r="K73" s="9"/>
      <c r="L73" s="9"/>
      <c r="M73" s="9"/>
      <c r="O73" s="11" t="str">
        <f t="shared" si="33"/>
        <v>CO2</v>
      </c>
      <c r="P73" s="11" t="str">
        <f t="shared" si="34"/>
        <v/>
      </c>
      <c r="Q73" s="11" t="str">
        <f t="shared" si="35"/>
        <v/>
      </c>
      <c r="R73" s="11" t="str">
        <f t="shared" si="36"/>
        <v/>
      </c>
      <c r="S73" s="11" t="str">
        <f t="shared" si="37"/>
        <v/>
      </c>
      <c r="T73" s="11" t="str">
        <f t="shared" si="38"/>
        <v/>
      </c>
      <c r="U73" s="11" t="str">
        <f t="shared" si="39"/>
        <v/>
      </c>
      <c r="W73" s="11" t="str">
        <f t="shared" si="40"/>
        <v>a</v>
      </c>
      <c r="X73" s="11" t="str">
        <f t="shared" si="41"/>
        <v/>
      </c>
      <c r="Y73" s="11" t="str">
        <f t="shared" si="42"/>
        <v/>
      </c>
      <c r="Z73" s="11" t="str">
        <f t="shared" si="43"/>
        <v/>
      </c>
      <c r="AA73" s="11" t="str">
        <f t="shared" si="44"/>
        <v/>
      </c>
      <c r="AB73" s="11" t="str">
        <f t="shared" si="45"/>
        <v/>
      </c>
      <c r="AC73" s="11" t="str">
        <f t="shared" si="46"/>
        <v/>
      </c>
      <c r="AD73" s="11" t="str">
        <f t="shared" si="47"/>
        <v>a</v>
      </c>
      <c r="AE73" s="11" t="str">
        <f>IF(AD73="","",VLOOKUP($AD73,$AI$5:AL130,2,0))</f>
        <v>CO2</v>
      </c>
      <c r="AF73" s="11">
        <f t="shared" si="48"/>
        <v>0</v>
      </c>
      <c r="AG73" s="11">
        <f t="shared" si="49"/>
        <v>0</v>
      </c>
    </row>
    <row r="74" spans="2:33" ht="14.5" customHeight="1" x14ac:dyDescent="0.4">
      <c r="B74" s="9">
        <v>70</v>
      </c>
      <c r="C74" s="99" t="s">
        <v>619</v>
      </c>
      <c r="D74" s="9" t="s">
        <v>567</v>
      </c>
      <c r="E74" s="34" t="s">
        <v>658</v>
      </c>
      <c r="F74" s="9" t="str">
        <f>VLOOKUP(E74,製表用!$E$3:$F$24,2,0)</f>
        <v>使用來自組織產品</v>
      </c>
      <c r="G74" s="9" t="s">
        <v>477</v>
      </c>
      <c r="H74" s="9"/>
      <c r="I74" s="9"/>
      <c r="J74" s="9"/>
      <c r="K74" s="9"/>
      <c r="L74" s="9"/>
      <c r="M74" s="9"/>
      <c r="O74" s="11" t="str">
        <f t="shared" si="33"/>
        <v>CO2</v>
      </c>
      <c r="P74" s="11" t="str">
        <f t="shared" si="34"/>
        <v/>
      </c>
      <c r="Q74" s="11" t="str">
        <f t="shared" si="35"/>
        <v/>
      </c>
      <c r="R74" s="11" t="str">
        <f t="shared" si="36"/>
        <v/>
      </c>
      <c r="S74" s="11" t="str">
        <f t="shared" si="37"/>
        <v/>
      </c>
      <c r="T74" s="11" t="str">
        <f t="shared" si="38"/>
        <v/>
      </c>
      <c r="U74" s="11" t="str">
        <f t="shared" si="39"/>
        <v/>
      </c>
      <c r="W74" s="11" t="str">
        <f t="shared" si="40"/>
        <v>a</v>
      </c>
      <c r="X74" s="11" t="str">
        <f t="shared" si="41"/>
        <v/>
      </c>
      <c r="Y74" s="11" t="str">
        <f t="shared" si="42"/>
        <v/>
      </c>
      <c r="Z74" s="11" t="str">
        <f t="shared" si="43"/>
        <v/>
      </c>
      <c r="AA74" s="11" t="str">
        <f t="shared" si="44"/>
        <v/>
      </c>
      <c r="AB74" s="11" t="str">
        <f t="shared" si="45"/>
        <v/>
      </c>
      <c r="AC74" s="11" t="str">
        <f t="shared" si="46"/>
        <v/>
      </c>
      <c r="AD74" s="11" t="str">
        <f t="shared" si="47"/>
        <v>a</v>
      </c>
      <c r="AE74" s="11" t="str">
        <f>IF(AD74="","",VLOOKUP($AD74,$AI$5:AL131,2,0))</f>
        <v>CO2</v>
      </c>
      <c r="AF74" s="11">
        <f t="shared" si="48"/>
        <v>0</v>
      </c>
      <c r="AG74" s="11">
        <f t="shared" si="49"/>
        <v>0</v>
      </c>
    </row>
    <row r="75" spans="2:33" x14ac:dyDescent="0.4">
      <c r="B75" s="9">
        <v>71</v>
      </c>
      <c r="C75" s="99" t="s">
        <v>621</v>
      </c>
      <c r="D75" s="9" t="s">
        <v>568</v>
      </c>
      <c r="E75" s="34" t="s">
        <v>660</v>
      </c>
      <c r="F75" s="9" t="str">
        <f>VLOOKUP(E75,製表用!$E$3:$F$24,2,0)</f>
        <v>其他</v>
      </c>
      <c r="G75" s="9" t="s">
        <v>477</v>
      </c>
      <c r="H75" s="9"/>
      <c r="I75" s="9"/>
      <c r="J75" s="9"/>
      <c r="K75" s="9"/>
      <c r="L75" s="9"/>
      <c r="M75" s="9"/>
      <c r="O75" s="11" t="str">
        <f t="shared" si="33"/>
        <v>CO2</v>
      </c>
      <c r="P75" s="11" t="str">
        <f t="shared" si="34"/>
        <v/>
      </c>
      <c r="Q75" s="11" t="str">
        <f t="shared" si="35"/>
        <v/>
      </c>
      <c r="R75" s="11" t="str">
        <f t="shared" si="36"/>
        <v/>
      </c>
      <c r="S75" s="11" t="str">
        <f t="shared" si="37"/>
        <v/>
      </c>
      <c r="T75" s="11" t="str">
        <f t="shared" si="38"/>
        <v/>
      </c>
      <c r="U75" s="11" t="str">
        <f t="shared" si="39"/>
        <v/>
      </c>
      <c r="W75" s="11" t="str">
        <f t="shared" si="40"/>
        <v>a</v>
      </c>
      <c r="X75" s="11" t="str">
        <f t="shared" si="41"/>
        <v/>
      </c>
      <c r="Y75" s="11" t="str">
        <f t="shared" si="42"/>
        <v/>
      </c>
      <c r="Z75" s="11" t="str">
        <f t="shared" si="43"/>
        <v/>
      </c>
      <c r="AA75" s="11" t="str">
        <f t="shared" si="44"/>
        <v/>
      </c>
      <c r="AB75" s="11" t="str">
        <f t="shared" si="45"/>
        <v/>
      </c>
      <c r="AC75" s="11" t="str">
        <f t="shared" si="46"/>
        <v/>
      </c>
      <c r="AD75" s="11" t="str">
        <f t="shared" si="47"/>
        <v>a</v>
      </c>
      <c r="AE75" s="11" t="str">
        <f>IF(AD75="","",VLOOKUP($AD75,$AI$5:AL132,2,0))</f>
        <v>CO2</v>
      </c>
      <c r="AF75" s="11">
        <f t="shared" si="48"/>
        <v>0</v>
      </c>
      <c r="AG75" s="11">
        <f t="shared" si="49"/>
        <v>0</v>
      </c>
    </row>
  </sheetData>
  <mergeCells count="14">
    <mergeCell ref="G2:M2"/>
    <mergeCell ref="G3:G4"/>
    <mergeCell ref="H3:H4"/>
    <mergeCell ref="I3:I4"/>
    <mergeCell ref="J3:J4"/>
    <mergeCell ref="K3:K4"/>
    <mergeCell ref="L3:L4"/>
    <mergeCell ref="M3:M4"/>
    <mergeCell ref="D3:D4"/>
    <mergeCell ref="F3:F4"/>
    <mergeCell ref="B2:F2"/>
    <mergeCell ref="B3:B4"/>
    <mergeCell ref="E3:E4"/>
    <mergeCell ref="C3:C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製表用!$D$3:$D$8</xm:f>
          </x14:formula1>
          <xm:sqref>D5:D75</xm:sqref>
        </x14:dataValidation>
        <x14:dataValidation type="list" allowBlank="1" showInputMessage="1" showErrorMessage="1" xr:uid="{00000000-0002-0000-0100-000001000000}">
          <x14:formula1>
            <xm:f>製表用!$E$3:$E$24</xm:f>
          </x14:formula1>
          <xm:sqref>E5:E75</xm:sqref>
        </x14:dataValidation>
        <x14:dataValidation type="list" allowBlank="1" showInputMessage="1" showErrorMessage="1" xr:uid="{00000000-0002-0000-0100-000002000000}">
          <x14:formula1>
            <xm:f>製表用!$C$3</xm:f>
          </x14:formula1>
          <xm:sqref>G5:M75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rgb="FF0070C0"/>
  </sheetPr>
  <dimension ref="B2:AR76"/>
  <sheetViews>
    <sheetView topLeftCell="P32" zoomScale="85" zoomScaleNormal="85" workbookViewId="0">
      <selection activeCell="AI56" sqref="AI56"/>
    </sheetView>
  </sheetViews>
  <sheetFormatPr defaultColWidth="9" defaultRowHeight="13" x14ac:dyDescent="0.4"/>
  <cols>
    <col min="1" max="1" width="3.36328125" style="5" customWidth="1"/>
    <col min="2" max="2" width="4.90625" style="5" bestFit="1" customWidth="1"/>
    <col min="3" max="3" width="30.08984375" style="5" customWidth="1"/>
    <col min="4" max="4" width="8.6328125" style="5" customWidth="1"/>
    <col min="5" max="5" width="10.453125" style="5" customWidth="1"/>
    <col min="6" max="6" width="9.6328125" style="5" customWidth="1"/>
    <col min="7" max="7" width="12.54296875" style="8" customWidth="1"/>
    <col min="8" max="8" width="15.81640625" style="5" customWidth="1"/>
    <col min="9" max="9" width="8" style="5" bestFit="1" customWidth="1"/>
    <col min="10" max="10" width="13.54296875" style="5" bestFit="1" customWidth="1"/>
    <col min="11" max="11" width="8" style="5" bestFit="1" customWidth="1"/>
    <col min="12" max="12" width="14" style="5" customWidth="1"/>
    <col min="13" max="13" width="15.08984375" style="8" bestFit="1" customWidth="1"/>
    <col min="14" max="14" width="37.36328125" style="8" customWidth="1"/>
    <col min="15" max="15" width="13.453125" style="5" bestFit="1" customWidth="1"/>
    <col min="16" max="16" width="11.36328125" style="5" bestFit="1" customWidth="1"/>
    <col min="17" max="17" width="7.1796875" style="5" customWidth="1"/>
    <col min="18" max="18" width="11.90625" style="5" bestFit="1" customWidth="1"/>
    <col min="19" max="19" width="8" style="5" bestFit="1" customWidth="1"/>
    <col min="20" max="20" width="13.6328125" style="5" bestFit="1" customWidth="1"/>
    <col min="21" max="21" width="14.453125" style="5" customWidth="1"/>
    <col min="22" max="22" width="12.36328125" style="5" bestFit="1" customWidth="1"/>
    <col min="23" max="23" width="13.453125" style="5" bestFit="1" customWidth="1"/>
    <col min="24" max="24" width="8.1796875" style="5" bestFit="1" customWidth="1"/>
    <col min="25" max="25" width="5" style="5" bestFit="1" customWidth="1"/>
    <col min="26" max="26" width="11.90625" style="5" bestFit="1" customWidth="1"/>
    <col min="27" max="27" width="8" style="5" bestFit="1" customWidth="1"/>
    <col min="28" max="28" width="13.81640625" style="5" bestFit="1" customWidth="1"/>
    <col min="29" max="29" width="14.81640625" style="5" customWidth="1"/>
    <col min="30" max="30" width="12.36328125" style="5" bestFit="1" customWidth="1"/>
    <col min="31" max="31" width="14.54296875" style="5" bestFit="1" customWidth="1"/>
    <col min="32" max="32" width="8.453125" style="5" bestFit="1" customWidth="1"/>
    <col min="33" max="33" width="5" style="5" bestFit="1" customWidth="1"/>
    <col min="34" max="34" width="11.90625" style="5" bestFit="1" customWidth="1"/>
    <col min="35" max="35" width="8" style="5" bestFit="1" customWidth="1"/>
    <col min="36" max="36" width="13.81640625" style="5" bestFit="1" customWidth="1"/>
    <col min="37" max="37" width="14.81640625" style="5" customWidth="1"/>
    <col min="38" max="38" width="12.36328125" style="5" bestFit="1" customWidth="1"/>
    <col min="39" max="39" width="14.54296875" style="5" bestFit="1" customWidth="1"/>
    <col min="40" max="40" width="8.453125" style="5" bestFit="1" customWidth="1"/>
    <col min="41" max="41" width="6.6328125" style="5" bestFit="1" customWidth="1"/>
    <col min="42" max="42" width="11.90625" style="5" bestFit="1" customWidth="1"/>
    <col min="43" max="43" width="15.08984375" style="5" bestFit="1" customWidth="1"/>
    <col min="44" max="44" width="10.1796875" style="5" bestFit="1" customWidth="1"/>
    <col min="45" max="16384" width="9" style="5"/>
  </cols>
  <sheetData>
    <row r="2" spans="2:44" ht="16.5" customHeight="1" x14ac:dyDescent="0.4">
      <c r="B2" s="146" t="s">
        <v>150</v>
      </c>
      <c r="C2" s="147"/>
      <c r="D2" s="147"/>
      <c r="E2" s="148"/>
      <c r="F2" s="170" t="s">
        <v>151</v>
      </c>
      <c r="G2" s="170"/>
      <c r="H2" s="170"/>
      <c r="I2" s="170"/>
      <c r="J2" s="170"/>
      <c r="K2" s="165" t="s">
        <v>152</v>
      </c>
      <c r="L2" s="165"/>
      <c r="M2" s="165"/>
      <c r="N2" s="165"/>
      <c r="O2" s="165"/>
      <c r="P2" s="165"/>
      <c r="Q2" s="165"/>
      <c r="R2" s="165"/>
      <c r="S2" s="164" t="s">
        <v>153</v>
      </c>
      <c r="T2" s="164"/>
      <c r="U2" s="164"/>
      <c r="V2" s="164"/>
      <c r="W2" s="164"/>
      <c r="X2" s="164"/>
      <c r="Y2" s="164"/>
      <c r="Z2" s="164"/>
      <c r="AA2" s="158" t="s">
        <v>154</v>
      </c>
      <c r="AB2" s="158"/>
      <c r="AC2" s="158"/>
      <c r="AD2" s="158"/>
      <c r="AE2" s="158"/>
      <c r="AF2" s="158"/>
      <c r="AG2" s="158"/>
      <c r="AH2" s="158"/>
      <c r="AI2" s="220" t="s">
        <v>682</v>
      </c>
      <c r="AJ2" s="221"/>
      <c r="AK2" s="221"/>
      <c r="AL2" s="221"/>
      <c r="AM2" s="221"/>
      <c r="AN2" s="221"/>
      <c r="AO2" s="221"/>
      <c r="AP2" s="221"/>
      <c r="AQ2" s="162" t="s">
        <v>172</v>
      </c>
      <c r="AR2" s="155" t="s">
        <v>173</v>
      </c>
    </row>
    <row r="3" spans="2:44" ht="29.25" customHeight="1" x14ac:dyDescent="0.4">
      <c r="B3" s="149" t="s">
        <v>155</v>
      </c>
      <c r="C3" s="144" t="s">
        <v>156</v>
      </c>
      <c r="D3" s="152" t="s">
        <v>480</v>
      </c>
      <c r="E3" s="154" t="s">
        <v>131</v>
      </c>
      <c r="F3" s="170" t="s">
        <v>157</v>
      </c>
      <c r="G3" s="171" t="s">
        <v>158</v>
      </c>
      <c r="H3" s="171" t="s">
        <v>159</v>
      </c>
      <c r="I3" s="170" t="s">
        <v>160</v>
      </c>
      <c r="J3" s="171" t="s">
        <v>161</v>
      </c>
      <c r="K3" s="155" t="s">
        <v>162</v>
      </c>
      <c r="L3" s="165" t="s">
        <v>163</v>
      </c>
      <c r="M3" s="165" t="s">
        <v>164</v>
      </c>
      <c r="N3" s="165" t="s">
        <v>165</v>
      </c>
      <c r="O3" s="165" t="s">
        <v>166</v>
      </c>
      <c r="P3" s="155" t="s">
        <v>167</v>
      </c>
      <c r="Q3" s="165" t="s">
        <v>32</v>
      </c>
      <c r="R3" s="169" t="s">
        <v>168</v>
      </c>
      <c r="S3" s="167" t="s">
        <v>169</v>
      </c>
      <c r="T3" s="164" t="s">
        <v>163</v>
      </c>
      <c r="U3" s="164" t="s">
        <v>164</v>
      </c>
      <c r="V3" s="164" t="s">
        <v>165</v>
      </c>
      <c r="W3" s="164" t="s">
        <v>166</v>
      </c>
      <c r="X3" s="167" t="s">
        <v>167</v>
      </c>
      <c r="Y3" s="164" t="s">
        <v>32</v>
      </c>
      <c r="Z3" s="163" t="s">
        <v>168</v>
      </c>
      <c r="AA3" s="160" t="s">
        <v>170</v>
      </c>
      <c r="AB3" s="158" t="s">
        <v>163</v>
      </c>
      <c r="AC3" s="158" t="s">
        <v>164</v>
      </c>
      <c r="AD3" s="158" t="s">
        <v>165</v>
      </c>
      <c r="AE3" s="158" t="s">
        <v>166</v>
      </c>
      <c r="AF3" s="160" t="s">
        <v>167</v>
      </c>
      <c r="AG3" s="158" t="s">
        <v>32</v>
      </c>
      <c r="AH3" s="159" t="s">
        <v>168</v>
      </c>
      <c r="AI3" s="222" t="s">
        <v>680</v>
      </c>
      <c r="AJ3" s="221" t="s">
        <v>163</v>
      </c>
      <c r="AK3" s="221" t="s">
        <v>164</v>
      </c>
      <c r="AL3" s="221" t="s">
        <v>165</v>
      </c>
      <c r="AM3" s="221" t="s">
        <v>166</v>
      </c>
      <c r="AN3" s="223" t="s">
        <v>167</v>
      </c>
      <c r="AO3" s="221" t="s">
        <v>32</v>
      </c>
      <c r="AP3" s="224" t="s">
        <v>168</v>
      </c>
      <c r="AQ3" s="162"/>
      <c r="AR3" s="156"/>
    </row>
    <row r="4" spans="2:44" ht="23" customHeight="1" x14ac:dyDescent="0.4">
      <c r="B4" s="149"/>
      <c r="C4" s="149"/>
      <c r="D4" s="153"/>
      <c r="E4" s="153"/>
      <c r="F4" s="170"/>
      <c r="G4" s="170"/>
      <c r="H4" s="170"/>
      <c r="I4" s="170"/>
      <c r="J4" s="170"/>
      <c r="K4" s="166"/>
      <c r="L4" s="165"/>
      <c r="M4" s="165"/>
      <c r="N4" s="165"/>
      <c r="O4" s="165"/>
      <c r="P4" s="166"/>
      <c r="Q4" s="165"/>
      <c r="R4" s="165"/>
      <c r="S4" s="168"/>
      <c r="T4" s="164"/>
      <c r="U4" s="164"/>
      <c r="V4" s="164"/>
      <c r="W4" s="164"/>
      <c r="X4" s="168"/>
      <c r="Y4" s="164"/>
      <c r="Z4" s="164"/>
      <c r="AA4" s="161"/>
      <c r="AB4" s="158"/>
      <c r="AC4" s="158"/>
      <c r="AD4" s="158"/>
      <c r="AE4" s="158"/>
      <c r="AF4" s="161"/>
      <c r="AG4" s="158"/>
      <c r="AH4" s="158"/>
      <c r="AI4" s="225"/>
      <c r="AJ4" s="221"/>
      <c r="AK4" s="221"/>
      <c r="AL4" s="221"/>
      <c r="AM4" s="221"/>
      <c r="AN4" s="225"/>
      <c r="AO4" s="221"/>
      <c r="AP4" s="221"/>
      <c r="AQ4" s="162"/>
      <c r="AR4" s="157"/>
    </row>
    <row r="5" spans="2:44" ht="13.5" x14ac:dyDescent="0.4">
      <c r="B5" s="9">
        <v>1</v>
      </c>
      <c r="C5" s="9" t="str">
        <f>IF(排放源鑑別!C5&lt;&gt;"",排放源鑑別!C5,"")</f>
        <v>車用汽油</v>
      </c>
      <c r="D5" s="9" t="str">
        <f>排放源鑑別!D5</f>
        <v>類別1</v>
      </c>
      <c r="E5" s="9" t="str">
        <f>排放源鑑別!F5</f>
        <v>固定</v>
      </c>
      <c r="F5" s="10">
        <v>1</v>
      </c>
      <c r="G5" s="11" t="s">
        <v>478</v>
      </c>
      <c r="H5" s="33" t="s">
        <v>487</v>
      </c>
      <c r="I5" s="103" t="s">
        <v>488</v>
      </c>
      <c r="J5" s="11" t="s">
        <v>489</v>
      </c>
      <c r="K5" s="12" t="str">
        <f>IF(排放源鑑別!AE5&lt;&gt;"",IF(排放源鑑別!AE5&lt;&gt;0,排放源鑑別!AE5,""),"")</f>
        <v>CO2</v>
      </c>
      <c r="L5" s="13">
        <f>係數管理表!T6</f>
        <v>2.2631328720000004</v>
      </c>
      <c r="M5" s="14" t="s">
        <v>486</v>
      </c>
      <c r="N5" s="112" t="s">
        <v>490</v>
      </c>
      <c r="O5" s="12" t="s">
        <v>491</v>
      </c>
      <c r="P5" s="15">
        <f>IF(L5&lt;&gt;"",ROUND(F5,4)*ROUND(L5,10),"")</f>
        <v>2.2631328719999999</v>
      </c>
      <c r="Q5" s="12">
        <f>IF(K5="CO2",1,IF(K5="CH4",27.9,IF(K5="N2O",273,IF(K5="NF3",17400,IF(K5="SF6",24300,"")))))</f>
        <v>1</v>
      </c>
      <c r="R5" s="102">
        <f>IF(P5&lt;&gt;"",ROUND(P5,4)*ROUND(Q5,4),"")</f>
        <v>2.2631000000000001</v>
      </c>
      <c r="S5" s="16" t="str">
        <f>IF(排放源鑑別!AF5&lt;&gt;"",IF(排放源鑑別!AF5&lt;&gt;0,排放源鑑別!AF5,""),"")</f>
        <v>CH4</v>
      </c>
      <c r="T5" s="17">
        <f>係數管理表!T5</f>
        <v>9.7971120000000023E-5</v>
      </c>
      <c r="U5" s="18" t="s">
        <v>486</v>
      </c>
      <c r="V5" s="104" t="s">
        <v>490</v>
      </c>
      <c r="W5" s="16" t="s">
        <v>491</v>
      </c>
      <c r="X5" s="19">
        <f>IF(T5&lt;&gt;"",ROUND(F5,4)*ROUND(T5,10),"")</f>
        <v>9.7971099999999994E-5</v>
      </c>
      <c r="Y5" s="16">
        <f>IF(S5="CO2",1,IF(S5="CH4",27.9,IF(S5="N2O",273,IF(S5="NF3",17400,IF(S5="SF6",24300,"")))))</f>
        <v>27.9</v>
      </c>
      <c r="Z5" s="19">
        <f>IF(X5&lt;&gt;"",ROUND(X5,4)*ROUND(Y5,4),"")</f>
        <v>2.7899999999999999E-3</v>
      </c>
      <c r="AA5" s="20" t="str">
        <f>IF(排放源鑑別!AG5&lt;&gt;"",IF(排放源鑑別!AG5&lt;&gt;0,排放源鑑別!AG5,""),"")</f>
        <v>N2O</v>
      </c>
      <c r="AB5" s="21">
        <f>係數管理表!T7</f>
        <v>1.9594223999999998E-5</v>
      </c>
      <c r="AC5" s="22" t="s">
        <v>486</v>
      </c>
      <c r="AD5" s="105" t="s">
        <v>490</v>
      </c>
      <c r="AE5" s="22" t="s">
        <v>491</v>
      </c>
      <c r="AF5" s="24">
        <f>IF(AB5&lt;&gt;"",ROUND(F5,4)*ROUND(AB5,10),"")</f>
        <v>1.95942E-5</v>
      </c>
      <c r="AG5" s="20">
        <f t="shared" ref="AG5:AG16" si="0">IF(AA5="CO2",1,IF(AA5="CH4",27.9,IF(AA5="N2O",273,IF(AA5="NF3",17400,""))))</f>
        <v>273</v>
      </c>
      <c r="AH5" s="24">
        <f>IF(AF5&lt;&gt;"",ROUND(AF5,4)*ROUND(AG5,4),"")</f>
        <v>0</v>
      </c>
      <c r="AI5" s="226" t="str">
        <f>IF(排放源鑑別!AO5&lt;&gt;"",IF(排放源鑑別!AO5&lt;&gt;0,排放源鑑別!AO5,""),"")</f>
        <v/>
      </c>
      <c r="AJ5" s="227"/>
      <c r="AK5" s="228"/>
      <c r="AL5" s="229"/>
      <c r="AM5" s="228"/>
      <c r="AN5" s="230"/>
      <c r="AO5" s="226"/>
      <c r="AP5" s="230"/>
      <c r="AQ5" s="25">
        <f>ROUND(SUM(R5,Z5,AH5,AP5),4)</f>
        <v>2.2658999999999998</v>
      </c>
      <c r="AR5" s="26">
        <f t="shared" ref="AR5:AR36" si="1">AQ5/$AQ$76</f>
        <v>2.0978651937139037E-2</v>
      </c>
    </row>
    <row r="6" spans="2:44" ht="13.5" x14ac:dyDescent="0.4">
      <c r="B6" s="9">
        <v>2</v>
      </c>
      <c r="C6" s="9" t="str">
        <f>IF(排放源鑑別!C6&lt;&gt;"",排放源鑑別!C6,"")</f>
        <v>煤油</v>
      </c>
      <c r="D6" s="9" t="str">
        <f>排放源鑑別!D6</f>
        <v>類別1</v>
      </c>
      <c r="E6" s="9" t="str">
        <f>排放源鑑別!F6</f>
        <v>固定</v>
      </c>
      <c r="F6" s="10">
        <v>1</v>
      </c>
      <c r="G6" s="11" t="s">
        <v>478</v>
      </c>
      <c r="H6" s="33" t="s">
        <v>487</v>
      </c>
      <c r="I6" s="103" t="s">
        <v>488</v>
      </c>
      <c r="J6" s="11" t="s">
        <v>489</v>
      </c>
      <c r="K6" s="12" t="str">
        <f>IF(排放源鑑別!AE6&lt;&gt;"",IF(排放源鑑別!AE6&lt;&gt;0,排放源鑑別!AE6,""),"")</f>
        <v>CO2</v>
      </c>
      <c r="L6" s="13">
        <f>係數管理表!T9</f>
        <v>2.5587628200000005</v>
      </c>
      <c r="M6" s="14" t="s">
        <v>486</v>
      </c>
      <c r="N6" s="112" t="s">
        <v>490</v>
      </c>
      <c r="O6" s="12" t="s">
        <v>491</v>
      </c>
      <c r="P6" s="15">
        <f t="shared" ref="P6:P52" si="2">IF(L6&lt;&gt;"",ROUND(F6,4)*ROUND(L6,10),"")</f>
        <v>2.5587628200000001</v>
      </c>
      <c r="Q6" s="12">
        <f t="shared" ref="Q6:Q40" si="3">IF(K6="CO2",1,IF(K6="CH4",27.9,IF(K6="N2O",273,IF(K6="NF3",17400,IF(K6="SF6",24300,"")))))</f>
        <v>1</v>
      </c>
      <c r="R6" s="102">
        <f t="shared" ref="R6:R54" si="4">IF(P6&lt;&gt;"",ROUND(P6,4)*ROUND(Q6,4),"")</f>
        <v>2.5588000000000002</v>
      </c>
      <c r="S6" s="16" t="str">
        <f>IF(排放源鑑別!AF6&lt;&gt;"",IF(排放源鑑別!AF6&lt;&gt;0,排放源鑑別!AF6,""),"")</f>
        <v>CH4</v>
      </c>
      <c r="T6" s="17">
        <f>係數管理表!T8</f>
        <v>1.0676340000000002E-4</v>
      </c>
      <c r="U6" s="18" t="s">
        <v>486</v>
      </c>
      <c r="V6" s="104" t="s">
        <v>490</v>
      </c>
      <c r="W6" s="16" t="s">
        <v>491</v>
      </c>
      <c r="X6" s="19">
        <f t="shared" ref="X6:X52" si="5">IF(T6&lt;&gt;"",ROUND(F6,4)*ROUND(T6,10),"")</f>
        <v>1.0676339999999999E-4</v>
      </c>
      <c r="Y6" s="16">
        <f t="shared" ref="Y6:Y69" si="6">IF(S6="CO2",1,IF(S6="CH4",27.9,IF(S6="N2O",273,IF(S6="NF3",17400,IF(S6="SF6",24300,"")))))</f>
        <v>27.9</v>
      </c>
      <c r="Z6" s="19">
        <f t="shared" ref="Z6:Z54" si="7">IF(X6&lt;&gt;"",ROUND(X6,4)*ROUND(Y6,4),"")</f>
        <v>2.7899999999999999E-3</v>
      </c>
      <c r="AA6" s="20" t="str">
        <f>IF(排放源鑑別!AG6&lt;&gt;"",IF(排放源鑑別!AG6&lt;&gt;0,排放源鑑別!AG6,""),"")</f>
        <v>N2O</v>
      </c>
      <c r="AB6" s="21">
        <f>係數管理表!T10</f>
        <v>2.1352679999999998E-5</v>
      </c>
      <c r="AC6" s="22" t="s">
        <v>486</v>
      </c>
      <c r="AD6" s="105" t="s">
        <v>490</v>
      </c>
      <c r="AE6" s="22" t="s">
        <v>491</v>
      </c>
      <c r="AF6" s="24">
        <f t="shared" ref="AF6:AF52" si="8">IF(AB6&lt;&gt;"",ROUND(F6,4)*ROUND(AB6,10),"")</f>
        <v>2.13527E-5</v>
      </c>
      <c r="AG6" s="20">
        <f t="shared" si="0"/>
        <v>273</v>
      </c>
      <c r="AH6" s="24">
        <f t="shared" ref="AH6:AH53" si="9">IF(AF6&lt;&gt;"",ROUND(AF6,4)*ROUND(AG6,4),"")</f>
        <v>0</v>
      </c>
      <c r="AI6" s="226" t="str">
        <f>IF(排放源鑑別!AO6&lt;&gt;"",IF(排放源鑑別!AO6&lt;&gt;0,排放源鑑別!AO6,""),"")</f>
        <v/>
      </c>
      <c r="AJ6" s="227"/>
      <c r="AK6" s="228"/>
      <c r="AL6" s="229"/>
      <c r="AM6" s="228"/>
      <c r="AN6" s="230"/>
      <c r="AO6" s="226"/>
      <c r="AP6" s="230"/>
      <c r="AQ6" s="25">
        <f t="shared" ref="AQ6:AQ69" si="10">ROUND(SUM(R6,Z6,AH6,AP6),4)</f>
        <v>2.5615999999999999</v>
      </c>
      <c r="AR6" s="26">
        <f t="shared" si="1"/>
        <v>2.3716366477856642E-2</v>
      </c>
    </row>
    <row r="7" spans="2:44" ht="13.5" x14ac:dyDescent="0.4">
      <c r="B7" s="9">
        <v>3</v>
      </c>
      <c r="C7" s="9" t="str">
        <f>IF(排放源鑑別!C7&lt;&gt;"",排放源鑑別!C7,"")</f>
        <v>柴油</v>
      </c>
      <c r="D7" s="9" t="str">
        <f>排放源鑑別!D7</f>
        <v>類別1</v>
      </c>
      <c r="E7" s="9" t="str">
        <f>排放源鑑別!F7</f>
        <v>固定</v>
      </c>
      <c r="F7" s="10">
        <v>1</v>
      </c>
      <c r="G7" s="11" t="s">
        <v>478</v>
      </c>
      <c r="H7" s="33" t="s">
        <v>487</v>
      </c>
      <c r="I7" s="103" t="s">
        <v>488</v>
      </c>
      <c r="J7" s="11" t="s">
        <v>489</v>
      </c>
      <c r="K7" s="12" t="str">
        <f>IF(排放源鑑別!AE7&lt;&gt;"",IF(排放源鑑別!AE7&lt;&gt;0,排放源鑑別!AE7,""),"")</f>
        <v>CO2</v>
      </c>
      <c r="L7" s="13">
        <f>係數管理表!T12</f>
        <v>2.6060317920000005</v>
      </c>
      <c r="M7" s="14" t="s">
        <v>486</v>
      </c>
      <c r="N7" s="112" t="s">
        <v>490</v>
      </c>
      <c r="O7" s="12" t="s">
        <v>491</v>
      </c>
      <c r="P7" s="15">
        <f t="shared" si="2"/>
        <v>2.606031792</v>
      </c>
      <c r="Q7" s="12">
        <f t="shared" si="3"/>
        <v>1</v>
      </c>
      <c r="R7" s="102">
        <f t="shared" si="4"/>
        <v>2.6059999999999999</v>
      </c>
      <c r="S7" s="16" t="str">
        <f>IF(排放源鑑別!AF7&lt;&gt;"",IF(排放源鑑別!AF7&lt;&gt;0,排放源鑑別!AF7,""),"")</f>
        <v>CH4</v>
      </c>
      <c r="T7" s="17">
        <f>係數管理表!T11</f>
        <v>1.0550736000000003E-4</v>
      </c>
      <c r="U7" s="18" t="s">
        <v>486</v>
      </c>
      <c r="V7" s="104" t="s">
        <v>490</v>
      </c>
      <c r="W7" s="16" t="s">
        <v>491</v>
      </c>
      <c r="X7" s="19">
        <f t="shared" si="5"/>
        <v>1.0550740000000001E-4</v>
      </c>
      <c r="Y7" s="16">
        <f t="shared" si="6"/>
        <v>27.9</v>
      </c>
      <c r="Z7" s="19">
        <f t="shared" si="7"/>
        <v>2.7899999999999999E-3</v>
      </c>
      <c r="AA7" s="20" t="str">
        <f>IF(排放源鑑別!AG7&lt;&gt;"",IF(排放源鑑別!AG7&lt;&gt;0,排放源鑑別!AG7,""),"")</f>
        <v>N2O</v>
      </c>
      <c r="AB7" s="21">
        <f>係數管理表!T13</f>
        <v>2.1101471999999998E-5</v>
      </c>
      <c r="AC7" s="22" t="s">
        <v>486</v>
      </c>
      <c r="AD7" s="105" t="s">
        <v>490</v>
      </c>
      <c r="AE7" s="22" t="s">
        <v>491</v>
      </c>
      <c r="AF7" s="24">
        <f t="shared" si="8"/>
        <v>2.1101500000000001E-5</v>
      </c>
      <c r="AG7" s="20">
        <f t="shared" si="0"/>
        <v>273</v>
      </c>
      <c r="AH7" s="24">
        <f t="shared" si="9"/>
        <v>0</v>
      </c>
      <c r="AI7" s="226" t="str">
        <f>IF(排放源鑑別!AO7&lt;&gt;"",IF(排放源鑑別!AO7&lt;&gt;0,排放源鑑別!AO7,""),"")</f>
        <v/>
      </c>
      <c r="AJ7" s="227"/>
      <c r="AK7" s="228"/>
      <c r="AL7" s="229"/>
      <c r="AM7" s="228"/>
      <c r="AN7" s="230"/>
      <c r="AO7" s="226"/>
      <c r="AP7" s="230"/>
      <c r="AQ7" s="25">
        <f t="shared" si="10"/>
        <v>2.6088</v>
      </c>
      <c r="AR7" s="26">
        <f t="shared" si="1"/>
        <v>2.4153363861427392E-2</v>
      </c>
    </row>
    <row r="8" spans="2:44" ht="13.5" x14ac:dyDescent="0.4">
      <c r="B8" s="9">
        <v>4</v>
      </c>
      <c r="C8" s="9" t="str">
        <f>IF(排放源鑑別!C8&lt;&gt;"",排放源鑑別!C8,"")</f>
        <v>潤滑油</v>
      </c>
      <c r="D8" s="9" t="str">
        <f>排放源鑑別!D8</f>
        <v>類別1</v>
      </c>
      <c r="E8" s="9" t="str">
        <f>排放源鑑別!F8</f>
        <v>固定</v>
      </c>
      <c r="F8" s="10">
        <v>1</v>
      </c>
      <c r="G8" s="11" t="s">
        <v>478</v>
      </c>
      <c r="H8" s="33" t="s">
        <v>487</v>
      </c>
      <c r="I8" s="103" t="s">
        <v>488</v>
      </c>
      <c r="J8" s="11" t="s">
        <v>489</v>
      </c>
      <c r="K8" s="12" t="str">
        <f>IF(排放源鑑別!AE8&lt;&gt;"",IF(排放源鑑別!AE8&lt;&gt;0,排放源鑑別!AE8,""),"")</f>
        <v>CO2</v>
      </c>
      <c r="L8" s="13">
        <f>係數管理表!T15</f>
        <v>2.9461674240000004</v>
      </c>
      <c r="M8" s="14" t="s">
        <v>486</v>
      </c>
      <c r="N8" s="112" t="s">
        <v>490</v>
      </c>
      <c r="O8" s="12" t="s">
        <v>491</v>
      </c>
      <c r="P8" s="15">
        <f t="shared" si="2"/>
        <v>2.946167424</v>
      </c>
      <c r="Q8" s="12">
        <f t="shared" si="3"/>
        <v>1</v>
      </c>
      <c r="R8" s="102">
        <f t="shared" si="4"/>
        <v>2.9462000000000002</v>
      </c>
      <c r="S8" s="16" t="str">
        <f>IF(排放源鑑別!AF8&lt;&gt;"",IF(排放源鑑別!AF8&lt;&gt;0,排放源鑑別!AF8,""),"")</f>
        <v>CH4</v>
      </c>
      <c r="T8" s="17">
        <f>係數管理表!T14</f>
        <v>1.2057984000000003E-4</v>
      </c>
      <c r="U8" s="18" t="s">
        <v>486</v>
      </c>
      <c r="V8" s="104" t="s">
        <v>490</v>
      </c>
      <c r="W8" s="16" t="s">
        <v>491</v>
      </c>
      <c r="X8" s="19">
        <f t="shared" si="5"/>
        <v>1.205798E-4</v>
      </c>
      <c r="Y8" s="16">
        <f t="shared" si="6"/>
        <v>27.9</v>
      </c>
      <c r="Z8" s="19">
        <f t="shared" si="7"/>
        <v>2.7899999999999999E-3</v>
      </c>
      <c r="AA8" s="20" t="str">
        <f>IF(排放源鑑別!AG8&lt;&gt;"",IF(排放源鑑別!AG8&lt;&gt;0,排放源鑑別!AG8,""),"")</f>
        <v>N2O</v>
      </c>
      <c r="AB8" s="21">
        <f>係數管理表!T16</f>
        <v>2.4115968E-5</v>
      </c>
      <c r="AC8" s="22" t="s">
        <v>486</v>
      </c>
      <c r="AD8" s="105" t="s">
        <v>490</v>
      </c>
      <c r="AE8" s="22" t="s">
        <v>491</v>
      </c>
      <c r="AF8" s="24">
        <f t="shared" si="8"/>
        <v>2.4116000000000001E-5</v>
      </c>
      <c r="AG8" s="20">
        <f t="shared" si="0"/>
        <v>273</v>
      </c>
      <c r="AH8" s="24">
        <f t="shared" si="9"/>
        <v>0</v>
      </c>
      <c r="AI8" s="226" t="str">
        <f>IF(排放源鑑別!AO8&lt;&gt;"",IF(排放源鑑別!AO8&lt;&gt;0,排放源鑑別!AO8,""),"")</f>
        <v/>
      </c>
      <c r="AJ8" s="227"/>
      <c r="AK8" s="228"/>
      <c r="AL8" s="229"/>
      <c r="AM8" s="228"/>
      <c r="AN8" s="230"/>
      <c r="AO8" s="226"/>
      <c r="AP8" s="230"/>
      <c r="AQ8" s="25">
        <f t="shared" si="10"/>
        <v>2.9489999999999998</v>
      </c>
      <c r="AR8" s="26">
        <f t="shared" si="1"/>
        <v>2.7303078054028432E-2</v>
      </c>
    </row>
    <row r="9" spans="2:44" ht="13.5" x14ac:dyDescent="0.4">
      <c r="B9" s="9">
        <v>5</v>
      </c>
      <c r="C9" s="9" t="str">
        <f>IF(排放源鑑別!C9&lt;&gt;"",排放源鑑別!C9,"")</f>
        <v>石油腦</v>
      </c>
      <c r="D9" s="9" t="str">
        <f>排放源鑑別!D9</f>
        <v>類別1</v>
      </c>
      <c r="E9" s="9" t="str">
        <f>排放源鑑別!F9</f>
        <v>固定</v>
      </c>
      <c r="F9" s="10">
        <v>1</v>
      </c>
      <c r="G9" s="11" t="s">
        <v>478</v>
      </c>
      <c r="H9" s="33" t="s">
        <v>487</v>
      </c>
      <c r="I9" s="103" t="s">
        <v>488</v>
      </c>
      <c r="J9" s="11" t="s">
        <v>489</v>
      </c>
      <c r="K9" s="12" t="str">
        <f>IF(排放源鑑別!AE9&lt;&gt;"",IF(排放源鑑別!AE9&lt;&gt;0,排放源鑑別!AE9,""),"")</f>
        <v>CO2</v>
      </c>
      <c r="L9" s="13">
        <f>係數管理表!T18</f>
        <v>2.3937610320000005</v>
      </c>
      <c r="M9" s="14" t="s">
        <v>486</v>
      </c>
      <c r="N9" s="112" t="s">
        <v>490</v>
      </c>
      <c r="O9" s="12" t="s">
        <v>491</v>
      </c>
      <c r="P9" s="15">
        <f t="shared" si="2"/>
        <v>2.393761032</v>
      </c>
      <c r="Q9" s="12">
        <f t="shared" si="3"/>
        <v>1</v>
      </c>
      <c r="R9" s="102">
        <f t="shared" si="4"/>
        <v>2.3938000000000001</v>
      </c>
      <c r="S9" s="16" t="str">
        <f>IF(排放源鑑別!AF9&lt;&gt;"",IF(排放源鑑別!AF9&lt;&gt;0,排放源鑑別!AF9,""),"")</f>
        <v>CH4</v>
      </c>
      <c r="T9" s="17">
        <f>係數管理表!T17</f>
        <v>9.7971120000000023E-5</v>
      </c>
      <c r="U9" s="18" t="s">
        <v>486</v>
      </c>
      <c r="V9" s="104" t="s">
        <v>490</v>
      </c>
      <c r="W9" s="16" t="s">
        <v>491</v>
      </c>
      <c r="X9" s="19">
        <f t="shared" si="5"/>
        <v>9.7971099999999994E-5</v>
      </c>
      <c r="Y9" s="16">
        <f t="shared" si="6"/>
        <v>27.9</v>
      </c>
      <c r="Z9" s="19">
        <f t="shared" si="7"/>
        <v>2.7899999999999999E-3</v>
      </c>
      <c r="AA9" s="20" t="str">
        <f>IF(排放源鑑別!AG9&lt;&gt;"",IF(排放源鑑別!AG9&lt;&gt;0,排放源鑑別!AG9,""),"")</f>
        <v>N2O</v>
      </c>
      <c r="AB9" s="21">
        <f>係數管理表!T19</f>
        <v>1.9594223999999998E-5</v>
      </c>
      <c r="AC9" s="22" t="s">
        <v>486</v>
      </c>
      <c r="AD9" s="105" t="s">
        <v>490</v>
      </c>
      <c r="AE9" s="22" t="s">
        <v>491</v>
      </c>
      <c r="AF9" s="24">
        <f t="shared" si="8"/>
        <v>1.95942E-5</v>
      </c>
      <c r="AG9" s="20">
        <f t="shared" si="0"/>
        <v>273</v>
      </c>
      <c r="AH9" s="24">
        <f t="shared" si="9"/>
        <v>0</v>
      </c>
      <c r="AI9" s="226" t="str">
        <f>IF(排放源鑑別!AO9&lt;&gt;"",IF(排放源鑑別!AO9&lt;&gt;0,排放源鑑別!AO9,""),"")</f>
        <v/>
      </c>
      <c r="AJ9" s="227"/>
      <c r="AK9" s="228"/>
      <c r="AL9" s="229"/>
      <c r="AM9" s="228"/>
      <c r="AN9" s="230"/>
      <c r="AO9" s="226"/>
      <c r="AP9" s="230"/>
      <c r="AQ9" s="25">
        <f t="shared" si="10"/>
        <v>2.3965999999999998</v>
      </c>
      <c r="AR9" s="26">
        <f t="shared" si="1"/>
        <v>2.2188727319187706E-2</v>
      </c>
    </row>
    <row r="10" spans="2:44" ht="13.5" x14ac:dyDescent="0.4">
      <c r="B10" s="9">
        <v>6</v>
      </c>
      <c r="C10" s="9" t="str">
        <f>IF(排放源鑑別!C10&lt;&gt;"",排放源鑑別!C10,"")</f>
        <v>柏油</v>
      </c>
      <c r="D10" s="9" t="str">
        <f>排放源鑑別!D10</f>
        <v>類別1</v>
      </c>
      <c r="E10" s="9" t="str">
        <f>排放源鑑別!F10</f>
        <v>固定</v>
      </c>
      <c r="F10" s="10">
        <v>1</v>
      </c>
      <c r="G10" s="11" t="s">
        <v>478</v>
      </c>
      <c r="H10" s="33" t="s">
        <v>487</v>
      </c>
      <c r="I10" s="103" t="s">
        <v>488</v>
      </c>
      <c r="J10" s="11" t="s">
        <v>489</v>
      </c>
      <c r="K10" s="12" t="str">
        <f>IF(排放源鑑別!AE10&lt;&gt;"",IF(排放源鑑別!AE10&lt;&gt;0,排放源鑑別!AE10,""),"")</f>
        <v>CO2</v>
      </c>
      <c r="L10" s="13">
        <f>係數管理表!T21</f>
        <v>3.3787476000000005</v>
      </c>
      <c r="M10" s="14" t="s">
        <v>486</v>
      </c>
      <c r="N10" s="112" t="s">
        <v>490</v>
      </c>
      <c r="O10" s="12" t="s">
        <v>491</v>
      </c>
      <c r="P10" s="15">
        <f t="shared" si="2"/>
        <v>3.3787476000000001</v>
      </c>
      <c r="Q10" s="12">
        <f t="shared" si="3"/>
        <v>1</v>
      </c>
      <c r="R10" s="102">
        <f t="shared" si="4"/>
        <v>3.3786999999999998</v>
      </c>
      <c r="S10" s="16" t="str">
        <f>IF(排放源鑑別!AF10&lt;&gt;"",IF(排放源鑑別!AF10&lt;&gt;0,排放源鑑別!AF10,""),"")</f>
        <v>CH4</v>
      </c>
      <c r="T10" s="17">
        <f>係數管理表!T20</f>
        <v>1.2560400000000003E-4</v>
      </c>
      <c r="U10" s="18" t="str">
        <f t="shared" ref="U10:U54" si="11">IF(T10&lt;&gt;"",M10,"")</f>
        <v>公噸/公秉</v>
      </c>
      <c r="V10" s="104" t="s">
        <v>490</v>
      </c>
      <c r="W10" s="16" t="s">
        <v>491</v>
      </c>
      <c r="X10" s="19">
        <f t="shared" si="5"/>
        <v>1.25604E-4</v>
      </c>
      <c r="Y10" s="16">
        <f t="shared" si="6"/>
        <v>27.9</v>
      </c>
      <c r="Z10" s="19">
        <f t="shared" si="7"/>
        <v>2.7899999999999999E-3</v>
      </c>
      <c r="AA10" s="20" t="str">
        <f>IF(排放源鑑別!AG10&lt;&gt;"",IF(排放源鑑別!AG10&lt;&gt;0,排放源鑑別!AG10,""),"")</f>
        <v>N2O</v>
      </c>
      <c r="AB10" s="21">
        <f>係數管理表!T22</f>
        <v>2.5120799999999998E-5</v>
      </c>
      <c r="AC10" s="22" t="s">
        <v>486</v>
      </c>
      <c r="AD10" s="105" t="s">
        <v>490</v>
      </c>
      <c r="AE10" s="22" t="s">
        <v>491</v>
      </c>
      <c r="AF10" s="24">
        <f t="shared" si="8"/>
        <v>2.5120799999999998E-5</v>
      </c>
      <c r="AG10" s="20">
        <f t="shared" si="0"/>
        <v>273</v>
      </c>
      <c r="AH10" s="24">
        <f t="shared" si="9"/>
        <v>0</v>
      </c>
      <c r="AI10" s="226" t="str">
        <f>IF(排放源鑑別!AO10&lt;&gt;"",IF(排放源鑑別!AO10&lt;&gt;0,排放源鑑別!AO10,""),"")</f>
        <v/>
      </c>
      <c r="AJ10" s="227"/>
      <c r="AK10" s="228"/>
      <c r="AL10" s="229"/>
      <c r="AM10" s="228"/>
      <c r="AN10" s="230"/>
      <c r="AO10" s="226"/>
      <c r="AP10" s="230"/>
      <c r="AQ10" s="25">
        <f t="shared" si="10"/>
        <v>3.3815</v>
      </c>
      <c r="AR10" s="26">
        <f t="shared" si="1"/>
        <v>3.1307344333569735E-2</v>
      </c>
    </row>
    <row r="11" spans="2:44" ht="13.5" x14ac:dyDescent="0.4">
      <c r="B11" s="9">
        <v>7</v>
      </c>
      <c r="C11" s="9" t="str">
        <f>IF(排放源鑑別!C11&lt;&gt;"",排放源鑑別!C11,"")</f>
        <v>蒸餘油(燃料油)</v>
      </c>
      <c r="D11" s="9" t="str">
        <f>排放源鑑別!D11</f>
        <v>類別1</v>
      </c>
      <c r="E11" s="9" t="str">
        <f>排放源鑑別!F11</f>
        <v>固定</v>
      </c>
      <c r="F11" s="10">
        <v>1</v>
      </c>
      <c r="G11" s="11" t="s">
        <v>478</v>
      </c>
      <c r="H11" s="33" t="s">
        <v>487</v>
      </c>
      <c r="I11" s="103" t="s">
        <v>488</v>
      </c>
      <c r="J11" s="11" t="s">
        <v>489</v>
      </c>
      <c r="K11" s="12" t="str">
        <f>IF(排放源鑑別!AE11&lt;&gt;"",IF(排放源鑑別!AE11&lt;&gt;0,排放源鑑別!AE11,""),"")</f>
        <v>CO2</v>
      </c>
      <c r="L11" s="13">
        <f>係數管理表!T27</f>
        <v>3.1109598720000005</v>
      </c>
      <c r="M11" s="14" t="s">
        <v>486</v>
      </c>
      <c r="N11" s="112" t="s">
        <v>490</v>
      </c>
      <c r="O11" s="12" t="s">
        <v>491</v>
      </c>
      <c r="P11" s="15">
        <f t="shared" si="2"/>
        <v>3.110959872</v>
      </c>
      <c r="Q11" s="12">
        <f t="shared" si="3"/>
        <v>1</v>
      </c>
      <c r="R11" s="102">
        <f t="shared" si="4"/>
        <v>3.1110000000000002</v>
      </c>
      <c r="S11" s="16" t="str">
        <f>IF(排放源鑑別!AF11&lt;&gt;"",IF(排放源鑑別!AF11&lt;&gt;0,排放源鑑別!AF11,""),"")</f>
        <v>CH4</v>
      </c>
      <c r="T11" s="17">
        <f>係數管理表!T26</f>
        <v>1.2057984000000003E-4</v>
      </c>
      <c r="U11" s="18" t="s">
        <v>486</v>
      </c>
      <c r="V11" s="104" t="s">
        <v>490</v>
      </c>
      <c r="W11" s="16" t="s">
        <v>491</v>
      </c>
      <c r="X11" s="19">
        <f t="shared" si="5"/>
        <v>1.205798E-4</v>
      </c>
      <c r="Y11" s="16">
        <f t="shared" si="6"/>
        <v>27.9</v>
      </c>
      <c r="Z11" s="19">
        <f t="shared" si="7"/>
        <v>2.7899999999999999E-3</v>
      </c>
      <c r="AA11" s="20" t="str">
        <f>IF(排放源鑑別!AG11&lt;&gt;"",IF(排放源鑑別!AG11&lt;&gt;0,排放源鑑別!AG11,""),"")</f>
        <v>N2O</v>
      </c>
      <c r="AB11" s="21">
        <f>係數管理表!T28</f>
        <v>2.4115968E-5</v>
      </c>
      <c r="AC11" s="22" t="s">
        <v>486</v>
      </c>
      <c r="AD11" s="105" t="s">
        <v>490</v>
      </c>
      <c r="AE11" s="22" t="s">
        <v>491</v>
      </c>
      <c r="AF11" s="24">
        <f t="shared" si="8"/>
        <v>2.4116000000000001E-5</v>
      </c>
      <c r="AG11" s="20">
        <f t="shared" si="0"/>
        <v>273</v>
      </c>
      <c r="AH11" s="24">
        <f t="shared" si="9"/>
        <v>0</v>
      </c>
      <c r="AI11" s="226" t="str">
        <f>IF(排放源鑑別!AO11&lt;&gt;"",IF(排放源鑑別!AO11&lt;&gt;0,排放源鑑別!AO11,""),"")</f>
        <v/>
      </c>
      <c r="AJ11" s="227"/>
      <c r="AK11" s="228"/>
      <c r="AL11" s="229"/>
      <c r="AM11" s="228"/>
      <c r="AN11" s="230"/>
      <c r="AO11" s="226"/>
      <c r="AP11" s="230"/>
      <c r="AQ11" s="25">
        <f t="shared" si="10"/>
        <v>3.1137999999999999</v>
      </c>
      <c r="AR11" s="26">
        <f t="shared" si="1"/>
        <v>2.882886552886868E-2</v>
      </c>
    </row>
    <row r="12" spans="2:44" ht="13.5" x14ac:dyDescent="0.4">
      <c r="B12" s="9">
        <v>8</v>
      </c>
      <c r="C12" s="9" t="str">
        <f>IF(排放源鑑別!C12&lt;&gt;"",排放源鑑別!C12,"")</f>
        <v>焦炭</v>
      </c>
      <c r="D12" s="9" t="str">
        <f>排放源鑑別!D12</f>
        <v>類別1</v>
      </c>
      <c r="E12" s="9" t="str">
        <f>排放源鑑別!F12</f>
        <v>固定</v>
      </c>
      <c r="F12" s="10">
        <v>1</v>
      </c>
      <c r="G12" s="11" t="s">
        <v>502</v>
      </c>
      <c r="H12" s="33" t="s">
        <v>487</v>
      </c>
      <c r="I12" s="103" t="s">
        <v>488</v>
      </c>
      <c r="J12" s="11" t="s">
        <v>489</v>
      </c>
      <c r="K12" s="12" t="str">
        <f>IF(排放源鑑別!AE12&lt;&gt;"",IF(排放源鑑別!AE12&lt;&gt;0,排放源鑑別!AE12,""),"")</f>
        <v>CO2</v>
      </c>
      <c r="L12" s="13">
        <f>係數管理表!T33</f>
        <v>3.1359132000000005</v>
      </c>
      <c r="M12" s="12" t="s">
        <v>503</v>
      </c>
      <c r="N12" s="112" t="s">
        <v>490</v>
      </c>
      <c r="O12" s="12" t="s">
        <v>491</v>
      </c>
      <c r="P12" s="15">
        <f t="shared" si="2"/>
        <v>3.1359132000000001</v>
      </c>
      <c r="Q12" s="12">
        <f t="shared" si="3"/>
        <v>1</v>
      </c>
      <c r="R12" s="102">
        <f t="shared" si="4"/>
        <v>3.1358999999999999</v>
      </c>
      <c r="S12" s="16" t="str">
        <f>IF(排放源鑑別!AF12&lt;&gt;"",IF(排放源鑑別!AF12&lt;&gt;0,排放源鑑別!AF12,""),"")</f>
        <v>CH4</v>
      </c>
      <c r="T12" s="17">
        <f>係數管理表!T32</f>
        <v>2.9307600000000004E-5</v>
      </c>
      <c r="U12" s="18" t="s">
        <v>503</v>
      </c>
      <c r="V12" s="104" t="s">
        <v>490</v>
      </c>
      <c r="W12" s="16" t="s">
        <v>491</v>
      </c>
      <c r="X12" s="19">
        <f t="shared" si="5"/>
        <v>2.93076E-5</v>
      </c>
      <c r="Y12" s="16">
        <f t="shared" si="6"/>
        <v>27.9</v>
      </c>
      <c r="Z12" s="19">
        <f t="shared" si="7"/>
        <v>0</v>
      </c>
      <c r="AA12" s="20" t="str">
        <f>IF(排放源鑑別!AG12&lt;&gt;"",IF(排放源鑑別!AG12&lt;&gt;0,排放源鑑別!AG12,""),"")</f>
        <v>N2O</v>
      </c>
      <c r="AB12" s="21">
        <f>係數管理表!T34</f>
        <v>4.3961400000000009E-5</v>
      </c>
      <c r="AC12" s="22" t="s">
        <v>503</v>
      </c>
      <c r="AD12" s="105" t="s">
        <v>490</v>
      </c>
      <c r="AE12" s="22" t="s">
        <v>491</v>
      </c>
      <c r="AF12" s="24">
        <f t="shared" si="8"/>
        <v>4.3961400000000002E-5</v>
      </c>
      <c r="AG12" s="20">
        <f t="shared" si="0"/>
        <v>273</v>
      </c>
      <c r="AH12" s="24">
        <f t="shared" si="9"/>
        <v>0</v>
      </c>
      <c r="AI12" s="226" t="str">
        <f>IF(排放源鑑別!AO12&lt;&gt;"",IF(排放源鑑別!AO12&lt;&gt;0,排放源鑑別!AO12,""),"")</f>
        <v/>
      </c>
      <c r="AJ12" s="227"/>
      <c r="AK12" s="228"/>
      <c r="AL12" s="229"/>
      <c r="AM12" s="228"/>
      <c r="AN12" s="230"/>
      <c r="AO12" s="226"/>
      <c r="AP12" s="230"/>
      <c r="AQ12" s="25">
        <f t="shared" si="10"/>
        <v>3.1358999999999999</v>
      </c>
      <c r="AR12" s="26">
        <f t="shared" si="1"/>
        <v>2.9033476591938882E-2</v>
      </c>
    </row>
    <row r="13" spans="2:44" ht="13.5" x14ac:dyDescent="0.4">
      <c r="B13" s="9">
        <v>9</v>
      </c>
      <c r="C13" s="9" t="str">
        <f>IF(排放源鑑別!C13&lt;&gt;"",排放源鑑別!C13,"")</f>
        <v>石油焦</v>
      </c>
      <c r="D13" s="9" t="str">
        <f>排放源鑑別!D13</f>
        <v>類別1</v>
      </c>
      <c r="E13" s="9" t="str">
        <f>排放源鑑別!F13</f>
        <v>固定</v>
      </c>
      <c r="F13" s="10">
        <v>1</v>
      </c>
      <c r="G13" s="11" t="s">
        <v>502</v>
      </c>
      <c r="H13" s="33" t="s">
        <v>487</v>
      </c>
      <c r="I13" s="103" t="s">
        <v>488</v>
      </c>
      <c r="J13" s="11" t="s">
        <v>489</v>
      </c>
      <c r="K13" s="12" t="str">
        <f>IF(排放源鑑別!AE13&lt;&gt;"",IF(排放源鑑別!AE13&lt;&gt;0,排放源鑑別!AE13,""),"")</f>
        <v>CO2</v>
      </c>
      <c r="L13" s="13">
        <f>係數管理表!T36</f>
        <v>3.3473466000000003</v>
      </c>
      <c r="M13" s="12" t="s">
        <v>503</v>
      </c>
      <c r="N13" s="112" t="s">
        <v>490</v>
      </c>
      <c r="O13" s="12" t="s">
        <v>491</v>
      </c>
      <c r="P13" s="15">
        <f t="shared" si="2"/>
        <v>3.3473465999999998</v>
      </c>
      <c r="Q13" s="12">
        <f t="shared" si="3"/>
        <v>1</v>
      </c>
      <c r="R13" s="102">
        <f t="shared" si="4"/>
        <v>3.3473000000000002</v>
      </c>
      <c r="S13" s="16" t="str">
        <f>IF(排放源鑑別!AF13&lt;&gt;"",IF(排放源鑑別!AF13&lt;&gt;0,排放源鑑別!AF13,""),"")</f>
        <v>CH4</v>
      </c>
      <c r="T13" s="17">
        <f>係數管理表!T35</f>
        <v>1.0299528000000002E-4</v>
      </c>
      <c r="U13" s="18" t="s">
        <v>503</v>
      </c>
      <c r="V13" s="104" t="s">
        <v>490</v>
      </c>
      <c r="W13" s="16" t="s">
        <v>491</v>
      </c>
      <c r="X13" s="19">
        <f t="shared" si="5"/>
        <v>1.0299530000000001E-4</v>
      </c>
      <c r="Y13" s="16">
        <f t="shared" si="6"/>
        <v>27.9</v>
      </c>
      <c r="Z13" s="19">
        <f t="shared" si="7"/>
        <v>2.7899999999999999E-3</v>
      </c>
      <c r="AA13" s="20" t="str">
        <f>IF(排放源鑑別!AG13&lt;&gt;"",IF(排放源鑑別!AG13&lt;&gt;0,排放源鑑別!AG13,""),"")</f>
        <v>N2O</v>
      </c>
      <c r="AB13" s="21">
        <f>係數管理表!T37</f>
        <v>2.0599056E-5</v>
      </c>
      <c r="AC13" s="22" t="s">
        <v>503</v>
      </c>
      <c r="AD13" s="105" t="s">
        <v>490</v>
      </c>
      <c r="AE13" s="22" t="s">
        <v>491</v>
      </c>
      <c r="AF13" s="24">
        <f t="shared" si="8"/>
        <v>2.0599100000000001E-5</v>
      </c>
      <c r="AG13" s="20">
        <f t="shared" si="0"/>
        <v>273</v>
      </c>
      <c r="AH13" s="24">
        <f t="shared" si="9"/>
        <v>0</v>
      </c>
      <c r="AI13" s="226" t="str">
        <f>IF(排放源鑑別!AO13&lt;&gt;"",IF(排放源鑑別!AO13&lt;&gt;0,排放源鑑別!AO13,""),"")</f>
        <v/>
      </c>
      <c r="AJ13" s="227"/>
      <c r="AK13" s="228"/>
      <c r="AL13" s="229"/>
      <c r="AM13" s="228"/>
      <c r="AN13" s="230"/>
      <c r="AO13" s="226"/>
      <c r="AP13" s="230"/>
      <c r="AQ13" s="25">
        <f t="shared" si="10"/>
        <v>3.3500999999999999</v>
      </c>
      <c r="AR13" s="26">
        <f t="shared" si="1"/>
        <v>3.1016629972465466E-2</v>
      </c>
    </row>
    <row r="14" spans="2:44" ht="13.5" x14ac:dyDescent="0.4">
      <c r="B14" s="9">
        <v>10</v>
      </c>
      <c r="C14" s="9" t="str">
        <f>IF(排放源鑑別!C14&lt;&gt;"",排放源鑑別!C14,"")</f>
        <v>煤球</v>
      </c>
      <c r="D14" s="9" t="str">
        <f>排放源鑑別!D14</f>
        <v>類別1</v>
      </c>
      <c r="E14" s="9" t="str">
        <f>排放源鑑別!F14</f>
        <v>固定</v>
      </c>
      <c r="F14" s="27">
        <v>1</v>
      </c>
      <c r="G14" s="11" t="s">
        <v>502</v>
      </c>
      <c r="H14" s="33" t="s">
        <v>487</v>
      </c>
      <c r="I14" s="103" t="s">
        <v>488</v>
      </c>
      <c r="J14" s="11" t="s">
        <v>489</v>
      </c>
      <c r="K14" s="12" t="str">
        <f>IF(排放源鑑別!AE14&lt;&gt;"",IF(排放源鑑別!AE14&lt;&gt;0,排放源鑑別!AE14,""),"")</f>
        <v>CO2</v>
      </c>
      <c r="L14" s="13">
        <f>係數管理表!T57</f>
        <v>1.5512094000000001</v>
      </c>
      <c r="M14" s="12" t="s">
        <v>503</v>
      </c>
      <c r="N14" s="112" t="s">
        <v>490</v>
      </c>
      <c r="O14" s="12" t="s">
        <v>491</v>
      </c>
      <c r="P14" s="15">
        <f t="shared" si="2"/>
        <v>1.5512094000000001</v>
      </c>
      <c r="Q14" s="12">
        <f t="shared" si="3"/>
        <v>1</v>
      </c>
      <c r="R14" s="102">
        <f t="shared" si="4"/>
        <v>1.5511999999999999</v>
      </c>
      <c r="S14" s="16" t="str">
        <f>IF(排放源鑑別!AF14&lt;&gt;"",IF(排放源鑑別!AF14&lt;&gt;0,排放源鑑別!AF14,""),"")</f>
        <v>CH4</v>
      </c>
      <c r="T14" s="17">
        <f>係數管理表!T56</f>
        <v>1.5909840000000001E-5</v>
      </c>
      <c r="U14" s="18" t="s">
        <v>503</v>
      </c>
      <c r="V14" s="104" t="s">
        <v>490</v>
      </c>
      <c r="W14" s="16" t="s">
        <v>491</v>
      </c>
      <c r="X14" s="19">
        <f t="shared" si="5"/>
        <v>1.5909800000000001E-5</v>
      </c>
      <c r="Y14" s="16">
        <f t="shared" si="6"/>
        <v>27.9</v>
      </c>
      <c r="Z14" s="19">
        <f t="shared" si="7"/>
        <v>0</v>
      </c>
      <c r="AA14" s="20" t="str">
        <f>IF(排放源鑑別!AG14&lt;&gt;"",IF(排放源鑑別!AG14&lt;&gt;0,排放源鑑別!AG14,""),"")</f>
        <v>N2O</v>
      </c>
      <c r="AB14" s="21">
        <f>係數管理表!T58</f>
        <v>2.3864760000000006E-5</v>
      </c>
      <c r="AC14" s="22" t="s">
        <v>503</v>
      </c>
      <c r="AD14" s="105" t="s">
        <v>490</v>
      </c>
      <c r="AE14" s="22" t="s">
        <v>491</v>
      </c>
      <c r="AF14" s="24">
        <f t="shared" si="8"/>
        <v>2.3864799999999999E-5</v>
      </c>
      <c r="AG14" s="20">
        <f t="shared" si="0"/>
        <v>273</v>
      </c>
      <c r="AH14" s="24">
        <f t="shared" si="9"/>
        <v>0</v>
      </c>
      <c r="AI14" s="226" t="str">
        <f>IF(排放源鑑別!AO14&lt;&gt;"",IF(排放源鑑別!AO14&lt;&gt;0,排放源鑑別!AO14,""),"")</f>
        <v/>
      </c>
      <c r="AJ14" s="227"/>
      <c r="AK14" s="228"/>
      <c r="AL14" s="229"/>
      <c r="AM14" s="228"/>
      <c r="AN14" s="230"/>
      <c r="AO14" s="226"/>
      <c r="AP14" s="230"/>
      <c r="AQ14" s="25">
        <f t="shared" si="10"/>
        <v>1.5511999999999999</v>
      </c>
      <c r="AR14" s="26">
        <f t="shared" si="1"/>
        <v>1.4361659775316685E-2</v>
      </c>
    </row>
    <row r="15" spans="2:44" ht="13.5" x14ac:dyDescent="0.4">
      <c r="B15" s="9">
        <v>11</v>
      </c>
      <c r="C15" s="9" t="str">
        <f>IF(排放源鑑別!C15&lt;&gt;"",排放源鑑別!C15,"")</f>
        <v>乙烷</v>
      </c>
      <c r="D15" s="9" t="str">
        <f>排放源鑑別!D15</f>
        <v>類別1</v>
      </c>
      <c r="E15" s="9" t="str">
        <f>排放源鑑別!F15</f>
        <v>固定</v>
      </c>
      <c r="F15" s="27">
        <v>1</v>
      </c>
      <c r="G15" s="11" t="s">
        <v>478</v>
      </c>
      <c r="H15" s="33" t="s">
        <v>487</v>
      </c>
      <c r="I15" s="103" t="s">
        <v>488</v>
      </c>
      <c r="J15" s="11" t="s">
        <v>489</v>
      </c>
      <c r="K15" s="12" t="str">
        <f>IF(排放源鑑別!AE15&lt;&gt;"",IF(排放源鑑別!AE15&lt;&gt;0,排放源鑑別!AE15,""),"")</f>
        <v>CO2</v>
      </c>
      <c r="L15" s="13">
        <f>係數管理表!T66</f>
        <v>2.8601872992000001</v>
      </c>
      <c r="M15" s="14" t="s">
        <v>486</v>
      </c>
      <c r="N15" s="112" t="s">
        <v>490</v>
      </c>
      <c r="O15" s="12" t="s">
        <v>491</v>
      </c>
      <c r="P15" s="15">
        <f t="shared" si="2"/>
        <v>2.8601872992000001</v>
      </c>
      <c r="Q15" s="12">
        <f t="shared" si="3"/>
        <v>1</v>
      </c>
      <c r="R15" s="102">
        <f t="shared" si="4"/>
        <v>2.8601999999999999</v>
      </c>
      <c r="S15" s="16" t="str">
        <f>IF(排放源鑑別!AF15&lt;&gt;"",IF(排放源鑑別!AF15&lt;&gt;0,排放源鑑別!AF15,""),"")</f>
        <v>CH4</v>
      </c>
      <c r="T15" s="17">
        <f>係數管理表!T65</f>
        <v>4.6431612000000004E-5</v>
      </c>
      <c r="U15" s="18" t="s">
        <v>486</v>
      </c>
      <c r="V15" s="104" t="s">
        <v>490</v>
      </c>
      <c r="W15" s="16" t="s">
        <v>491</v>
      </c>
      <c r="X15" s="19">
        <f t="shared" si="5"/>
        <v>4.6431599999999998E-5</v>
      </c>
      <c r="Y15" s="16">
        <f t="shared" si="6"/>
        <v>27.9</v>
      </c>
      <c r="Z15" s="19">
        <f t="shared" si="7"/>
        <v>0</v>
      </c>
      <c r="AA15" s="20" t="str">
        <f>IF(排放源鑑別!AG15&lt;&gt;"",IF(排放源鑑別!AG15&lt;&gt;0,排放源鑑別!AG15,""),"")</f>
        <v>N2O</v>
      </c>
      <c r="AB15" s="21">
        <f>係數管理表!T67</f>
        <v>4.6431612000000014E-6</v>
      </c>
      <c r="AC15" s="22" t="s">
        <v>486</v>
      </c>
      <c r="AD15" s="105" t="s">
        <v>490</v>
      </c>
      <c r="AE15" s="22" t="s">
        <v>491</v>
      </c>
      <c r="AF15" s="24">
        <f t="shared" si="8"/>
        <v>4.6431999999999999E-6</v>
      </c>
      <c r="AG15" s="20">
        <f t="shared" si="0"/>
        <v>273</v>
      </c>
      <c r="AH15" s="24">
        <f t="shared" si="9"/>
        <v>0</v>
      </c>
      <c r="AI15" s="226" t="str">
        <f>IF(排放源鑑別!AO15&lt;&gt;"",IF(排放源鑑別!AO15&lt;&gt;0,排放源鑑別!AO15,""),"")</f>
        <v/>
      </c>
      <c r="AJ15" s="227"/>
      <c r="AK15" s="228"/>
      <c r="AL15" s="229"/>
      <c r="AM15" s="228"/>
      <c r="AN15" s="230"/>
      <c r="AO15" s="226"/>
      <c r="AP15" s="230"/>
      <c r="AQ15" s="25">
        <f t="shared" si="10"/>
        <v>2.8601999999999999</v>
      </c>
      <c r="AR15" s="26">
        <f t="shared" si="1"/>
        <v>2.6480930434090243E-2</v>
      </c>
    </row>
    <row r="16" spans="2:44" ht="13.5" x14ac:dyDescent="0.4">
      <c r="B16" s="9">
        <v>12</v>
      </c>
      <c r="C16" s="9" t="str">
        <f>IF(排放源鑑別!C16&lt;&gt;"",排放源鑑別!C16,"")</f>
        <v>液化石油氣(LPG)</v>
      </c>
      <c r="D16" s="9" t="str">
        <f>排放源鑑別!D16</f>
        <v>類別1</v>
      </c>
      <c r="E16" s="9" t="str">
        <f>排放源鑑別!F16</f>
        <v>固定</v>
      </c>
      <c r="F16" s="27">
        <v>1</v>
      </c>
      <c r="G16" s="11" t="s">
        <v>478</v>
      </c>
      <c r="H16" s="33" t="s">
        <v>487</v>
      </c>
      <c r="I16" s="103" t="s">
        <v>488</v>
      </c>
      <c r="J16" s="11" t="s">
        <v>489</v>
      </c>
      <c r="K16" s="12" t="str">
        <f>IF(排放源鑑別!AE16&lt;&gt;"",IF(排放源鑑別!AE16&lt;&gt;0,排放源鑑別!AE16,""),"")</f>
        <v>CO2</v>
      </c>
      <c r="L16" s="13">
        <f>係數管理表!T69</f>
        <v>1.7528812758000003</v>
      </c>
      <c r="M16" s="14" t="s">
        <v>486</v>
      </c>
      <c r="N16" s="112" t="s">
        <v>490</v>
      </c>
      <c r="O16" s="12" t="s">
        <v>491</v>
      </c>
      <c r="P16" s="15">
        <f t="shared" si="2"/>
        <v>1.7528812758000001</v>
      </c>
      <c r="Q16" s="12">
        <f t="shared" si="3"/>
        <v>1</v>
      </c>
      <c r="R16" s="102">
        <f t="shared" si="4"/>
        <v>1.7528999999999999</v>
      </c>
      <c r="S16" s="16" t="str">
        <f>IF(排放源鑑別!AF16&lt;&gt;"",IF(排放源鑑別!AF16&lt;&gt;0,排放源鑑別!AF16,""),"")</f>
        <v>CH4</v>
      </c>
      <c r="T16" s="17">
        <f>係數管理表!T68</f>
        <v>2.7779418000000003E-5</v>
      </c>
      <c r="U16" s="18" t="s">
        <v>486</v>
      </c>
      <c r="V16" s="104" t="s">
        <v>490</v>
      </c>
      <c r="W16" s="16" t="s">
        <v>491</v>
      </c>
      <c r="X16" s="19">
        <f t="shared" si="5"/>
        <v>2.77794E-5</v>
      </c>
      <c r="Y16" s="16">
        <f t="shared" si="6"/>
        <v>27.9</v>
      </c>
      <c r="Z16" s="19">
        <f t="shared" si="7"/>
        <v>0</v>
      </c>
      <c r="AA16" s="20" t="str">
        <f>IF(排放源鑑別!AG16&lt;&gt;"",IF(排放源鑑別!AG16&lt;&gt;0,排放源鑑別!AG16,""),"")</f>
        <v>N2O</v>
      </c>
      <c r="AB16" s="21">
        <f>係數管理表!T70</f>
        <v>2.7779418000000006E-6</v>
      </c>
      <c r="AC16" s="22" t="s">
        <v>486</v>
      </c>
      <c r="AD16" s="105" t="s">
        <v>490</v>
      </c>
      <c r="AE16" s="22" t="s">
        <v>491</v>
      </c>
      <c r="AF16" s="24">
        <f t="shared" si="8"/>
        <v>2.7779000000000001E-6</v>
      </c>
      <c r="AG16" s="20">
        <f t="shared" si="0"/>
        <v>273</v>
      </c>
      <c r="AH16" s="24">
        <f t="shared" si="9"/>
        <v>0</v>
      </c>
      <c r="AI16" s="226" t="str">
        <f>IF(排放源鑑別!AO16&lt;&gt;"",IF(排放源鑑別!AO16&lt;&gt;0,排放源鑑別!AO16,""),"")</f>
        <v/>
      </c>
      <c r="AJ16" s="227"/>
      <c r="AK16" s="228"/>
      <c r="AL16" s="229"/>
      <c r="AM16" s="228"/>
      <c r="AN16" s="230"/>
      <c r="AO16" s="226"/>
      <c r="AP16" s="230"/>
      <c r="AQ16" s="25">
        <f t="shared" si="10"/>
        <v>1.7528999999999999</v>
      </c>
      <c r="AR16" s="26">
        <f t="shared" si="1"/>
        <v>1.6229082916550168E-2</v>
      </c>
    </row>
    <row r="17" spans="2:44" ht="14.5" customHeight="1" x14ac:dyDescent="0.4">
      <c r="B17" s="9">
        <v>13</v>
      </c>
      <c r="C17" s="9" t="str">
        <f>IF(排放源鑑別!C17&lt;&gt;"",排放源鑑別!C17,"")</f>
        <v>焦爐氣</v>
      </c>
      <c r="D17" s="9" t="str">
        <f>排放源鑑別!D17</f>
        <v>類別1</v>
      </c>
      <c r="E17" s="9" t="str">
        <f>排放源鑑別!F17</f>
        <v>固定</v>
      </c>
      <c r="F17" s="27">
        <v>1</v>
      </c>
      <c r="G17" s="11" t="s">
        <v>516</v>
      </c>
      <c r="H17" s="33" t="s">
        <v>487</v>
      </c>
      <c r="I17" s="103" t="s">
        <v>488</v>
      </c>
      <c r="J17" s="11" t="s">
        <v>489</v>
      </c>
      <c r="K17" s="12" t="str">
        <f>IF(排放源鑑別!AE17&lt;&gt;"",IF(排放源鑑別!AE17&lt;&gt;0,排放源鑑別!AE17,""),"")</f>
        <v>CO2</v>
      </c>
      <c r="L17" s="13">
        <f>係數管理表!T72</f>
        <v>0.78075446400000015</v>
      </c>
      <c r="M17" s="12" t="s">
        <v>515</v>
      </c>
      <c r="N17" s="112" t="s">
        <v>490</v>
      </c>
      <c r="O17" s="12" t="s">
        <v>491</v>
      </c>
      <c r="P17" s="15">
        <f t="shared" si="2"/>
        <v>0.78075446400000004</v>
      </c>
      <c r="Q17" s="12">
        <f t="shared" si="3"/>
        <v>1</v>
      </c>
      <c r="R17" s="102">
        <f t="shared" si="4"/>
        <v>0.78080000000000005</v>
      </c>
      <c r="S17" s="16" t="str">
        <f>IF(排放源鑑別!AF17&lt;&gt;"",IF(排放源鑑別!AF17&lt;&gt;0,排放源鑑別!AF17,""),"")</f>
        <v>CH4</v>
      </c>
      <c r="T17" s="17">
        <f>係數管理表!T71</f>
        <v>1.7584560000000002E-5</v>
      </c>
      <c r="U17" s="18" t="s">
        <v>515</v>
      </c>
      <c r="V17" s="104" t="s">
        <v>490</v>
      </c>
      <c r="W17" s="16" t="s">
        <v>491</v>
      </c>
      <c r="X17" s="19">
        <f t="shared" si="5"/>
        <v>1.7584600000000001E-5</v>
      </c>
      <c r="Y17" s="16">
        <f t="shared" si="6"/>
        <v>27.9</v>
      </c>
      <c r="Z17" s="19">
        <f t="shared" si="7"/>
        <v>0</v>
      </c>
      <c r="AA17" s="20" t="str">
        <f>IF(排放源鑑別!AG17&lt;&gt;"",IF(排放源鑑別!AG17&lt;&gt;0,排放源鑑別!AG17,""),"")</f>
        <v>N2O</v>
      </c>
      <c r="AB17" s="21">
        <f>係數管理表!T73</f>
        <v>1.7584560000000005E-6</v>
      </c>
      <c r="AC17" s="22" t="s">
        <v>515</v>
      </c>
      <c r="AD17" s="105" t="s">
        <v>490</v>
      </c>
      <c r="AE17" s="22" t="s">
        <v>491</v>
      </c>
      <c r="AF17" s="24">
        <f t="shared" si="8"/>
        <v>1.7585E-6</v>
      </c>
      <c r="AG17" s="20">
        <f>IF(AA17="CO2",1,IF(AA17="CH4",28,IF(AA17="N2O",273,IF(AA17="NF3",16100,""))))</f>
        <v>273</v>
      </c>
      <c r="AH17" s="24">
        <f t="shared" si="9"/>
        <v>0</v>
      </c>
      <c r="AI17" s="226" t="str">
        <f>IF(排放源鑑別!AO17&lt;&gt;"",IF(排放源鑑別!AO17&lt;&gt;0,排放源鑑別!AO17,""),"")</f>
        <v/>
      </c>
      <c r="AJ17" s="227"/>
      <c r="AK17" s="228"/>
      <c r="AL17" s="229"/>
      <c r="AM17" s="228"/>
      <c r="AN17" s="230"/>
      <c r="AO17" s="226"/>
      <c r="AP17" s="230"/>
      <c r="AQ17" s="25">
        <f t="shared" si="10"/>
        <v>0.78080000000000005</v>
      </c>
      <c r="AR17" s="26">
        <f t="shared" si="1"/>
        <v>7.2289736672042741E-3</v>
      </c>
    </row>
    <row r="18" spans="2:44" ht="13.5" x14ac:dyDescent="0.4">
      <c r="B18" s="9">
        <v>14</v>
      </c>
      <c r="C18" s="9" t="str">
        <f>IF(排放源鑑別!C18&lt;&gt;"",排放源鑑別!C18,"")</f>
        <v>煉油氣</v>
      </c>
      <c r="D18" s="9" t="str">
        <f>排放源鑑別!D18</f>
        <v>類別1</v>
      </c>
      <c r="E18" s="9" t="str">
        <f>排放源鑑別!F18</f>
        <v>固定</v>
      </c>
      <c r="F18" s="27">
        <v>1</v>
      </c>
      <c r="G18" s="11" t="s">
        <v>516</v>
      </c>
      <c r="H18" s="33" t="s">
        <v>487</v>
      </c>
      <c r="I18" s="103" t="s">
        <v>488</v>
      </c>
      <c r="J18" s="11" t="s">
        <v>489</v>
      </c>
      <c r="K18" s="12" t="str">
        <f>IF(排放源鑑別!AE18&lt;&gt;"",IF(排放源鑑別!AE18&lt;&gt;0,排放源鑑別!AE18,""),"")</f>
        <v>CO2</v>
      </c>
      <c r="L18" s="13">
        <f>係數管理表!T75</f>
        <v>2.1704371200000003</v>
      </c>
      <c r="M18" s="12" t="s">
        <v>515</v>
      </c>
      <c r="N18" s="112" t="s">
        <v>490</v>
      </c>
      <c r="O18" s="12" t="s">
        <v>491</v>
      </c>
      <c r="P18" s="15">
        <f>IF(L18&lt;&gt;"",ROUND(F18,4)*ROUND(L18,10),"")</f>
        <v>2.1704371199999999</v>
      </c>
      <c r="Q18" s="12">
        <f t="shared" si="3"/>
        <v>1</v>
      </c>
      <c r="R18" s="102">
        <f t="shared" si="4"/>
        <v>2.1703999999999999</v>
      </c>
      <c r="S18" s="16" t="str">
        <f>IF(排放源鑑別!AF18&lt;&gt;"",IF(排放源鑑別!AF18&lt;&gt;0,排放源鑑別!AF18,""),"")</f>
        <v>CH4</v>
      </c>
      <c r="T18" s="17">
        <f>係數管理表!T74</f>
        <v>3.7681200000000001E-5</v>
      </c>
      <c r="U18" s="18" t="s">
        <v>515</v>
      </c>
      <c r="V18" s="104" t="s">
        <v>490</v>
      </c>
      <c r="W18" s="16" t="s">
        <v>491</v>
      </c>
      <c r="X18" s="19">
        <f t="shared" si="5"/>
        <v>3.7681200000000001E-5</v>
      </c>
      <c r="Y18" s="16">
        <f t="shared" si="6"/>
        <v>27.9</v>
      </c>
      <c r="Z18" s="19">
        <f t="shared" si="7"/>
        <v>0</v>
      </c>
      <c r="AA18" s="20" t="str">
        <f>IF(排放源鑑別!AG18&lt;&gt;"",IF(排放源鑑別!AG18&lt;&gt;0,排放源鑑別!AG18,""),"")</f>
        <v>N2O</v>
      </c>
      <c r="AB18" s="21">
        <f>係數管理表!T76</f>
        <v>3.7681200000000009E-6</v>
      </c>
      <c r="AC18" s="22" t="s">
        <v>515</v>
      </c>
      <c r="AD18" s="105" t="s">
        <v>490</v>
      </c>
      <c r="AE18" s="22" t="s">
        <v>491</v>
      </c>
      <c r="AF18" s="24">
        <f t="shared" si="8"/>
        <v>3.7681E-6</v>
      </c>
      <c r="AG18" s="20">
        <f t="shared" ref="AG18:AG54" si="12">IF(AA18="CO2",1,IF(AA18="CH4",28,IF(AA18="N2O",273,IF(AA18="NF3",16100,""))))</f>
        <v>273</v>
      </c>
      <c r="AH18" s="24">
        <f t="shared" si="9"/>
        <v>0</v>
      </c>
      <c r="AI18" s="226" t="str">
        <f>IF(排放源鑑別!AO18&lt;&gt;"",IF(排放源鑑別!AO18&lt;&gt;0,排放源鑑別!AO18,""),"")</f>
        <v/>
      </c>
      <c r="AJ18" s="227"/>
      <c r="AK18" s="228"/>
      <c r="AL18" s="229"/>
      <c r="AM18" s="228"/>
      <c r="AN18" s="230"/>
      <c r="AO18" s="226"/>
      <c r="AP18" s="230"/>
      <c r="AQ18" s="25">
        <f t="shared" si="10"/>
        <v>2.1703999999999999</v>
      </c>
      <c r="AR18" s="26">
        <f t="shared" si="1"/>
        <v>2.0094472908939745E-2</v>
      </c>
    </row>
    <row r="19" spans="2:44" ht="13.5" x14ac:dyDescent="0.4">
      <c r="B19" s="9">
        <v>15</v>
      </c>
      <c r="C19" s="9" t="str">
        <f>IF(排放源鑑別!C19&lt;&gt;"",排放源鑑別!C19,"")</f>
        <v>高爐氣</v>
      </c>
      <c r="D19" s="9" t="str">
        <f>排放源鑑別!D19</f>
        <v>類別1</v>
      </c>
      <c r="E19" s="9" t="str">
        <f>排放源鑑別!F19</f>
        <v>固定</v>
      </c>
      <c r="F19" s="27">
        <v>1</v>
      </c>
      <c r="G19" s="11" t="s">
        <v>516</v>
      </c>
      <c r="H19" s="33" t="s">
        <v>487</v>
      </c>
      <c r="I19" s="103" t="s">
        <v>488</v>
      </c>
      <c r="J19" s="11" t="s">
        <v>489</v>
      </c>
      <c r="K19" s="12" t="str">
        <f>IF(排放源鑑別!AE19&lt;&gt;"",IF(排放源鑑別!AE19&lt;&gt;0,排放源鑑別!AE19,""),"")</f>
        <v>CO2</v>
      </c>
      <c r="L19" s="13">
        <f>係數管理表!T78</f>
        <v>0.84581733600000009</v>
      </c>
      <c r="M19" s="12" t="s">
        <v>515</v>
      </c>
      <c r="N19" s="112" t="s">
        <v>490</v>
      </c>
      <c r="O19" s="12" t="s">
        <v>491</v>
      </c>
      <c r="P19" s="15">
        <f>IF(L19&lt;&gt;"",ROUND(F19,4)*ROUND(L19,10),"")</f>
        <v>0.84581733599999998</v>
      </c>
      <c r="Q19" s="12">
        <f t="shared" si="3"/>
        <v>1</v>
      </c>
      <c r="R19" s="102">
        <f t="shared" si="4"/>
        <v>0.8458</v>
      </c>
      <c r="S19" s="16" t="str">
        <f>IF(排放源鑑別!AF19&lt;&gt;"",IF(排放源鑑別!AF19&lt;&gt;0,排放源鑑別!AF19,""),"")</f>
        <v>CH4</v>
      </c>
      <c r="T19" s="17">
        <f>係數管理表!T77</f>
        <v>3.2531436000000004E-6</v>
      </c>
      <c r="U19" s="18" t="s">
        <v>515</v>
      </c>
      <c r="V19" s="104" t="s">
        <v>490</v>
      </c>
      <c r="W19" s="16" t="s">
        <v>491</v>
      </c>
      <c r="X19" s="19">
        <f t="shared" si="5"/>
        <v>3.2530999999999998E-6</v>
      </c>
      <c r="Y19" s="16">
        <f t="shared" si="6"/>
        <v>27.9</v>
      </c>
      <c r="Z19" s="19">
        <f t="shared" si="7"/>
        <v>0</v>
      </c>
      <c r="AA19" s="20" t="str">
        <f>IF(排放源鑑別!AG19&lt;&gt;"",IF(排放源鑑別!AG19&lt;&gt;0,排放源鑑別!AG19,""),"")</f>
        <v>N2O</v>
      </c>
      <c r="AB19" s="21">
        <f>係數管理表!T79</f>
        <v>3.2531436000000009E-7</v>
      </c>
      <c r="AC19" s="22" t="s">
        <v>515</v>
      </c>
      <c r="AD19" s="105" t="s">
        <v>490</v>
      </c>
      <c r="AE19" s="22" t="s">
        <v>491</v>
      </c>
      <c r="AF19" s="24">
        <f t="shared" si="8"/>
        <v>3.2529999999999998E-7</v>
      </c>
      <c r="AG19" s="20">
        <f t="shared" si="12"/>
        <v>273</v>
      </c>
      <c r="AH19" s="24">
        <f t="shared" si="9"/>
        <v>0</v>
      </c>
      <c r="AI19" s="226" t="str">
        <f>IF(排放源鑑別!AO19&lt;&gt;"",IF(排放源鑑別!AO19&lt;&gt;0,排放源鑑別!AO19,""),"")</f>
        <v/>
      </c>
      <c r="AJ19" s="227"/>
      <c r="AK19" s="228"/>
      <c r="AL19" s="229"/>
      <c r="AM19" s="228"/>
      <c r="AN19" s="230"/>
      <c r="AO19" s="226"/>
      <c r="AP19" s="230"/>
      <c r="AQ19" s="25">
        <f t="shared" si="10"/>
        <v>0.8458</v>
      </c>
      <c r="AR19" s="26">
        <f t="shared" si="1"/>
        <v>7.8307709115283987E-3</v>
      </c>
    </row>
    <row r="20" spans="2:44" ht="13.5" x14ac:dyDescent="0.4">
      <c r="B20" s="9">
        <v>16</v>
      </c>
      <c r="C20" s="9" t="str">
        <f>IF(排放源鑑別!C20&lt;&gt;"",排放源鑑別!C20,"")</f>
        <v>原油</v>
      </c>
      <c r="D20" s="9" t="str">
        <f>排放源鑑別!D20</f>
        <v>類別1</v>
      </c>
      <c r="E20" s="9" t="str">
        <f>排放源鑑別!F20</f>
        <v>固定</v>
      </c>
      <c r="F20" s="27">
        <v>1</v>
      </c>
      <c r="G20" s="11" t="s">
        <v>478</v>
      </c>
      <c r="H20" s="33" t="s">
        <v>487</v>
      </c>
      <c r="I20" s="103" t="s">
        <v>488</v>
      </c>
      <c r="J20" s="11" t="s">
        <v>489</v>
      </c>
      <c r="K20" s="12" t="str">
        <f>IF(排放源鑑別!AE20&lt;&gt;"",IF(排放源鑑別!AE20&lt;&gt;0,排放源鑑別!AE20,""),"")</f>
        <v>CO2</v>
      </c>
      <c r="L20" s="13">
        <f>係數管理表!T81</f>
        <v>2.7620319600000003</v>
      </c>
      <c r="M20" s="14" t="s">
        <v>486</v>
      </c>
      <c r="N20" s="112" t="s">
        <v>490</v>
      </c>
      <c r="O20" s="12" t="s">
        <v>491</v>
      </c>
      <c r="P20" s="15">
        <f t="shared" si="2"/>
        <v>2.7620319599999998</v>
      </c>
      <c r="Q20" s="12">
        <f t="shared" si="3"/>
        <v>1</v>
      </c>
      <c r="R20" s="102">
        <f t="shared" si="4"/>
        <v>2.762</v>
      </c>
      <c r="S20" s="16" t="str">
        <f>IF(排放源鑑別!AF20&lt;&gt;"",IF(排放源鑑別!AF20&lt;&gt;0,排放源鑑別!AF20,""),"")</f>
        <v>CH4</v>
      </c>
      <c r="T20" s="17">
        <f>係數管理表!T80</f>
        <v>1.1304360000000002E-4</v>
      </c>
      <c r="U20" s="18" t="s">
        <v>486</v>
      </c>
      <c r="V20" s="104" t="s">
        <v>490</v>
      </c>
      <c r="W20" s="16" t="s">
        <v>491</v>
      </c>
      <c r="X20" s="19">
        <f t="shared" si="5"/>
        <v>1.130436E-4</v>
      </c>
      <c r="Y20" s="16">
        <f t="shared" si="6"/>
        <v>27.9</v>
      </c>
      <c r="Z20" s="19">
        <f t="shared" si="7"/>
        <v>2.7899999999999999E-3</v>
      </c>
      <c r="AA20" s="20" t="str">
        <f>IF(排放源鑑別!AG20&lt;&gt;"",IF(排放源鑑別!AG20&lt;&gt;0,排放源鑑別!AG20,""),"")</f>
        <v>N2O</v>
      </c>
      <c r="AB20" s="21">
        <f>係數管理表!T82</f>
        <v>2.2608719999999997E-5</v>
      </c>
      <c r="AC20" s="22" t="s">
        <v>486</v>
      </c>
      <c r="AD20" s="105" t="s">
        <v>490</v>
      </c>
      <c r="AE20" s="22" t="s">
        <v>491</v>
      </c>
      <c r="AF20" s="24">
        <f t="shared" si="8"/>
        <v>2.2608699999999999E-5</v>
      </c>
      <c r="AG20" s="20">
        <f t="shared" si="12"/>
        <v>273</v>
      </c>
      <c r="AH20" s="24">
        <f t="shared" si="9"/>
        <v>0</v>
      </c>
      <c r="AI20" s="226" t="str">
        <f>IF(排放源鑑別!AO20&lt;&gt;"",IF(排放源鑑別!AO20&lt;&gt;0,排放源鑑別!AO20,""),"")</f>
        <v/>
      </c>
      <c r="AJ20" s="227"/>
      <c r="AK20" s="228"/>
      <c r="AL20" s="229"/>
      <c r="AM20" s="228"/>
      <c r="AN20" s="230"/>
      <c r="AO20" s="226"/>
      <c r="AP20" s="230"/>
      <c r="AQ20" s="25">
        <f t="shared" si="10"/>
        <v>2.7648000000000001</v>
      </c>
      <c r="AR20" s="26">
        <f t="shared" si="1"/>
        <v>2.5597677247805296E-2</v>
      </c>
    </row>
    <row r="21" spans="2:44" ht="13.5" x14ac:dyDescent="0.4">
      <c r="B21" s="9">
        <v>17</v>
      </c>
      <c r="C21" s="9" t="str">
        <f>IF(排放源鑑別!C21&lt;&gt;"",排放源鑑別!C21,"")</f>
        <v>天然氣</v>
      </c>
      <c r="D21" s="9" t="str">
        <f>排放源鑑別!D21</f>
        <v>類別1</v>
      </c>
      <c r="E21" s="9" t="str">
        <f>排放源鑑別!F21</f>
        <v>固定</v>
      </c>
      <c r="F21" s="27">
        <v>1</v>
      </c>
      <c r="G21" s="11" t="s">
        <v>516</v>
      </c>
      <c r="H21" s="33" t="s">
        <v>487</v>
      </c>
      <c r="I21" s="103" t="s">
        <v>488</v>
      </c>
      <c r="J21" s="11" t="s">
        <v>489</v>
      </c>
      <c r="K21" s="12" t="str">
        <f>IF(排放源鑑別!AE21&lt;&gt;"",IF(排放源鑑別!AE21&lt;&gt;0,排放源鑑別!AE21,""),"")</f>
        <v>CO2</v>
      </c>
      <c r="L21" s="13">
        <f>係數管理表!T84</f>
        <v>1.8790358400000002</v>
      </c>
      <c r="M21" s="12" t="s">
        <v>515</v>
      </c>
      <c r="N21" s="112" t="s">
        <v>490</v>
      </c>
      <c r="O21" s="12" t="s">
        <v>491</v>
      </c>
      <c r="P21" s="15">
        <f t="shared" si="2"/>
        <v>1.87903584</v>
      </c>
      <c r="Q21" s="12">
        <f t="shared" si="3"/>
        <v>1</v>
      </c>
      <c r="R21" s="102">
        <f t="shared" si="4"/>
        <v>1.879</v>
      </c>
      <c r="S21" s="16" t="str">
        <f>IF(排放源鑑別!AF21&lt;&gt;"",IF(排放源鑑別!AF21&lt;&gt;0,排放源鑑別!AF21,""),"")</f>
        <v>CH4</v>
      </c>
      <c r="T21" s="17">
        <f>係數管理表!T83</f>
        <v>3.3494400000000002E-5</v>
      </c>
      <c r="U21" s="18" t="s">
        <v>515</v>
      </c>
      <c r="V21" s="104" t="s">
        <v>490</v>
      </c>
      <c r="W21" s="16" t="s">
        <v>491</v>
      </c>
      <c r="X21" s="19">
        <f t="shared" si="5"/>
        <v>3.3494400000000002E-5</v>
      </c>
      <c r="Y21" s="16">
        <f t="shared" si="6"/>
        <v>27.9</v>
      </c>
      <c r="Z21" s="19">
        <f t="shared" si="7"/>
        <v>0</v>
      </c>
      <c r="AA21" s="20" t="str">
        <f>IF(排放源鑑別!AG21&lt;&gt;"",IF(排放源鑑別!AG21&lt;&gt;0,排放源鑑別!AG21,""),"")</f>
        <v>N2O</v>
      </c>
      <c r="AB21" s="21">
        <f>係數管理表!T85</f>
        <v>3.3494400000000007E-6</v>
      </c>
      <c r="AC21" s="22" t="s">
        <v>515</v>
      </c>
      <c r="AD21" s="105" t="s">
        <v>490</v>
      </c>
      <c r="AE21" s="22" t="s">
        <v>491</v>
      </c>
      <c r="AF21" s="24">
        <f t="shared" si="8"/>
        <v>3.3494000000000001E-6</v>
      </c>
      <c r="AG21" s="20">
        <f t="shared" si="12"/>
        <v>273</v>
      </c>
      <c r="AH21" s="24">
        <f t="shared" si="9"/>
        <v>0</v>
      </c>
      <c r="AI21" s="226" t="str">
        <f>IF(排放源鑑別!AO21&lt;&gt;"",IF(排放源鑑別!AO21&lt;&gt;0,排放源鑑別!AO21,""),"")</f>
        <v/>
      </c>
      <c r="AJ21" s="227"/>
      <c r="AK21" s="228"/>
      <c r="AL21" s="229"/>
      <c r="AM21" s="228"/>
      <c r="AN21" s="230"/>
      <c r="AO21" s="226"/>
      <c r="AP21" s="230"/>
      <c r="AQ21" s="25">
        <f t="shared" si="10"/>
        <v>1.879</v>
      </c>
      <c r="AR21" s="26">
        <f t="shared" si="1"/>
        <v>1.7396569570538971E-2</v>
      </c>
    </row>
    <row r="22" spans="2:44" ht="13.5" x14ac:dyDescent="0.4">
      <c r="B22" s="9">
        <v>18</v>
      </c>
      <c r="C22" s="9" t="str">
        <f>IF(排放源鑑別!C22&lt;&gt;"",排放源鑑別!C22,"")</f>
        <v>天然氣凝結油(NGLs)</v>
      </c>
      <c r="D22" s="9" t="str">
        <f>排放源鑑別!D22</f>
        <v>類別1</v>
      </c>
      <c r="E22" s="9" t="str">
        <f>排放源鑑別!F22</f>
        <v>固定</v>
      </c>
      <c r="F22" s="27">
        <v>1</v>
      </c>
      <c r="G22" s="11" t="s">
        <v>516</v>
      </c>
      <c r="H22" s="33" t="s">
        <v>487</v>
      </c>
      <c r="I22" s="103" t="s">
        <v>488</v>
      </c>
      <c r="J22" s="11" t="s">
        <v>489</v>
      </c>
      <c r="K22" s="12" t="str">
        <f>IF(排放源鑑別!AE22&lt;&gt;"",IF(排放源鑑別!AE22&lt;&gt;0,排放源鑑別!AE22,""),"")</f>
        <v>CO2</v>
      </c>
      <c r="L22" s="13">
        <f>係數管理表!T87</f>
        <v>2.8395246038400006</v>
      </c>
      <c r="M22" s="12" t="s">
        <v>515</v>
      </c>
      <c r="N22" s="112" t="s">
        <v>490</v>
      </c>
      <c r="O22" s="12" t="s">
        <v>491</v>
      </c>
      <c r="P22" s="15">
        <f t="shared" si="2"/>
        <v>2.8395246038000002</v>
      </c>
      <c r="Q22" s="12">
        <f t="shared" si="3"/>
        <v>1</v>
      </c>
      <c r="R22" s="102">
        <f t="shared" si="4"/>
        <v>2.8395000000000001</v>
      </c>
      <c r="S22" s="16" t="str">
        <f>IF(排放源鑑別!AF22&lt;&gt;"",IF(排放源鑑別!AF22&lt;&gt;0,排放源鑑別!AF22,""),"")</f>
        <v>CH4</v>
      </c>
      <c r="T22" s="17">
        <f>係數管理表!T86</f>
        <v>1.3268806560000004E-4</v>
      </c>
      <c r="U22" s="18" t="s">
        <v>515</v>
      </c>
      <c r="V22" s="104" t="s">
        <v>490</v>
      </c>
      <c r="W22" s="16" t="s">
        <v>491</v>
      </c>
      <c r="X22" s="19">
        <f t="shared" si="5"/>
        <v>1.3268810000000001E-4</v>
      </c>
      <c r="Y22" s="16">
        <f t="shared" si="6"/>
        <v>27.9</v>
      </c>
      <c r="Z22" s="19">
        <f t="shared" si="7"/>
        <v>2.7899999999999999E-3</v>
      </c>
      <c r="AA22" s="20" t="str">
        <f>IF(排放源鑑別!AG22&lt;&gt;"",IF(排放源鑑別!AG22&lt;&gt;0,排放源鑑別!AG22,""),"")</f>
        <v>N2O</v>
      </c>
      <c r="AB22" s="21">
        <f>係數管理表!T88</f>
        <v>2.6537613119999998E-5</v>
      </c>
      <c r="AC22" s="22" t="s">
        <v>515</v>
      </c>
      <c r="AD22" s="105" t="s">
        <v>490</v>
      </c>
      <c r="AE22" s="22" t="s">
        <v>491</v>
      </c>
      <c r="AF22" s="24">
        <f t="shared" si="8"/>
        <v>2.6537600000000002E-5</v>
      </c>
      <c r="AG22" s="20">
        <f t="shared" si="12"/>
        <v>273</v>
      </c>
      <c r="AH22" s="24">
        <f t="shared" si="9"/>
        <v>0</v>
      </c>
      <c r="AI22" s="226" t="str">
        <f>IF(排放源鑑別!AO22&lt;&gt;"",IF(排放源鑑別!AO22&lt;&gt;0,排放源鑑別!AO22,""),"")</f>
        <v/>
      </c>
      <c r="AJ22" s="227"/>
      <c r="AK22" s="228"/>
      <c r="AL22" s="229"/>
      <c r="AM22" s="228"/>
      <c r="AN22" s="230"/>
      <c r="AO22" s="226"/>
      <c r="AP22" s="230"/>
      <c r="AQ22" s="25">
        <f t="shared" si="10"/>
        <v>2.8422999999999998</v>
      </c>
      <c r="AR22" s="26">
        <f t="shared" si="1"/>
        <v>2.6315204731422522E-2</v>
      </c>
    </row>
    <row r="23" spans="2:44" ht="13.5" x14ac:dyDescent="0.4">
      <c r="B23" s="9">
        <v>19</v>
      </c>
      <c r="C23" s="9" t="str">
        <f>IF(排放源鑑別!C23&lt;&gt;"",排放源鑑別!C23,"")</f>
        <v>泥煤</v>
      </c>
      <c r="D23" s="9" t="str">
        <f>排放源鑑別!D23</f>
        <v>類別1</v>
      </c>
      <c r="E23" s="9" t="str">
        <f>排放源鑑別!F23</f>
        <v>固定</v>
      </c>
      <c r="F23" s="10">
        <v>1</v>
      </c>
      <c r="G23" s="11" t="s">
        <v>502</v>
      </c>
      <c r="H23" s="33" t="s">
        <v>487</v>
      </c>
      <c r="I23" s="103" t="s">
        <v>488</v>
      </c>
      <c r="J23" s="11" t="s">
        <v>489</v>
      </c>
      <c r="K23" s="12" t="str">
        <f>IF(排放源鑑別!AE23&lt;&gt;"",IF(排放源鑑別!AE23&lt;&gt;0,排放源鑑別!AE23,""),"")</f>
        <v>CO2</v>
      </c>
      <c r="L23" s="13">
        <f>係數管理表!T90</f>
        <v>1.0353872664000001</v>
      </c>
      <c r="M23" s="12" t="s">
        <v>503</v>
      </c>
      <c r="N23" s="112" t="s">
        <v>490</v>
      </c>
      <c r="O23" s="12" t="s">
        <v>491</v>
      </c>
      <c r="P23" s="15">
        <f t="shared" si="2"/>
        <v>1.0353872663999999</v>
      </c>
      <c r="Q23" s="12">
        <f t="shared" si="3"/>
        <v>1</v>
      </c>
      <c r="R23" s="102">
        <f t="shared" si="4"/>
        <v>1.0354000000000001</v>
      </c>
      <c r="S23" s="16" t="str">
        <f>IF(排放源鑑別!AF23&lt;&gt;"",IF(排放源鑑別!AF23&lt;&gt;0,排放源鑑別!AF23,""),"")</f>
        <v>CH4</v>
      </c>
      <c r="T23" s="17">
        <f>係數管理表!T89</f>
        <v>9.7678044000000006E-6</v>
      </c>
      <c r="U23" s="18" t="s">
        <v>503</v>
      </c>
      <c r="V23" s="104" t="s">
        <v>490</v>
      </c>
      <c r="W23" s="16" t="s">
        <v>491</v>
      </c>
      <c r="X23" s="19">
        <f t="shared" si="5"/>
        <v>9.7677999999999999E-6</v>
      </c>
      <c r="Y23" s="16">
        <f t="shared" si="6"/>
        <v>27.9</v>
      </c>
      <c r="Z23" s="19">
        <f t="shared" si="7"/>
        <v>0</v>
      </c>
      <c r="AA23" s="20" t="str">
        <f>IF(排放源鑑別!AG23&lt;&gt;"",IF(排放源鑑別!AG23&lt;&gt;0,排放源鑑別!AG23,""),"")</f>
        <v>N2O</v>
      </c>
      <c r="AB23" s="21">
        <f>係數管理表!T91</f>
        <v>1.4651706600000003E-5</v>
      </c>
      <c r="AC23" s="22" t="s">
        <v>503</v>
      </c>
      <c r="AD23" s="105" t="s">
        <v>490</v>
      </c>
      <c r="AE23" s="22" t="s">
        <v>491</v>
      </c>
      <c r="AF23" s="24">
        <f t="shared" si="8"/>
        <v>1.4651700000000001E-5</v>
      </c>
      <c r="AG23" s="20">
        <f t="shared" si="12"/>
        <v>273</v>
      </c>
      <c r="AH23" s="24">
        <f t="shared" si="9"/>
        <v>0</v>
      </c>
      <c r="AI23" s="226" t="str">
        <f>IF(排放源鑑別!AO23&lt;&gt;"",IF(排放源鑑別!AO23&lt;&gt;0,排放源鑑別!AO23,""),"")</f>
        <v/>
      </c>
      <c r="AJ23" s="227"/>
      <c r="AK23" s="228"/>
      <c r="AL23" s="229"/>
      <c r="AM23" s="228"/>
      <c r="AN23" s="230"/>
      <c r="AO23" s="226"/>
      <c r="AP23" s="230"/>
      <c r="AQ23" s="25">
        <f t="shared" si="10"/>
        <v>1.0354000000000001</v>
      </c>
      <c r="AR23" s="26">
        <f t="shared" si="1"/>
        <v>9.5861671811261588E-3</v>
      </c>
    </row>
    <row r="24" spans="2:44" ht="13.5" x14ac:dyDescent="0.4">
      <c r="B24" s="9">
        <v>20</v>
      </c>
      <c r="C24" s="9" t="str">
        <f>IF(排放源鑑別!C24&lt;&gt;"",排放源鑑別!C24,"")</f>
        <v>褐煤</v>
      </c>
      <c r="D24" s="9" t="str">
        <f>排放源鑑別!D24</f>
        <v>類別1</v>
      </c>
      <c r="E24" s="9" t="str">
        <f>排放源鑑別!F24</f>
        <v>固定</v>
      </c>
      <c r="F24" s="10">
        <v>1</v>
      </c>
      <c r="G24" s="11" t="s">
        <v>502</v>
      </c>
      <c r="H24" s="33" t="s">
        <v>487</v>
      </c>
      <c r="I24" s="103" t="s">
        <v>488</v>
      </c>
      <c r="J24" s="11" t="s">
        <v>489</v>
      </c>
      <c r="K24" s="12" t="str">
        <f>IF(排放源鑑別!AE24&lt;&gt;"",IF(排放源鑑別!AE24&lt;&gt;0,排放源鑑別!AE24,""),"")</f>
        <v>CO2</v>
      </c>
      <c r="L24" s="13">
        <f>係數管理表!T93</f>
        <v>1.2026331792</v>
      </c>
      <c r="M24" s="12" t="s">
        <v>503</v>
      </c>
      <c r="N24" s="112" t="s">
        <v>490</v>
      </c>
      <c r="O24" s="12" t="s">
        <v>491</v>
      </c>
      <c r="P24" s="15">
        <f t="shared" si="2"/>
        <v>1.2026331792</v>
      </c>
      <c r="Q24" s="12">
        <f t="shared" si="3"/>
        <v>1</v>
      </c>
      <c r="R24" s="102">
        <f t="shared" si="4"/>
        <v>1.2025999999999999</v>
      </c>
      <c r="S24" s="16" t="str">
        <f>IF(排放源鑑別!AF24&lt;&gt;"",IF(排放源鑑別!AF24&lt;&gt;0,排放源鑑別!AF24,""),"")</f>
        <v>CH4</v>
      </c>
      <c r="T24" s="17">
        <f>係數管理表!T92</f>
        <v>1.1907259200000001E-5</v>
      </c>
      <c r="U24" s="18" t="s">
        <v>503</v>
      </c>
      <c r="V24" s="104" t="s">
        <v>490</v>
      </c>
      <c r="W24" s="16" t="s">
        <v>491</v>
      </c>
      <c r="X24" s="19">
        <f t="shared" si="5"/>
        <v>1.19073E-5</v>
      </c>
      <c r="Y24" s="16">
        <f t="shared" si="6"/>
        <v>27.9</v>
      </c>
      <c r="Z24" s="19">
        <f t="shared" si="7"/>
        <v>0</v>
      </c>
      <c r="AA24" s="20" t="str">
        <f>IF(排放源鑑別!AG24&lt;&gt;"",IF(排放源鑑別!AG24&lt;&gt;0,排放源鑑別!AG24,""),"")</f>
        <v>N2O</v>
      </c>
      <c r="AB24" s="21">
        <f>係數管理表!T94</f>
        <v>1.7860888800000004E-5</v>
      </c>
      <c r="AC24" s="22" t="s">
        <v>503</v>
      </c>
      <c r="AD24" s="105" t="s">
        <v>490</v>
      </c>
      <c r="AE24" s="22" t="s">
        <v>491</v>
      </c>
      <c r="AF24" s="24">
        <f t="shared" si="8"/>
        <v>1.78609E-5</v>
      </c>
      <c r="AG24" s="20">
        <f t="shared" si="12"/>
        <v>273</v>
      </c>
      <c r="AH24" s="24">
        <f t="shared" si="9"/>
        <v>0</v>
      </c>
      <c r="AI24" s="226" t="str">
        <f>IF(排放源鑑別!AO24&lt;&gt;"",IF(排放源鑑別!AO24&lt;&gt;0,排放源鑑別!AO24,""),"")</f>
        <v/>
      </c>
      <c r="AJ24" s="227"/>
      <c r="AK24" s="228"/>
      <c r="AL24" s="229"/>
      <c r="AM24" s="228"/>
      <c r="AN24" s="230"/>
      <c r="AO24" s="226"/>
      <c r="AP24" s="230"/>
      <c r="AQ24" s="25">
        <f t="shared" si="10"/>
        <v>1.2025999999999999</v>
      </c>
      <c r="AR24" s="26">
        <f t="shared" si="1"/>
        <v>1.1134174861910678E-2</v>
      </c>
    </row>
    <row r="25" spans="2:44" ht="13.5" x14ac:dyDescent="0.4">
      <c r="B25" s="9">
        <v>21</v>
      </c>
      <c r="C25" s="9" t="str">
        <f>IF(排放源鑑別!C25&lt;&gt;"",排放源鑑別!C25,"")</f>
        <v>煙煤</v>
      </c>
      <c r="D25" s="9" t="str">
        <f>排放源鑑別!D25</f>
        <v>類別1</v>
      </c>
      <c r="E25" s="9" t="str">
        <f>排放源鑑別!F25</f>
        <v>固定</v>
      </c>
      <c r="F25" s="10">
        <v>1</v>
      </c>
      <c r="G25" s="11" t="s">
        <v>502</v>
      </c>
      <c r="H25" s="33" t="s">
        <v>487</v>
      </c>
      <c r="I25" s="103" t="s">
        <v>488</v>
      </c>
      <c r="J25" s="11" t="s">
        <v>489</v>
      </c>
      <c r="K25" s="12" t="str">
        <f>IF(排放源鑑別!AE25&lt;&gt;"",IF(排放源鑑別!AE25&lt;&gt;0,排放源鑑別!AE25,""),"")</f>
        <v>CO2</v>
      </c>
      <c r="L25" s="13">
        <f>係數管理表!T96</f>
        <v>2.4081133824000003</v>
      </c>
      <c r="M25" s="12" t="s">
        <v>503</v>
      </c>
      <c r="N25" s="112" t="s">
        <v>490</v>
      </c>
      <c r="O25" s="12" t="s">
        <v>491</v>
      </c>
      <c r="P25" s="15">
        <f t="shared" si="2"/>
        <v>2.4081133823999998</v>
      </c>
      <c r="Q25" s="12">
        <f t="shared" si="3"/>
        <v>1</v>
      </c>
      <c r="R25" s="102">
        <f t="shared" si="4"/>
        <v>2.4081000000000001</v>
      </c>
      <c r="S25" s="16" t="str">
        <f>IF(排放源鑑別!AF25&lt;&gt;"",IF(排放源鑑別!AF25&lt;&gt;0,排放源鑑別!AF25,""),"")</f>
        <v>CH4</v>
      </c>
      <c r="T25" s="17">
        <f>係數管理表!T95</f>
        <v>2.5455744000000001E-5</v>
      </c>
      <c r="U25" s="18" t="s">
        <v>503</v>
      </c>
      <c r="V25" s="104" t="s">
        <v>490</v>
      </c>
      <c r="W25" s="16" t="s">
        <v>491</v>
      </c>
      <c r="X25" s="19">
        <f t="shared" si="5"/>
        <v>2.5455700000000001E-5</v>
      </c>
      <c r="Y25" s="16">
        <f t="shared" si="6"/>
        <v>27.9</v>
      </c>
      <c r="Z25" s="19">
        <f t="shared" si="7"/>
        <v>0</v>
      </c>
      <c r="AA25" s="20" t="str">
        <f>IF(排放源鑑別!AG25&lt;&gt;"",IF(排放源鑑別!AG25&lt;&gt;0,排放源鑑別!AG25,""),"")</f>
        <v>N2O</v>
      </c>
      <c r="AB25" s="21">
        <f>係數管理表!T97</f>
        <v>3.8183616000000009E-5</v>
      </c>
      <c r="AC25" s="22" t="s">
        <v>503</v>
      </c>
      <c r="AD25" s="105" t="s">
        <v>490</v>
      </c>
      <c r="AE25" s="22" t="s">
        <v>491</v>
      </c>
      <c r="AF25" s="24">
        <f t="shared" si="8"/>
        <v>3.8183599999999998E-5</v>
      </c>
      <c r="AG25" s="20">
        <f t="shared" si="12"/>
        <v>273</v>
      </c>
      <c r="AH25" s="24">
        <f t="shared" si="9"/>
        <v>0</v>
      </c>
      <c r="AI25" s="226" t="str">
        <f>IF(排放源鑑別!AO25&lt;&gt;"",IF(排放源鑑別!AO25&lt;&gt;0,排放源鑑別!AO25,""),"")</f>
        <v/>
      </c>
      <c r="AJ25" s="227"/>
      <c r="AK25" s="228"/>
      <c r="AL25" s="229"/>
      <c r="AM25" s="228"/>
      <c r="AN25" s="230"/>
      <c r="AO25" s="226"/>
      <c r="AP25" s="230"/>
      <c r="AQ25" s="25">
        <f t="shared" si="10"/>
        <v>2.4081000000000001</v>
      </c>
      <c r="AR25" s="26">
        <f t="shared" si="1"/>
        <v>2.2295199139337359E-2</v>
      </c>
    </row>
    <row r="26" spans="2:44" ht="13.5" x14ac:dyDescent="0.4">
      <c r="B26" s="9">
        <v>22</v>
      </c>
      <c r="C26" s="9" t="str">
        <f>IF(排放源鑑別!C26&lt;&gt;"",排放源鑑別!C26,"")</f>
        <v>亞煙煤</v>
      </c>
      <c r="D26" s="9" t="str">
        <f>排放源鑑別!D26</f>
        <v>類別1</v>
      </c>
      <c r="E26" s="9" t="str">
        <f>排放源鑑別!F26</f>
        <v>固定</v>
      </c>
      <c r="F26" s="10">
        <v>1</v>
      </c>
      <c r="G26" s="11" t="s">
        <v>502</v>
      </c>
      <c r="H26" s="33" t="s">
        <v>487</v>
      </c>
      <c r="I26" s="103" t="s">
        <v>488</v>
      </c>
      <c r="J26" s="11" t="s">
        <v>489</v>
      </c>
      <c r="K26" s="12" t="str">
        <f>IF(排放源鑑別!AE26&lt;&gt;"",IF(排放源鑑別!AE26&lt;&gt;0,排放源鑑別!AE26,""),"")</f>
        <v>CO2</v>
      </c>
      <c r="L26" s="13">
        <f>係數管理表!T99</f>
        <v>2.2531682880000004</v>
      </c>
      <c r="M26" s="12" t="s">
        <v>503</v>
      </c>
      <c r="N26" s="112" t="s">
        <v>490</v>
      </c>
      <c r="O26" s="12" t="s">
        <v>491</v>
      </c>
      <c r="P26" s="15">
        <f t="shared" si="2"/>
        <v>2.2531682879999999</v>
      </c>
      <c r="Q26" s="12">
        <f t="shared" si="3"/>
        <v>1</v>
      </c>
      <c r="R26" s="102">
        <f t="shared" si="4"/>
        <v>2.2532000000000001</v>
      </c>
      <c r="S26" s="16" t="str">
        <f>IF(排放源鑑別!AF26&lt;&gt;"",IF(排放源鑑別!AF26&lt;&gt;0,排放源鑑別!AF26,""),"")</f>
        <v>CH4</v>
      </c>
      <c r="T26" s="17">
        <f>係數管理表!T98</f>
        <v>2.3446080000000001E-5</v>
      </c>
      <c r="U26" s="18" t="s">
        <v>503</v>
      </c>
      <c r="V26" s="104" t="s">
        <v>490</v>
      </c>
      <c r="W26" s="16" t="s">
        <v>491</v>
      </c>
      <c r="X26" s="19">
        <f t="shared" si="5"/>
        <v>2.3446099999999999E-5</v>
      </c>
      <c r="Y26" s="16">
        <f t="shared" si="6"/>
        <v>27.9</v>
      </c>
      <c r="Z26" s="19">
        <f t="shared" si="7"/>
        <v>0</v>
      </c>
      <c r="AA26" s="20" t="str">
        <f>IF(排放源鑑別!AG26&lt;&gt;"",IF(排放源鑑別!AG26&lt;&gt;0,排放源鑑別!AG26,""),"")</f>
        <v>N2O</v>
      </c>
      <c r="AB26" s="21">
        <f>係數管理表!T100</f>
        <v>3.516912000000001E-5</v>
      </c>
      <c r="AC26" s="22" t="s">
        <v>503</v>
      </c>
      <c r="AD26" s="105" t="s">
        <v>490</v>
      </c>
      <c r="AE26" s="22" t="s">
        <v>491</v>
      </c>
      <c r="AF26" s="24">
        <f t="shared" si="8"/>
        <v>3.5169100000000002E-5</v>
      </c>
      <c r="AG26" s="20">
        <f t="shared" si="12"/>
        <v>273</v>
      </c>
      <c r="AH26" s="24">
        <f t="shared" si="9"/>
        <v>0</v>
      </c>
      <c r="AI26" s="226" t="str">
        <f>IF(排放源鑑別!AO26&lt;&gt;"",IF(排放源鑑別!AO26&lt;&gt;0,排放源鑑別!AO26,""),"")</f>
        <v/>
      </c>
      <c r="AJ26" s="227"/>
      <c r="AK26" s="228"/>
      <c r="AL26" s="229"/>
      <c r="AM26" s="228"/>
      <c r="AN26" s="230"/>
      <c r="AO26" s="226"/>
      <c r="AP26" s="230"/>
      <c r="AQ26" s="25">
        <f t="shared" si="10"/>
        <v>2.2532000000000001</v>
      </c>
      <c r="AR26" s="26">
        <f t="shared" si="1"/>
        <v>2.0861070014017252E-2</v>
      </c>
    </row>
    <row r="27" spans="2:44" ht="13.5" x14ac:dyDescent="0.4">
      <c r="B27" s="9">
        <v>23</v>
      </c>
      <c r="C27" s="9" t="str">
        <f>IF(排放源鑑別!C27&lt;&gt;"",排放源鑑別!C27,"")</f>
        <v>無煙煤</v>
      </c>
      <c r="D27" s="9" t="str">
        <f>排放源鑑別!D27</f>
        <v>類別1</v>
      </c>
      <c r="E27" s="9" t="str">
        <f>排放源鑑別!F27</f>
        <v>固定</v>
      </c>
      <c r="F27" s="10">
        <v>1</v>
      </c>
      <c r="G27" s="11" t="s">
        <v>502</v>
      </c>
      <c r="H27" s="33" t="s">
        <v>487</v>
      </c>
      <c r="I27" s="103" t="s">
        <v>488</v>
      </c>
      <c r="J27" s="11" t="s">
        <v>489</v>
      </c>
      <c r="K27" s="12" t="str">
        <f>IF(排放源鑑別!AE27&lt;&gt;"",IF(排放源鑑別!AE27&lt;&gt;0,排放源鑑別!AE27,""),"")</f>
        <v>CO2</v>
      </c>
      <c r="L27" s="13">
        <f>係數管理表!T102</f>
        <v>2.9220933240000004</v>
      </c>
      <c r="M27" s="12" t="s">
        <v>503</v>
      </c>
      <c r="N27" s="112" t="s">
        <v>490</v>
      </c>
      <c r="O27" s="12" t="s">
        <v>491</v>
      </c>
      <c r="P27" s="15">
        <f t="shared" si="2"/>
        <v>2.922093324</v>
      </c>
      <c r="Q27" s="12">
        <f t="shared" si="3"/>
        <v>1</v>
      </c>
      <c r="R27" s="102">
        <f t="shared" si="4"/>
        <v>2.9220999999999999</v>
      </c>
      <c r="S27" s="16" t="str">
        <f>IF(排放源鑑別!AF27&lt;&gt;"",IF(排放源鑑別!AF27&lt;&gt;0,排放源鑑別!AF27,""),"")</f>
        <v>CH4</v>
      </c>
      <c r="T27" s="17">
        <f>係數管理表!T101</f>
        <v>2.9726280000000002E-5</v>
      </c>
      <c r="U27" s="18" t="s">
        <v>503</v>
      </c>
      <c r="V27" s="104" t="s">
        <v>490</v>
      </c>
      <c r="W27" s="16" t="s">
        <v>491</v>
      </c>
      <c r="X27" s="19">
        <f t="shared" si="5"/>
        <v>2.97263E-5</v>
      </c>
      <c r="Y27" s="16">
        <f t="shared" si="6"/>
        <v>27.9</v>
      </c>
      <c r="Z27" s="19">
        <f t="shared" si="7"/>
        <v>0</v>
      </c>
      <c r="AA27" s="20" t="str">
        <f>IF(排放源鑑別!AG27&lt;&gt;"",IF(排放源鑑別!AG27&lt;&gt;0,排放源鑑別!AG27,""),"")</f>
        <v>N2O</v>
      </c>
      <c r="AB27" s="21">
        <f>係數管理表!T103</f>
        <v>4.4589420000000012E-5</v>
      </c>
      <c r="AC27" s="22" t="s">
        <v>503</v>
      </c>
      <c r="AD27" s="105" t="s">
        <v>490</v>
      </c>
      <c r="AE27" s="22" t="s">
        <v>491</v>
      </c>
      <c r="AF27" s="24">
        <f t="shared" si="8"/>
        <v>4.4589399999999997E-5</v>
      </c>
      <c r="AG27" s="20">
        <f t="shared" si="12"/>
        <v>273</v>
      </c>
      <c r="AH27" s="24">
        <f t="shared" si="9"/>
        <v>0</v>
      </c>
      <c r="AI27" s="226" t="str">
        <f>IF(排放源鑑別!AO27&lt;&gt;"",IF(排放源鑑別!AO27&lt;&gt;0,排放源鑑別!AO27,""),"")</f>
        <v/>
      </c>
      <c r="AJ27" s="227"/>
      <c r="AK27" s="228"/>
      <c r="AL27" s="229"/>
      <c r="AM27" s="228"/>
      <c r="AN27" s="230"/>
      <c r="AO27" s="226"/>
      <c r="AP27" s="230"/>
      <c r="AQ27" s="25">
        <f t="shared" si="10"/>
        <v>2.9220999999999999</v>
      </c>
      <c r="AR27" s="26">
        <f t="shared" si="1"/>
        <v>2.7054026579069679E-2</v>
      </c>
    </row>
    <row r="28" spans="2:44" ht="13.5" x14ac:dyDescent="0.4">
      <c r="B28" s="9">
        <v>24</v>
      </c>
      <c r="C28" s="9" t="str">
        <f>IF(排放源鑑別!C28&lt;&gt;"",排放源鑑別!C28,"")</f>
        <v>油頁岩</v>
      </c>
      <c r="D28" s="9" t="str">
        <f>排放源鑑別!D28</f>
        <v>類別1</v>
      </c>
      <c r="E28" s="9" t="str">
        <f>排放源鑑別!F28</f>
        <v>固定</v>
      </c>
      <c r="F28" s="10">
        <v>1</v>
      </c>
      <c r="G28" s="11" t="s">
        <v>502</v>
      </c>
      <c r="H28" s="33" t="s">
        <v>487</v>
      </c>
      <c r="I28" s="103" t="s">
        <v>488</v>
      </c>
      <c r="J28" s="11" t="s">
        <v>489</v>
      </c>
      <c r="K28" s="12" t="str">
        <f>IF(排放源鑑別!AE28&lt;&gt;"",IF(排放源鑑別!AE28&lt;&gt;0,排放源鑑別!AE28,""),"")</f>
        <v>CO2</v>
      </c>
      <c r="L28" s="13">
        <f>係數管理表!T108</f>
        <v>0.95286962520000007</v>
      </c>
      <c r="M28" s="12" t="s">
        <v>503</v>
      </c>
      <c r="N28" s="112" t="s">
        <v>490</v>
      </c>
      <c r="O28" s="12" t="s">
        <v>491</v>
      </c>
      <c r="P28" s="15">
        <f t="shared" si="2"/>
        <v>0.95286962519999996</v>
      </c>
      <c r="Q28" s="12">
        <f t="shared" si="3"/>
        <v>1</v>
      </c>
      <c r="R28" s="102">
        <f t="shared" si="4"/>
        <v>0.95289999999999997</v>
      </c>
      <c r="S28" s="16" t="str">
        <f>IF(排放源鑑別!AF28&lt;&gt;"",IF(排放源鑑別!AF28&lt;&gt;0,排放源鑑別!AF28,""),"")</f>
        <v>CH4</v>
      </c>
      <c r="T28" s="17">
        <f>係數管理表!T107</f>
        <v>8.9053236000000002E-6</v>
      </c>
      <c r="U28" s="18" t="s">
        <v>503</v>
      </c>
      <c r="V28" s="104" t="s">
        <v>490</v>
      </c>
      <c r="W28" s="16" t="s">
        <v>491</v>
      </c>
      <c r="X28" s="19">
        <f t="shared" si="5"/>
        <v>8.9052999999999993E-6</v>
      </c>
      <c r="Y28" s="16">
        <f t="shared" si="6"/>
        <v>27.9</v>
      </c>
      <c r="Z28" s="19">
        <f t="shared" si="7"/>
        <v>0</v>
      </c>
      <c r="AA28" s="20" t="str">
        <f>IF(排放源鑑別!AG28&lt;&gt;"",IF(排放源鑑別!AG28&lt;&gt;0,排放源鑑別!AG28,""),"")</f>
        <v>N2O</v>
      </c>
      <c r="AB28" s="21">
        <f>係數管理表!T109</f>
        <v>1.3357985400000004E-5</v>
      </c>
      <c r="AC28" s="22" t="s">
        <v>503</v>
      </c>
      <c r="AD28" s="105" t="s">
        <v>490</v>
      </c>
      <c r="AE28" s="22" t="s">
        <v>491</v>
      </c>
      <c r="AF28" s="24">
        <f t="shared" si="8"/>
        <v>1.3358E-5</v>
      </c>
      <c r="AG28" s="20">
        <f t="shared" si="12"/>
        <v>273</v>
      </c>
      <c r="AH28" s="24">
        <f t="shared" si="9"/>
        <v>0</v>
      </c>
      <c r="AI28" s="226" t="str">
        <f>IF(排放源鑑別!AO28&lt;&gt;"",IF(排放源鑑別!AO28&lt;&gt;0,排放源鑑別!AO28,""),"")</f>
        <v/>
      </c>
      <c r="AJ28" s="227"/>
      <c r="AK28" s="228"/>
      <c r="AL28" s="229"/>
      <c r="AM28" s="228"/>
      <c r="AN28" s="230"/>
      <c r="AO28" s="226"/>
      <c r="AP28" s="230"/>
      <c r="AQ28" s="25">
        <f t="shared" si="10"/>
        <v>0.95289999999999997</v>
      </c>
      <c r="AR28" s="26">
        <f t="shared" si="1"/>
        <v>8.8223476017916906E-3</v>
      </c>
    </row>
    <row r="29" spans="2:44" ht="13.5" x14ac:dyDescent="0.4">
      <c r="B29" s="9">
        <v>25</v>
      </c>
      <c r="C29" s="9" t="str">
        <f>IF(排放源鑑別!C29&lt;&gt;"",排放源鑑別!C29,"")</f>
        <v>原料煤</v>
      </c>
      <c r="D29" s="9" t="str">
        <f>排放源鑑別!D29</f>
        <v>類別1</v>
      </c>
      <c r="E29" s="9" t="str">
        <f>排放源鑑別!F29</f>
        <v>固定</v>
      </c>
      <c r="F29" s="10">
        <v>1</v>
      </c>
      <c r="G29" s="11" t="s">
        <v>502</v>
      </c>
      <c r="H29" s="33" t="s">
        <v>487</v>
      </c>
      <c r="I29" s="103" t="s">
        <v>488</v>
      </c>
      <c r="J29" s="11" t="s">
        <v>489</v>
      </c>
      <c r="K29" s="12" t="str">
        <f>IF(排放源鑑別!AE29&lt;&gt;"",IF(排放源鑑別!AE29&lt;&gt;0,排放源鑑別!AE29,""),"")</f>
        <v>CO2</v>
      </c>
      <c r="L29" s="13">
        <f>係數管理表!T111</f>
        <v>2.6932847040000003</v>
      </c>
      <c r="M29" s="12" t="s">
        <v>503</v>
      </c>
      <c r="N29" s="112" t="s">
        <v>490</v>
      </c>
      <c r="O29" s="12" t="s">
        <v>491</v>
      </c>
      <c r="P29" s="15">
        <f t="shared" si="2"/>
        <v>2.6932847039999999</v>
      </c>
      <c r="Q29" s="12">
        <f t="shared" si="3"/>
        <v>1</v>
      </c>
      <c r="R29" s="102">
        <f t="shared" si="4"/>
        <v>2.6932999999999998</v>
      </c>
      <c r="S29" s="16" t="str">
        <f>IF(排放源鑑別!AF29&lt;&gt;"",IF(排放源鑑別!AF29&lt;&gt;0,排放源鑑別!AF29,""),"")</f>
        <v>CH4</v>
      </c>
      <c r="T29" s="17">
        <f>係數管理表!T110</f>
        <v>2.8470240000000003E-5</v>
      </c>
      <c r="U29" s="18" t="s">
        <v>503</v>
      </c>
      <c r="V29" s="104" t="s">
        <v>490</v>
      </c>
      <c r="W29" s="16" t="s">
        <v>491</v>
      </c>
      <c r="X29" s="19">
        <f t="shared" si="5"/>
        <v>2.8470200000000001E-5</v>
      </c>
      <c r="Y29" s="16">
        <f t="shared" si="6"/>
        <v>27.9</v>
      </c>
      <c r="Z29" s="19">
        <f t="shared" si="7"/>
        <v>0</v>
      </c>
      <c r="AA29" s="20" t="str">
        <f>IF(排放源鑑別!AG29&lt;&gt;"",IF(排放源鑑別!AG29&lt;&gt;0,排放源鑑別!AG29,""),"")</f>
        <v>N2O</v>
      </c>
      <c r="AB29" s="21">
        <f>係數管理表!T112</f>
        <v>4.270536000000001E-5</v>
      </c>
      <c r="AC29" s="22" t="s">
        <v>503</v>
      </c>
      <c r="AD29" s="105" t="s">
        <v>490</v>
      </c>
      <c r="AE29" s="22" t="s">
        <v>491</v>
      </c>
      <c r="AF29" s="24">
        <f t="shared" si="8"/>
        <v>4.2705399999999999E-5</v>
      </c>
      <c r="AG29" s="20">
        <f t="shared" si="12"/>
        <v>273</v>
      </c>
      <c r="AH29" s="24">
        <f t="shared" si="9"/>
        <v>0</v>
      </c>
      <c r="AI29" s="226" t="str">
        <f>IF(排放源鑑別!AO29&lt;&gt;"",IF(排放源鑑別!AO29&lt;&gt;0,排放源鑑別!AO29,""),"")</f>
        <v/>
      </c>
      <c r="AJ29" s="227"/>
      <c r="AK29" s="228"/>
      <c r="AL29" s="229"/>
      <c r="AM29" s="228"/>
      <c r="AN29" s="230"/>
      <c r="AO29" s="226"/>
      <c r="AP29" s="230"/>
      <c r="AQ29" s="25">
        <f t="shared" si="10"/>
        <v>2.6932999999999998</v>
      </c>
      <c r="AR29" s="26">
        <f t="shared" si="1"/>
        <v>2.4935700279048754E-2</v>
      </c>
    </row>
    <row r="30" spans="2:44" ht="13.5" x14ac:dyDescent="0.4">
      <c r="B30" s="9">
        <v>26</v>
      </c>
      <c r="C30" s="9" t="str">
        <f>IF(排放源鑑別!C30&lt;&gt;"",排放源鑑別!C30,"")</f>
        <v>自產煤</v>
      </c>
      <c r="D30" s="9" t="str">
        <f>排放源鑑別!D30</f>
        <v>類別1</v>
      </c>
      <c r="E30" s="9" t="str">
        <f>排放源鑑別!F30</f>
        <v>固定</v>
      </c>
      <c r="F30" s="10">
        <v>1</v>
      </c>
      <c r="G30" s="11" t="s">
        <v>502</v>
      </c>
      <c r="H30" s="33" t="s">
        <v>487</v>
      </c>
      <c r="I30" s="103" t="s">
        <v>488</v>
      </c>
      <c r="J30" s="11" t="s">
        <v>489</v>
      </c>
      <c r="K30" s="12" t="str">
        <f>IF(排放源鑑別!AE30&lt;&gt;"",IF(排放源鑑別!AE30&lt;&gt;0,排放源鑑別!AE30,""),"")</f>
        <v>CO2</v>
      </c>
      <c r="L30" s="13">
        <f>係數管理表!T114</f>
        <v>2.3328598392000002</v>
      </c>
      <c r="M30" s="12" t="s">
        <v>503</v>
      </c>
      <c r="N30" s="112" t="s">
        <v>490</v>
      </c>
      <c r="O30" s="12" t="s">
        <v>491</v>
      </c>
      <c r="P30" s="15">
        <f>IF(L30&lt;&gt;"",ROUND(F30,4)*ROUND(L30,10),"")</f>
        <v>2.3328598392000002</v>
      </c>
      <c r="Q30" s="12">
        <f t="shared" si="3"/>
        <v>1</v>
      </c>
      <c r="R30" s="102">
        <f t="shared" si="4"/>
        <v>2.3329</v>
      </c>
      <c r="S30" s="16" t="str">
        <f>IF(排放源鑑別!AF30&lt;&gt;"",IF(排放源鑑別!AF30&lt;&gt;0,排放源鑑別!AF30,""),"")</f>
        <v>CH4</v>
      </c>
      <c r="T30" s="17">
        <f>係數管理表!T113</f>
        <v>2.4660252000000004E-5</v>
      </c>
      <c r="U30" s="18" t="s">
        <v>503</v>
      </c>
      <c r="V30" s="104" t="s">
        <v>490</v>
      </c>
      <c r="W30" s="16" t="s">
        <v>491</v>
      </c>
      <c r="X30" s="19">
        <f>IF(T30&lt;&gt;"",ROUND(F30,4)*ROUND(T30,10),"")</f>
        <v>2.4660299999999998E-5</v>
      </c>
      <c r="Y30" s="16">
        <f t="shared" si="6"/>
        <v>27.9</v>
      </c>
      <c r="Z30" s="19">
        <f t="shared" si="7"/>
        <v>0</v>
      </c>
      <c r="AA30" s="20" t="str">
        <f>IF(排放源鑑別!AG30&lt;&gt;"",IF(排放源鑑別!AG30&lt;&gt;0,排放源鑑別!AG30,""),"")</f>
        <v>N2O</v>
      </c>
      <c r="AB30" s="21">
        <f>係數管理表!T115</f>
        <v>3.6990378000000011E-5</v>
      </c>
      <c r="AC30" s="22" t="s">
        <v>503</v>
      </c>
      <c r="AD30" s="105" t="s">
        <v>490</v>
      </c>
      <c r="AE30" s="22" t="s">
        <v>491</v>
      </c>
      <c r="AF30" s="24">
        <f>IF(AB30&lt;&gt;"",ROUND(F30,4)*ROUND(AB30,10),"")</f>
        <v>3.6990399999999997E-5</v>
      </c>
      <c r="AG30" s="20">
        <f t="shared" si="12"/>
        <v>273</v>
      </c>
      <c r="AH30" s="24">
        <f t="shared" si="9"/>
        <v>0</v>
      </c>
      <c r="AI30" s="226" t="str">
        <f>IF(排放源鑑別!AO30&lt;&gt;"",IF(排放源鑑別!AO30&lt;&gt;0,排放源鑑別!AO30,""),"")</f>
        <v/>
      </c>
      <c r="AJ30" s="227"/>
      <c r="AK30" s="228"/>
      <c r="AL30" s="229"/>
      <c r="AM30" s="228"/>
      <c r="AN30" s="230"/>
      <c r="AO30" s="226"/>
      <c r="AP30" s="230"/>
      <c r="AQ30" s="25">
        <f t="shared" si="10"/>
        <v>2.3329</v>
      </c>
      <c r="AR30" s="26">
        <f t="shared" si="1"/>
        <v>2.1598966019750063E-2</v>
      </c>
    </row>
    <row r="31" spans="2:44" ht="13.5" x14ac:dyDescent="0.4">
      <c r="B31" s="9">
        <v>27</v>
      </c>
      <c r="C31" s="9" t="str">
        <f>IF(排放源鑑別!C31&lt;&gt;"",排放源鑑別!C31,"")</f>
        <v>頁岩油</v>
      </c>
      <c r="D31" s="9" t="str">
        <f>排放源鑑別!D31</f>
        <v>類別1</v>
      </c>
      <c r="E31" s="9" t="str">
        <f>排放源鑑別!F31</f>
        <v>固定</v>
      </c>
      <c r="F31" s="10">
        <v>1</v>
      </c>
      <c r="G31" s="11" t="s">
        <v>502</v>
      </c>
      <c r="H31" s="33" t="s">
        <v>487</v>
      </c>
      <c r="I31" s="103" t="s">
        <v>488</v>
      </c>
      <c r="J31" s="11" t="s">
        <v>489</v>
      </c>
      <c r="K31" s="12" t="str">
        <f>IF(排放源鑑別!AE31&lt;&gt;"",IF(排放源鑑別!AE31&lt;&gt;0,排放源鑑別!AE31,""),"")</f>
        <v>CO2</v>
      </c>
      <c r="L31" s="13">
        <f>係數管理表!T120</f>
        <v>2.7945625586400005</v>
      </c>
      <c r="M31" s="12" t="s">
        <v>503</v>
      </c>
      <c r="N31" s="112" t="s">
        <v>490</v>
      </c>
      <c r="O31" s="12" t="s">
        <v>491</v>
      </c>
      <c r="P31" s="15">
        <f>IF(L31&lt;&gt;"",ROUND(F31,4)*ROUND(L31,10),"")</f>
        <v>2.7945625586</v>
      </c>
      <c r="Q31" s="12">
        <f t="shared" si="3"/>
        <v>1</v>
      </c>
      <c r="R31" s="102">
        <f t="shared" si="4"/>
        <v>2.7946</v>
      </c>
      <c r="S31" s="16" t="str">
        <f>IF(排放源鑑別!AF31&lt;&gt;"",IF(排放源鑑別!AF31&lt;&gt;0,排放源鑑別!AF31,""),"")</f>
        <v>CH4</v>
      </c>
      <c r="T31" s="17">
        <f>係數管理表!T119</f>
        <v>1.0799431920000003E-4</v>
      </c>
      <c r="U31" s="18" t="s">
        <v>503</v>
      </c>
      <c r="V31" s="104" t="s">
        <v>490</v>
      </c>
      <c r="W31" s="16" t="s">
        <v>491</v>
      </c>
      <c r="X31" s="19">
        <f>IF(T31&lt;&gt;"",ROUND(F31,4)*ROUND(T31,10),"")</f>
        <v>1.079943E-4</v>
      </c>
      <c r="Y31" s="16">
        <f t="shared" si="6"/>
        <v>27.9</v>
      </c>
      <c r="Z31" s="19">
        <f t="shared" si="7"/>
        <v>2.7899999999999999E-3</v>
      </c>
      <c r="AA31" s="20" t="str">
        <f>IF(排放源鑑別!AG31&lt;&gt;"",IF(排放源鑑別!AG31&lt;&gt;0,排放源鑑別!AG31,""),"")</f>
        <v>N2O</v>
      </c>
      <c r="AB31" s="21">
        <f>係數管理表!T121</f>
        <v>2.1598863839999998E-5</v>
      </c>
      <c r="AC31" s="22" t="s">
        <v>503</v>
      </c>
      <c r="AD31" s="105" t="s">
        <v>490</v>
      </c>
      <c r="AE31" s="22" t="s">
        <v>491</v>
      </c>
      <c r="AF31" s="24">
        <f>IF(AB31&lt;&gt;"",ROUND(F31,4)*ROUND(AB31,10),"")</f>
        <v>2.1598900000000001E-5</v>
      </c>
      <c r="AG31" s="20">
        <f t="shared" si="12"/>
        <v>273</v>
      </c>
      <c r="AH31" s="24">
        <f t="shared" si="9"/>
        <v>0</v>
      </c>
      <c r="AI31" s="226" t="str">
        <f>IF(排放源鑑別!AO31&lt;&gt;"",IF(排放源鑑別!AO31&lt;&gt;0,排放源鑑別!AO31,""),"")</f>
        <v/>
      </c>
      <c r="AJ31" s="227"/>
      <c r="AK31" s="228"/>
      <c r="AL31" s="229"/>
      <c r="AM31" s="228"/>
      <c r="AN31" s="230"/>
      <c r="AO31" s="226"/>
      <c r="AP31" s="230"/>
      <c r="AQ31" s="25">
        <f t="shared" si="10"/>
        <v>2.7974000000000001</v>
      </c>
      <c r="AR31" s="26">
        <f t="shared" si="1"/>
        <v>2.5899501711881705E-2</v>
      </c>
    </row>
    <row r="32" spans="2:44" ht="13.5" x14ac:dyDescent="0.4">
      <c r="B32" s="9">
        <v>28</v>
      </c>
      <c r="C32" s="9" t="str">
        <f>IF(排放源鑑別!C32&lt;&gt;"",排放源鑑別!C32,"")</f>
        <v>奧里油</v>
      </c>
      <c r="D32" s="9" t="str">
        <f>排放源鑑別!D32</f>
        <v>類別1</v>
      </c>
      <c r="E32" s="9" t="str">
        <f>排放源鑑別!F32</f>
        <v>固定</v>
      </c>
      <c r="F32" s="10">
        <v>1</v>
      </c>
      <c r="G32" s="11" t="s">
        <v>502</v>
      </c>
      <c r="H32" s="33" t="s">
        <v>487</v>
      </c>
      <c r="I32" s="103" t="s">
        <v>488</v>
      </c>
      <c r="J32" s="11" t="s">
        <v>489</v>
      </c>
      <c r="K32" s="12" t="str">
        <f>IF(排放源鑑別!AE32&lt;&gt;"",IF(排放源鑑別!AE32&lt;&gt;0,排放源鑑別!AE32,""),"")</f>
        <v>CO2</v>
      </c>
      <c r="L32" s="13">
        <f>係數管理表!T123</f>
        <v>2.1190274028</v>
      </c>
      <c r="M32" s="12" t="s">
        <v>503</v>
      </c>
      <c r="N32" s="112" t="s">
        <v>490</v>
      </c>
      <c r="O32" s="12" t="s">
        <v>491</v>
      </c>
      <c r="P32" s="15">
        <f t="shared" si="2"/>
        <v>2.1190274028</v>
      </c>
      <c r="Q32" s="12">
        <f t="shared" si="3"/>
        <v>1</v>
      </c>
      <c r="R32" s="102">
        <f t="shared" si="4"/>
        <v>2.1190000000000002</v>
      </c>
      <c r="S32" s="16" t="str">
        <f>IF(排放源鑑別!AF32&lt;&gt;"",IF(排放源鑑別!AF32&lt;&gt;0,排放源鑑別!AF32,""),"")</f>
        <v>CH4</v>
      </c>
      <c r="T32" s="17">
        <f>係數管理表!T122</f>
        <v>8.2559509200000016E-5</v>
      </c>
      <c r="U32" s="18" t="s">
        <v>503</v>
      </c>
      <c r="V32" s="104" t="s">
        <v>490</v>
      </c>
      <c r="W32" s="16" t="s">
        <v>491</v>
      </c>
      <c r="X32" s="19">
        <f t="shared" si="5"/>
        <v>8.2559500000000001E-5</v>
      </c>
      <c r="Y32" s="16">
        <f t="shared" si="6"/>
        <v>27.9</v>
      </c>
      <c r="Z32" s="19">
        <f t="shared" si="7"/>
        <v>2.7899999999999999E-3</v>
      </c>
      <c r="AA32" s="20" t="str">
        <f>IF(排放源鑑別!AG32&lt;&gt;"",IF(排放源鑑別!AG32&lt;&gt;0,排放源鑑別!AG32,""),"")</f>
        <v>N2O</v>
      </c>
      <c r="AB32" s="21">
        <f>係數管理表!T124</f>
        <v>1.6511901839999998E-5</v>
      </c>
      <c r="AC32" s="22" t="s">
        <v>503</v>
      </c>
      <c r="AD32" s="105" t="s">
        <v>490</v>
      </c>
      <c r="AE32" s="22" t="s">
        <v>491</v>
      </c>
      <c r="AF32" s="24">
        <f t="shared" si="8"/>
        <v>1.65119E-5</v>
      </c>
      <c r="AG32" s="20">
        <f t="shared" si="12"/>
        <v>273</v>
      </c>
      <c r="AH32" s="24">
        <f t="shared" si="9"/>
        <v>0</v>
      </c>
      <c r="AI32" s="226" t="str">
        <f>IF(排放源鑑別!AO32&lt;&gt;"",IF(排放源鑑別!AO32&lt;&gt;0,排放源鑑別!AO32,""),"")</f>
        <v/>
      </c>
      <c r="AJ32" s="227"/>
      <c r="AK32" s="228"/>
      <c r="AL32" s="229"/>
      <c r="AM32" s="228"/>
      <c r="AN32" s="230"/>
      <c r="AO32" s="226"/>
      <c r="AP32" s="230"/>
      <c r="AQ32" s="25">
        <f t="shared" si="10"/>
        <v>2.1217999999999999</v>
      </c>
      <c r="AR32" s="26">
        <f t="shared" si="1"/>
        <v>1.9644513738568167E-2</v>
      </c>
    </row>
    <row r="33" spans="2:44" ht="13.5" x14ac:dyDescent="0.4">
      <c r="B33" s="9">
        <v>29</v>
      </c>
      <c r="C33" s="9" t="str">
        <f>IF(排放源鑑別!C33&lt;&gt;"",排放源鑑別!C33,"")</f>
        <v>其他油品</v>
      </c>
      <c r="D33" s="9" t="str">
        <f>排放源鑑別!D33</f>
        <v>類別1</v>
      </c>
      <c r="E33" s="9" t="str">
        <f>排放源鑑別!F33</f>
        <v>固定</v>
      </c>
      <c r="F33" s="27">
        <v>1</v>
      </c>
      <c r="G33" s="11" t="s">
        <v>478</v>
      </c>
      <c r="H33" s="33" t="s">
        <v>487</v>
      </c>
      <c r="I33" s="103" t="s">
        <v>488</v>
      </c>
      <c r="J33" s="11" t="s">
        <v>489</v>
      </c>
      <c r="K33" s="12" t="str">
        <f>IF(排放源鑑別!AE33&lt;&gt;"",IF(排放源鑑別!AE33&lt;&gt;0,排放源鑑別!AE33,""),"")</f>
        <v>CO2</v>
      </c>
      <c r="L33" s="13">
        <f>係數管理表!T126</f>
        <v>2.7620319600000003</v>
      </c>
      <c r="M33" s="14" t="s">
        <v>486</v>
      </c>
      <c r="N33" s="112" t="s">
        <v>490</v>
      </c>
      <c r="O33" s="12" t="s">
        <v>491</v>
      </c>
      <c r="P33" s="15">
        <f t="shared" si="2"/>
        <v>2.7620319599999998</v>
      </c>
      <c r="Q33" s="12">
        <f t="shared" si="3"/>
        <v>1</v>
      </c>
      <c r="R33" s="102">
        <f t="shared" si="4"/>
        <v>2.762</v>
      </c>
      <c r="S33" s="16" t="str">
        <f>IF(排放源鑑別!AF33&lt;&gt;"",IF(排放源鑑別!AF33&lt;&gt;0,排放源鑑別!AF33,""),"")</f>
        <v>CH4</v>
      </c>
      <c r="T33" s="17">
        <f>係數管理表!T125</f>
        <v>1.1304360000000002E-4</v>
      </c>
      <c r="U33" s="18" t="s">
        <v>486</v>
      </c>
      <c r="V33" s="104" t="s">
        <v>490</v>
      </c>
      <c r="W33" s="16" t="s">
        <v>491</v>
      </c>
      <c r="X33" s="19">
        <f t="shared" si="5"/>
        <v>1.130436E-4</v>
      </c>
      <c r="Y33" s="16">
        <f t="shared" si="6"/>
        <v>27.9</v>
      </c>
      <c r="Z33" s="19">
        <f t="shared" si="7"/>
        <v>2.7899999999999999E-3</v>
      </c>
      <c r="AA33" s="20" t="str">
        <f>IF(排放源鑑別!AG33&lt;&gt;"",IF(排放源鑑別!AG33&lt;&gt;0,排放源鑑別!AG33,""),"")</f>
        <v>N2O</v>
      </c>
      <c r="AB33" s="21">
        <f>係數管理表!T127</f>
        <v>2.2608719999999997E-5</v>
      </c>
      <c r="AC33" s="22" t="s">
        <v>486</v>
      </c>
      <c r="AD33" s="105" t="s">
        <v>490</v>
      </c>
      <c r="AE33" s="22" t="s">
        <v>491</v>
      </c>
      <c r="AF33" s="24">
        <f t="shared" si="8"/>
        <v>2.2608699999999999E-5</v>
      </c>
      <c r="AG33" s="20">
        <f t="shared" si="12"/>
        <v>273</v>
      </c>
      <c r="AH33" s="24">
        <f t="shared" si="9"/>
        <v>0</v>
      </c>
      <c r="AI33" s="226" t="str">
        <f>IF(排放源鑑別!AO33&lt;&gt;"",IF(排放源鑑別!AO33&lt;&gt;0,排放源鑑別!AO33,""),"")</f>
        <v/>
      </c>
      <c r="AJ33" s="227"/>
      <c r="AK33" s="228"/>
      <c r="AL33" s="229"/>
      <c r="AM33" s="228"/>
      <c r="AN33" s="230"/>
      <c r="AO33" s="226"/>
      <c r="AP33" s="230"/>
      <c r="AQ33" s="25">
        <f t="shared" si="10"/>
        <v>2.7648000000000001</v>
      </c>
      <c r="AR33" s="26">
        <f t="shared" si="1"/>
        <v>2.5597677247805296E-2</v>
      </c>
    </row>
    <row r="34" spans="2:44" ht="13.5" x14ac:dyDescent="0.4">
      <c r="B34" s="9">
        <v>30</v>
      </c>
      <c r="C34" s="9" t="str">
        <f>IF(排放源鑑別!C34&lt;&gt;"",排放源鑑別!C34,"")</f>
        <v>一般廢棄物</v>
      </c>
      <c r="D34" s="9" t="str">
        <f>排放源鑑別!D34</f>
        <v>類別1</v>
      </c>
      <c r="E34" s="9" t="str">
        <f>排放源鑑別!F34</f>
        <v>固定</v>
      </c>
      <c r="F34" s="10">
        <v>1</v>
      </c>
      <c r="G34" s="11" t="s">
        <v>502</v>
      </c>
      <c r="H34" s="33" t="s">
        <v>487</v>
      </c>
      <c r="I34" s="103" t="s">
        <v>488</v>
      </c>
      <c r="J34" s="11" t="s">
        <v>489</v>
      </c>
      <c r="K34" s="12" t="str">
        <f>IF(排放源鑑別!AE34&lt;&gt;"",IF(排放源鑑別!AE34&lt;&gt;0,排放源鑑別!AE34,""),"")</f>
        <v>CO2</v>
      </c>
      <c r="L34" s="13">
        <f>係數管理表!T129</f>
        <v>0.7792272742716001</v>
      </c>
      <c r="M34" s="12" t="s">
        <v>503</v>
      </c>
      <c r="N34" s="112" t="s">
        <v>490</v>
      </c>
      <c r="O34" s="12" t="s">
        <v>491</v>
      </c>
      <c r="P34" s="15">
        <f t="shared" si="2"/>
        <v>0.77922727430000005</v>
      </c>
      <c r="Q34" s="12">
        <f t="shared" si="3"/>
        <v>1</v>
      </c>
      <c r="R34" s="102">
        <f t="shared" si="4"/>
        <v>0.7792</v>
      </c>
      <c r="S34" s="16" t="str">
        <f>IF(排放源鑑別!AF34&lt;&gt;"",IF(排放源鑑別!AF34&lt;&gt;0,排放源鑑別!AF34,""),"")</f>
        <v>CH4</v>
      </c>
      <c r="T34" s="17">
        <f>係數管理表!T128</f>
        <v>2.5492713443999999E-4</v>
      </c>
      <c r="U34" s="18" t="s">
        <v>503</v>
      </c>
      <c r="V34" s="104" t="s">
        <v>490</v>
      </c>
      <c r="W34" s="16" t="s">
        <v>491</v>
      </c>
      <c r="X34" s="19">
        <f t="shared" si="5"/>
        <v>2.5492709999999999E-4</v>
      </c>
      <c r="Y34" s="16">
        <f t="shared" si="6"/>
        <v>27.9</v>
      </c>
      <c r="Z34" s="19">
        <f t="shared" si="7"/>
        <v>8.369999999999999E-3</v>
      </c>
      <c r="AA34" s="20" t="str">
        <f>IF(排放源鑑別!AG34&lt;&gt;"",IF(排放源鑑別!AG34&lt;&gt;0,排放源鑑別!AG34,""),"")</f>
        <v>N2O</v>
      </c>
      <c r="AB34" s="21">
        <f>係數管理表!T130</f>
        <v>3.3990284592000002E-5</v>
      </c>
      <c r="AC34" s="22" t="s">
        <v>503</v>
      </c>
      <c r="AD34" s="105" t="s">
        <v>490</v>
      </c>
      <c r="AE34" s="22" t="s">
        <v>491</v>
      </c>
      <c r="AF34" s="24">
        <f t="shared" si="8"/>
        <v>3.3990299999999999E-5</v>
      </c>
      <c r="AG34" s="20">
        <f t="shared" si="12"/>
        <v>273</v>
      </c>
      <c r="AH34" s="24">
        <f t="shared" si="9"/>
        <v>0</v>
      </c>
      <c r="AI34" s="226" t="str">
        <f>IF(排放源鑑別!AO34&lt;&gt;"",IF(排放源鑑別!AO34&lt;&gt;0,排放源鑑別!AO34,""),"")</f>
        <v/>
      </c>
      <c r="AJ34" s="227"/>
      <c r="AK34" s="228"/>
      <c r="AL34" s="229"/>
      <c r="AM34" s="228"/>
      <c r="AN34" s="230"/>
      <c r="AO34" s="226"/>
      <c r="AP34" s="230"/>
      <c r="AQ34" s="25">
        <f t="shared" si="10"/>
        <v>0.78759999999999997</v>
      </c>
      <c r="AR34" s="26">
        <f t="shared" si="1"/>
        <v>7.2919309173797202E-3</v>
      </c>
    </row>
    <row r="35" spans="2:44" ht="13.5" x14ac:dyDescent="0.4">
      <c r="B35" s="9">
        <v>31</v>
      </c>
      <c r="C35" s="9" t="str">
        <f>IF(排放源鑑別!C35&lt;&gt;"",排放源鑑別!C35,"")</f>
        <v>車用汽油</v>
      </c>
      <c r="D35" s="9" t="str">
        <f>排放源鑑別!D35</f>
        <v>類別1</v>
      </c>
      <c r="E35" s="9" t="str">
        <f>排放源鑑別!F35</f>
        <v>移動</v>
      </c>
      <c r="F35" s="27">
        <v>1</v>
      </c>
      <c r="G35" s="11" t="s">
        <v>478</v>
      </c>
      <c r="H35" s="33" t="s">
        <v>487</v>
      </c>
      <c r="I35" s="103" t="s">
        <v>488</v>
      </c>
      <c r="J35" s="11" t="s">
        <v>489</v>
      </c>
      <c r="K35" s="12" t="str">
        <f>IF(排放源鑑別!AE35&lt;&gt;"",IF(排放源鑑別!AE35&lt;&gt;0,排放源鑑別!AE35,""),"")</f>
        <v>CO2</v>
      </c>
      <c r="L35" s="13">
        <f>係數管理表!T141</f>
        <v>2.2631328720000004</v>
      </c>
      <c r="M35" s="14" t="s">
        <v>486</v>
      </c>
      <c r="N35" s="112" t="s">
        <v>490</v>
      </c>
      <c r="O35" s="12" t="s">
        <v>491</v>
      </c>
      <c r="P35" s="15">
        <f t="shared" si="2"/>
        <v>2.2631328719999999</v>
      </c>
      <c r="Q35" s="12">
        <f t="shared" si="3"/>
        <v>1</v>
      </c>
      <c r="R35" s="102">
        <f t="shared" si="4"/>
        <v>2.2631000000000001</v>
      </c>
      <c r="S35" s="16" t="str">
        <f>IF(排放源鑑別!AF35&lt;&gt;"",IF(排放源鑑別!AF35&lt;&gt;0,排放源鑑別!AF35,""),"")</f>
        <v>CH4</v>
      </c>
      <c r="T35" s="17">
        <f>係數管理表!T140</f>
        <v>8.1642600000000009E-4</v>
      </c>
      <c r="U35" s="18" t="s">
        <v>486</v>
      </c>
      <c r="V35" s="104" t="s">
        <v>490</v>
      </c>
      <c r="W35" s="16" t="s">
        <v>491</v>
      </c>
      <c r="X35" s="19">
        <f t="shared" si="5"/>
        <v>8.1642599999999998E-4</v>
      </c>
      <c r="Y35" s="16">
        <f t="shared" si="6"/>
        <v>27.9</v>
      </c>
      <c r="Z35" s="19">
        <f t="shared" si="7"/>
        <v>2.232E-2</v>
      </c>
      <c r="AA35" s="20" t="str">
        <f>IF(排放源鑑別!AG35&lt;&gt;"",IF(排放源鑑別!AG35&lt;&gt;0,排放源鑑別!AG35,""),"")</f>
        <v>N2O</v>
      </c>
      <c r="AB35" s="21">
        <f>係數管理表!T142</f>
        <v>2.6125632000000004E-4</v>
      </c>
      <c r="AC35" s="22" t="s">
        <v>486</v>
      </c>
      <c r="AD35" s="105" t="s">
        <v>490</v>
      </c>
      <c r="AE35" s="22" t="s">
        <v>491</v>
      </c>
      <c r="AF35" s="24">
        <f t="shared" si="8"/>
        <v>2.6125630000000001E-4</v>
      </c>
      <c r="AG35" s="20">
        <f t="shared" si="12"/>
        <v>273</v>
      </c>
      <c r="AH35" s="24">
        <f t="shared" si="9"/>
        <v>8.1899999999999987E-2</v>
      </c>
      <c r="AI35" s="226" t="str">
        <f>IF(排放源鑑別!AO35&lt;&gt;"",IF(排放源鑑別!AO35&lt;&gt;0,排放源鑑別!AO35,""),"")</f>
        <v/>
      </c>
      <c r="AJ35" s="227"/>
      <c r="AK35" s="228"/>
      <c r="AL35" s="229"/>
      <c r="AM35" s="228"/>
      <c r="AN35" s="230"/>
      <c r="AO35" s="226"/>
      <c r="AP35" s="230"/>
      <c r="AQ35" s="25">
        <f t="shared" si="10"/>
        <v>2.3673000000000002</v>
      </c>
      <c r="AR35" s="26">
        <f t="shared" si="1"/>
        <v>2.1917455638284677E-2</v>
      </c>
    </row>
    <row r="36" spans="2:44" ht="13.5" x14ac:dyDescent="0.4">
      <c r="B36" s="9">
        <v>32</v>
      </c>
      <c r="C36" s="9" t="str">
        <f>IF(排放源鑑別!C36&lt;&gt;"",排放源鑑別!C36,"")</f>
        <v>航空燃油</v>
      </c>
      <c r="D36" s="9" t="str">
        <f>排放源鑑別!D36</f>
        <v>類別1</v>
      </c>
      <c r="E36" s="9" t="str">
        <f>排放源鑑別!F36</f>
        <v>移動</v>
      </c>
      <c r="F36" s="27">
        <v>1</v>
      </c>
      <c r="G36" s="11" t="s">
        <v>478</v>
      </c>
      <c r="H36" s="33" t="s">
        <v>487</v>
      </c>
      <c r="I36" s="103" t="s">
        <v>488</v>
      </c>
      <c r="J36" s="11" t="s">
        <v>489</v>
      </c>
      <c r="K36" s="12" t="str">
        <f>IF(排放源鑑別!AE36&lt;&gt;"",IF(排放源鑑別!AE36&lt;&gt;0,排放源鑑別!AE36,""),"")</f>
        <v>CO2</v>
      </c>
      <c r="L36" s="13">
        <f>係數管理表!T144</f>
        <v>2.3948496000000001</v>
      </c>
      <c r="M36" s="14" t="s">
        <v>486</v>
      </c>
      <c r="N36" s="112" t="s">
        <v>490</v>
      </c>
      <c r="O36" s="12" t="s">
        <v>491</v>
      </c>
      <c r="P36" s="15">
        <f t="shared" si="2"/>
        <v>2.3948496000000001</v>
      </c>
      <c r="Q36" s="12">
        <f t="shared" si="3"/>
        <v>1</v>
      </c>
      <c r="R36" s="102">
        <f t="shared" si="4"/>
        <v>2.3948</v>
      </c>
      <c r="S36" s="16" t="str">
        <f>IF(排放源鑑別!AF36&lt;&gt;"",IF(排放源鑑別!AF36&lt;&gt;0,排放源鑑別!AF36,""),"")</f>
        <v>CH4</v>
      </c>
      <c r="T36" s="17">
        <f>係數管理表!T143</f>
        <v>1.0048320000000002E-4</v>
      </c>
      <c r="U36" s="18" t="s">
        <v>486</v>
      </c>
      <c r="V36" s="104" t="s">
        <v>490</v>
      </c>
      <c r="W36" s="16" t="s">
        <v>491</v>
      </c>
      <c r="X36" s="19">
        <f t="shared" si="5"/>
        <v>1.0048319999999999E-4</v>
      </c>
      <c r="Y36" s="16">
        <f t="shared" si="6"/>
        <v>27.9</v>
      </c>
      <c r="Z36" s="19">
        <f t="shared" si="7"/>
        <v>2.7899999999999999E-3</v>
      </c>
      <c r="AA36" s="20" t="str">
        <f>IF(排放源鑑別!AG36&lt;&gt;"",IF(排放源鑑別!AG36&lt;&gt;0,排放源鑑別!AG36,""),"")</f>
        <v>N2O</v>
      </c>
      <c r="AB36" s="21">
        <f>係數管理表!T145</f>
        <v>2.0096639999999999E-5</v>
      </c>
      <c r="AC36" s="22" t="s">
        <v>486</v>
      </c>
      <c r="AD36" s="105" t="s">
        <v>490</v>
      </c>
      <c r="AE36" s="22" t="s">
        <v>491</v>
      </c>
      <c r="AF36" s="24">
        <f t="shared" si="8"/>
        <v>2.00966E-5</v>
      </c>
      <c r="AG36" s="20">
        <f t="shared" si="12"/>
        <v>273</v>
      </c>
      <c r="AH36" s="24">
        <f t="shared" si="9"/>
        <v>0</v>
      </c>
      <c r="AI36" s="226" t="str">
        <f>IF(排放源鑑別!AO36&lt;&gt;"",IF(排放源鑑別!AO36&lt;&gt;0,排放源鑑別!AO36,""),"")</f>
        <v/>
      </c>
      <c r="AJ36" s="227"/>
      <c r="AK36" s="228"/>
      <c r="AL36" s="229"/>
      <c r="AM36" s="228"/>
      <c r="AN36" s="230"/>
      <c r="AO36" s="226"/>
      <c r="AP36" s="230"/>
      <c r="AQ36" s="25">
        <f t="shared" si="10"/>
        <v>2.3976000000000002</v>
      </c>
      <c r="AR36" s="26">
        <f t="shared" si="1"/>
        <v>2.2197985738331157E-2</v>
      </c>
    </row>
    <row r="37" spans="2:44" ht="13.5" x14ac:dyDescent="0.4">
      <c r="B37" s="9">
        <v>33</v>
      </c>
      <c r="C37" s="9" t="str">
        <f>IF(排放源鑑別!C37&lt;&gt;"",排放源鑑別!C37,"")</f>
        <v>煤油</v>
      </c>
      <c r="D37" s="9" t="str">
        <f>排放源鑑別!D37</f>
        <v>類別1</v>
      </c>
      <c r="E37" s="9" t="str">
        <f>排放源鑑別!F37</f>
        <v>移動</v>
      </c>
      <c r="F37" s="27">
        <v>1</v>
      </c>
      <c r="G37" s="11" t="s">
        <v>478</v>
      </c>
      <c r="H37" s="33" t="s">
        <v>487</v>
      </c>
      <c r="I37" s="103" t="s">
        <v>488</v>
      </c>
      <c r="J37" s="11" t="s">
        <v>489</v>
      </c>
      <c r="K37" s="12" t="str">
        <f>IF(排放源鑑別!AE37&lt;&gt;"",IF(排放源鑑別!AE37&lt;&gt;0,排放源鑑別!AE37,""),"")</f>
        <v>CO2</v>
      </c>
      <c r="L37" s="13">
        <f>係數管理表!T147</f>
        <v>2.5587628200000005</v>
      </c>
      <c r="M37" s="14" t="s">
        <v>486</v>
      </c>
      <c r="N37" s="112" t="s">
        <v>490</v>
      </c>
      <c r="O37" s="12" t="s">
        <v>491</v>
      </c>
      <c r="P37" s="15">
        <f t="shared" si="2"/>
        <v>2.5587628200000001</v>
      </c>
      <c r="Q37" s="12">
        <f t="shared" si="3"/>
        <v>1</v>
      </c>
      <c r="R37" s="102">
        <f t="shared" si="4"/>
        <v>2.5588000000000002</v>
      </c>
      <c r="S37" s="16" t="str">
        <f>IF(排放源鑑別!AF37&lt;&gt;"",IF(排放源鑑別!AF37&lt;&gt;0,排放源鑑別!AF37,""),"")</f>
        <v>CH4</v>
      </c>
      <c r="T37" s="17">
        <f>係數管理表!T146</f>
        <v>1.0676340000000002E-4</v>
      </c>
      <c r="U37" s="18" t="s">
        <v>486</v>
      </c>
      <c r="V37" s="104" t="s">
        <v>490</v>
      </c>
      <c r="W37" s="16" t="s">
        <v>491</v>
      </c>
      <c r="X37" s="19">
        <f t="shared" si="5"/>
        <v>1.0676339999999999E-4</v>
      </c>
      <c r="Y37" s="16">
        <f t="shared" si="6"/>
        <v>27.9</v>
      </c>
      <c r="Z37" s="19">
        <f t="shared" si="7"/>
        <v>2.7899999999999999E-3</v>
      </c>
      <c r="AA37" s="20" t="str">
        <f>IF(排放源鑑別!AG37&lt;&gt;"",IF(排放源鑑別!AG37&lt;&gt;0,排放源鑑別!AG37,""),"")</f>
        <v>N2O</v>
      </c>
      <c r="AB37" s="21">
        <f>係數管理表!T148</f>
        <v>2.1352679999999998E-5</v>
      </c>
      <c r="AC37" s="22" t="s">
        <v>486</v>
      </c>
      <c r="AD37" s="105" t="s">
        <v>490</v>
      </c>
      <c r="AE37" s="22" t="s">
        <v>491</v>
      </c>
      <c r="AF37" s="24">
        <f t="shared" si="8"/>
        <v>2.13527E-5</v>
      </c>
      <c r="AG37" s="20">
        <f t="shared" si="12"/>
        <v>273</v>
      </c>
      <c r="AH37" s="24">
        <f t="shared" si="9"/>
        <v>0</v>
      </c>
      <c r="AI37" s="226" t="str">
        <f>IF(排放源鑑別!AO37&lt;&gt;"",IF(排放源鑑別!AO37&lt;&gt;0,排放源鑑別!AO37,""),"")</f>
        <v/>
      </c>
      <c r="AJ37" s="227"/>
      <c r="AK37" s="228"/>
      <c r="AL37" s="229"/>
      <c r="AM37" s="228"/>
      <c r="AN37" s="230"/>
      <c r="AO37" s="226"/>
      <c r="AP37" s="230"/>
      <c r="AQ37" s="25">
        <f t="shared" si="10"/>
        <v>2.5615999999999999</v>
      </c>
      <c r="AR37" s="26">
        <f t="shared" ref="AR37:AR68" si="13">AQ37/$AQ$76</f>
        <v>2.3716366477856642E-2</v>
      </c>
    </row>
    <row r="38" spans="2:44" ht="13.5" x14ac:dyDescent="0.4">
      <c r="B38" s="9">
        <v>34</v>
      </c>
      <c r="C38" s="9" t="str">
        <f>IF(排放源鑑別!C38&lt;&gt;"",排放源鑑別!C38,"")</f>
        <v>柴油</v>
      </c>
      <c r="D38" s="9" t="str">
        <f>排放源鑑別!D38</f>
        <v>類別1</v>
      </c>
      <c r="E38" s="9" t="str">
        <f>排放源鑑別!F38</f>
        <v>移動</v>
      </c>
      <c r="F38" s="27">
        <v>1</v>
      </c>
      <c r="G38" s="11" t="s">
        <v>478</v>
      </c>
      <c r="H38" s="33" t="s">
        <v>487</v>
      </c>
      <c r="I38" s="103" t="s">
        <v>488</v>
      </c>
      <c r="J38" s="11" t="s">
        <v>489</v>
      </c>
      <c r="K38" s="12" t="str">
        <f>IF(排放源鑑別!AE38&lt;&gt;"",IF(排放源鑑別!AE38&lt;&gt;0,排放源鑑別!AE38,""),"")</f>
        <v>CO2</v>
      </c>
      <c r="L38" s="13">
        <f>係數管理表!T150</f>
        <v>2.6060317920000005</v>
      </c>
      <c r="M38" s="14" t="s">
        <v>486</v>
      </c>
      <c r="N38" s="112" t="s">
        <v>490</v>
      </c>
      <c r="O38" s="12" t="s">
        <v>491</v>
      </c>
      <c r="P38" s="15">
        <f t="shared" si="2"/>
        <v>2.606031792</v>
      </c>
      <c r="Q38" s="12">
        <f t="shared" si="3"/>
        <v>1</v>
      </c>
      <c r="R38" s="102">
        <f t="shared" si="4"/>
        <v>2.6059999999999999</v>
      </c>
      <c r="S38" s="16" t="str">
        <f>IF(排放源鑑別!AF38&lt;&gt;"",IF(排放源鑑別!AF38&lt;&gt;0,排放源鑑別!AF38,""),"")</f>
        <v>CH4</v>
      </c>
      <c r="T38" s="17">
        <f>係數管理表!T149</f>
        <v>1.3715956800000001E-4</v>
      </c>
      <c r="U38" s="18" t="s">
        <v>486</v>
      </c>
      <c r="V38" s="104" t="s">
        <v>490</v>
      </c>
      <c r="W38" s="16" t="s">
        <v>491</v>
      </c>
      <c r="X38" s="19">
        <f t="shared" si="5"/>
        <v>1.3715959999999999E-4</v>
      </c>
      <c r="Y38" s="16">
        <f t="shared" si="6"/>
        <v>27.9</v>
      </c>
      <c r="Z38" s="19">
        <f t="shared" si="7"/>
        <v>2.7899999999999999E-3</v>
      </c>
      <c r="AA38" s="20" t="str">
        <f>IF(排放源鑑別!AG38&lt;&gt;"",IF(排放源鑑別!AG38&lt;&gt;0,排放源鑑別!AG38,""),"")</f>
        <v>N2O</v>
      </c>
      <c r="AB38" s="21">
        <f>係數管理表!T151</f>
        <v>1.3715956800000001E-4</v>
      </c>
      <c r="AC38" s="22" t="s">
        <v>486</v>
      </c>
      <c r="AD38" s="105" t="s">
        <v>490</v>
      </c>
      <c r="AE38" s="22" t="s">
        <v>491</v>
      </c>
      <c r="AF38" s="24">
        <f t="shared" si="8"/>
        <v>1.3715959999999999E-4</v>
      </c>
      <c r="AG38" s="20">
        <f t="shared" si="12"/>
        <v>273</v>
      </c>
      <c r="AH38" s="24">
        <f t="shared" si="9"/>
        <v>2.7300000000000001E-2</v>
      </c>
      <c r="AI38" s="226" t="str">
        <f>IF(排放源鑑別!AO38&lt;&gt;"",IF(排放源鑑別!AO38&lt;&gt;0,排放源鑑別!AO38,""),"")</f>
        <v/>
      </c>
      <c r="AJ38" s="227"/>
      <c r="AK38" s="228"/>
      <c r="AL38" s="229"/>
      <c r="AM38" s="228"/>
      <c r="AN38" s="230"/>
      <c r="AO38" s="226"/>
      <c r="AP38" s="230"/>
      <c r="AQ38" s="25">
        <f t="shared" si="10"/>
        <v>2.6360999999999999</v>
      </c>
      <c r="AR38" s="26">
        <f t="shared" si="13"/>
        <v>2.4406118704043526E-2</v>
      </c>
    </row>
    <row r="39" spans="2:44" ht="13.5" x14ac:dyDescent="0.4">
      <c r="B39" s="9">
        <v>35</v>
      </c>
      <c r="C39" s="9" t="str">
        <f>IF(排放源鑑別!C39&lt;&gt;"",排放源鑑別!C39,"")</f>
        <v>液化石油氣(LPG)</v>
      </c>
      <c r="D39" s="9" t="str">
        <f>排放源鑑別!D39</f>
        <v>類別1</v>
      </c>
      <c r="E39" s="9" t="str">
        <f>排放源鑑別!F39</f>
        <v>移動</v>
      </c>
      <c r="F39" s="27">
        <v>1</v>
      </c>
      <c r="G39" s="11" t="s">
        <v>478</v>
      </c>
      <c r="H39" s="33" t="s">
        <v>487</v>
      </c>
      <c r="I39" s="103" t="s">
        <v>488</v>
      </c>
      <c r="J39" s="11" t="s">
        <v>489</v>
      </c>
      <c r="K39" s="12" t="str">
        <f>IF(排放源鑑別!AE39&lt;&gt;"",IF(排放源鑑別!AE39&lt;&gt;0,排放源鑑別!AE39,""),"")</f>
        <v>CO2</v>
      </c>
      <c r="L39" s="13">
        <f>係數管理表!T171</f>
        <v>1.7528812758000003</v>
      </c>
      <c r="M39" s="14" t="s">
        <v>486</v>
      </c>
      <c r="N39" s="112" t="s">
        <v>490</v>
      </c>
      <c r="O39" s="12" t="s">
        <v>491</v>
      </c>
      <c r="P39" s="15">
        <f t="shared" si="2"/>
        <v>1.7528812758000001</v>
      </c>
      <c r="Q39" s="12">
        <f t="shared" si="3"/>
        <v>1</v>
      </c>
      <c r="R39" s="102">
        <f t="shared" si="4"/>
        <v>1.7528999999999999</v>
      </c>
      <c r="S39" s="16" t="str">
        <f>IF(排放源鑑別!AF39&lt;&gt;"",IF(排放源鑑別!AF39&lt;&gt;0,排放源鑑別!AF39,""),"")</f>
        <v>CH4</v>
      </c>
      <c r="T39" s="17">
        <f>係數管理表!T170</f>
        <v>1.7223239160000002E-3</v>
      </c>
      <c r="U39" s="18" t="s">
        <v>486</v>
      </c>
      <c r="V39" s="104" t="s">
        <v>490</v>
      </c>
      <c r="W39" s="16" t="s">
        <v>491</v>
      </c>
      <c r="X39" s="19">
        <f t="shared" si="5"/>
        <v>1.7223239000000001E-3</v>
      </c>
      <c r="Y39" s="16">
        <f t="shared" si="6"/>
        <v>27.9</v>
      </c>
      <c r="Z39" s="19">
        <f t="shared" si="7"/>
        <v>4.7429999999999993E-2</v>
      </c>
      <c r="AA39" s="20" t="str">
        <f>IF(排放源鑑別!AG39&lt;&gt;"",IF(排放源鑑別!AG39&lt;&gt;0,排放源鑑別!AG39,""),"")</f>
        <v>N2O</v>
      </c>
      <c r="AB39" s="21">
        <f>係數管理表!T172</f>
        <v>5.5558836000000011E-6</v>
      </c>
      <c r="AC39" s="22" t="s">
        <v>486</v>
      </c>
      <c r="AD39" s="105" t="s">
        <v>490</v>
      </c>
      <c r="AE39" s="22" t="s">
        <v>491</v>
      </c>
      <c r="AF39" s="24">
        <f t="shared" si="8"/>
        <v>5.5558999999999996E-6</v>
      </c>
      <c r="AG39" s="20">
        <f t="shared" si="12"/>
        <v>273</v>
      </c>
      <c r="AH39" s="24">
        <f t="shared" si="9"/>
        <v>0</v>
      </c>
      <c r="AI39" s="226" t="str">
        <f>IF(排放源鑑別!AO39&lt;&gt;"",IF(排放源鑑別!AO39&lt;&gt;0,排放源鑑別!AO39,""),"")</f>
        <v/>
      </c>
      <c r="AJ39" s="227"/>
      <c r="AK39" s="228"/>
      <c r="AL39" s="229"/>
      <c r="AM39" s="228"/>
      <c r="AN39" s="230"/>
      <c r="AO39" s="226"/>
      <c r="AP39" s="230"/>
      <c r="AQ39" s="25">
        <f t="shared" si="10"/>
        <v>1.8003</v>
      </c>
      <c r="AR39" s="26">
        <f t="shared" si="13"/>
        <v>1.6667931983949606E-2</v>
      </c>
    </row>
    <row r="40" spans="2:44" ht="13.5" x14ac:dyDescent="0.4">
      <c r="B40" s="9">
        <v>36</v>
      </c>
      <c r="C40" s="9" t="str">
        <f>IF(排放源鑑別!C40&lt;&gt;"",排放源鑑別!C40,"")</f>
        <v>液化天然氣(LNG)</v>
      </c>
      <c r="D40" s="9" t="str">
        <f>排放源鑑別!D40</f>
        <v>類別1</v>
      </c>
      <c r="E40" s="9" t="str">
        <f>排放源鑑別!F40</f>
        <v>移動</v>
      </c>
      <c r="F40" s="27">
        <v>1</v>
      </c>
      <c r="G40" s="11" t="s">
        <v>516</v>
      </c>
      <c r="H40" s="33" t="s">
        <v>487</v>
      </c>
      <c r="I40" s="103" t="s">
        <v>488</v>
      </c>
      <c r="J40" s="11" t="s">
        <v>489</v>
      </c>
      <c r="K40" s="12" t="str">
        <f>IF(排放源鑑別!AE40&lt;&gt;"",IF(排放源鑑別!AE40&lt;&gt;0,排放源鑑別!AE40,""),"")</f>
        <v>CO2</v>
      </c>
      <c r="L40" s="13">
        <f>係數管理表!T174</f>
        <v>2.1139153200000003</v>
      </c>
      <c r="M40" s="12" t="s">
        <v>515</v>
      </c>
      <c r="N40" s="112" t="s">
        <v>490</v>
      </c>
      <c r="O40" s="12" t="s">
        <v>491</v>
      </c>
      <c r="P40" s="15">
        <f t="shared" si="2"/>
        <v>2.1139153199999998</v>
      </c>
      <c r="Q40" s="12">
        <f t="shared" si="3"/>
        <v>1</v>
      </c>
      <c r="R40" s="102">
        <f t="shared" si="4"/>
        <v>2.1139000000000001</v>
      </c>
      <c r="S40" s="16" t="str">
        <f>IF(排放源鑑別!AF40&lt;&gt;"",IF(排放源鑑別!AF40&lt;&gt;0,排放源鑑別!AF40,""),"")</f>
        <v>CH4</v>
      </c>
      <c r="T40" s="17">
        <f>係數管理表!T173</f>
        <v>3.4666704000000004E-3</v>
      </c>
      <c r="U40" s="18" t="s">
        <v>515</v>
      </c>
      <c r="V40" s="104" t="s">
        <v>490</v>
      </c>
      <c r="W40" s="16" t="s">
        <v>491</v>
      </c>
      <c r="X40" s="19">
        <f t="shared" si="5"/>
        <v>3.4666704E-3</v>
      </c>
      <c r="Y40" s="16">
        <f t="shared" si="6"/>
        <v>27.9</v>
      </c>
      <c r="Z40" s="19">
        <f t="shared" si="7"/>
        <v>9.7650000000000001E-2</v>
      </c>
      <c r="AA40" s="20" t="str">
        <f>IF(排放源鑑別!AG40&lt;&gt;"",IF(排放源鑑別!AG40&lt;&gt;0,排放源鑑別!AG40,""),"")</f>
        <v>N2O</v>
      </c>
      <c r="AB40" s="21">
        <f>係數管理表!T175</f>
        <v>1.1304360000000002E-4</v>
      </c>
      <c r="AC40" s="22" t="s">
        <v>515</v>
      </c>
      <c r="AD40" s="105" t="s">
        <v>490</v>
      </c>
      <c r="AE40" s="22" t="s">
        <v>491</v>
      </c>
      <c r="AF40" s="24">
        <f t="shared" si="8"/>
        <v>1.130436E-4</v>
      </c>
      <c r="AG40" s="20">
        <f t="shared" si="12"/>
        <v>273</v>
      </c>
      <c r="AH40" s="24">
        <f t="shared" si="9"/>
        <v>2.7300000000000001E-2</v>
      </c>
      <c r="AI40" s="226" t="str">
        <f>IF(排放源鑑別!AO40&lt;&gt;"",IF(排放源鑑別!AO40&lt;&gt;0,排放源鑑別!AO40,""),"")</f>
        <v/>
      </c>
      <c r="AJ40" s="227"/>
      <c r="AK40" s="228"/>
      <c r="AL40" s="229"/>
      <c r="AM40" s="228"/>
      <c r="AN40" s="230"/>
      <c r="AO40" s="226"/>
      <c r="AP40" s="230"/>
      <c r="AQ40" s="25">
        <f t="shared" si="10"/>
        <v>2.2389000000000001</v>
      </c>
      <c r="AR40" s="26">
        <f t="shared" si="13"/>
        <v>2.0728674620265942E-2</v>
      </c>
    </row>
    <row r="41" spans="2:44" ht="13.5" x14ac:dyDescent="0.4">
      <c r="B41" s="9">
        <v>37</v>
      </c>
      <c r="C41" s="9" t="str">
        <f>IF(排放源鑑別!C41&lt;&gt;"",排放源鑑別!C41,"")</f>
        <v>冰水機(R-22)</v>
      </c>
      <c r="D41" s="9" t="str">
        <f>排放源鑑別!D41</f>
        <v>類別1</v>
      </c>
      <c r="E41" s="130" t="str">
        <f>排放源鑑別!F41</f>
        <v>逸散</v>
      </c>
      <c r="F41" s="27">
        <v>1</v>
      </c>
      <c r="G41" s="11" t="s">
        <v>542</v>
      </c>
      <c r="H41" s="103" t="s">
        <v>546</v>
      </c>
      <c r="I41" s="103" t="s">
        <v>488</v>
      </c>
      <c r="J41" s="11" t="s">
        <v>489</v>
      </c>
      <c r="K41" s="12"/>
      <c r="L41" s="13"/>
      <c r="M41" s="12"/>
      <c r="N41" s="12"/>
      <c r="O41" s="12"/>
      <c r="P41" s="15"/>
      <c r="Q41" s="12"/>
      <c r="R41" s="102"/>
      <c r="S41" s="16" t="str">
        <f>IF(排放源鑑別!AF41&lt;&gt;"",IF(排放源鑑別!AF41&lt;&gt;0,排放源鑑別!AF41,""),"")</f>
        <v/>
      </c>
      <c r="T41" s="17"/>
      <c r="U41" s="18" t="str">
        <f t="shared" si="11"/>
        <v/>
      </c>
      <c r="V41" s="28"/>
      <c r="W41" s="28"/>
      <c r="X41" s="19" t="str">
        <f>IF(T41&lt;&gt;"",ROUND(F41,4)*ROUND(T41,10),"")</f>
        <v/>
      </c>
      <c r="Y41" s="16" t="str">
        <f t="shared" si="6"/>
        <v/>
      </c>
      <c r="Z41" s="19" t="str">
        <f t="shared" si="7"/>
        <v/>
      </c>
      <c r="AA41" s="20" t="str">
        <f>IF(排放源鑑別!AG41&lt;&gt;"",IF(排放源鑑別!AG41&lt;&gt;0,排放源鑑別!AG41,""),"")</f>
        <v/>
      </c>
      <c r="AB41" s="21"/>
      <c r="AC41" s="22" t="str">
        <f t="shared" ref="AC41:AC54" si="14">IF(AB41&lt;&gt;"",M41,"")</f>
        <v/>
      </c>
      <c r="AD41" s="29"/>
      <c r="AE41" s="23"/>
      <c r="AF41" s="24" t="str">
        <f>IF(AB41&lt;&gt;"",ROUND(F41,4)*ROUND(AB41,10),"")</f>
        <v/>
      </c>
      <c r="AG41" s="20" t="str">
        <f t="shared" si="12"/>
        <v/>
      </c>
      <c r="AH41" s="24" t="str">
        <f t="shared" si="9"/>
        <v/>
      </c>
      <c r="AI41" s="226" t="str">
        <f>IF(排放源鑑別!AE41&lt;&gt;"",IF(排放源鑑別!AE41&lt;&gt;0,排放源鑑別!AE41,""),"")</f>
        <v>HFCS</v>
      </c>
      <c r="AJ41" s="227">
        <v>8.5000000000000006E-5</v>
      </c>
      <c r="AK41" s="228" t="s">
        <v>503</v>
      </c>
      <c r="AL41" s="231" t="s">
        <v>683</v>
      </c>
      <c r="AM41" s="232" t="s">
        <v>491</v>
      </c>
      <c r="AN41" s="230">
        <f t="shared" ref="AN41:AN55" si="15">IF(AJ41&lt;&gt;"",ROUND(F41,4)*ROUND(AJ41,10),"")</f>
        <v>8.5000000000000006E-5</v>
      </c>
      <c r="AO41" s="226">
        <f>冷媒GWP!B6</f>
        <v>1960</v>
      </c>
      <c r="AP41" s="230">
        <f t="shared" ref="AP6:AP53" si="16">IF(AN41&lt;&gt;"",ROUND(AN41,4)*ROUND(AO41,4),"")</f>
        <v>0.19600000000000001</v>
      </c>
      <c r="AQ41" s="25">
        <f t="shared" si="10"/>
        <v>0.19600000000000001</v>
      </c>
      <c r="AR41" s="26">
        <f t="shared" si="13"/>
        <v>1.8146501521158268E-3</v>
      </c>
    </row>
    <row r="42" spans="2:44" ht="13.5" x14ac:dyDescent="0.4">
      <c r="B42" s="9">
        <v>38</v>
      </c>
      <c r="C42" s="9" t="str">
        <f>IF(排放源鑑別!C42&lt;&gt;"",排放源鑑別!C42,"")</f>
        <v>電冰箱(R-22)</v>
      </c>
      <c r="D42" s="9" t="str">
        <f>排放源鑑別!D42</f>
        <v>類別1</v>
      </c>
      <c r="E42" s="130" t="str">
        <f>排放源鑑別!F42</f>
        <v>逸散</v>
      </c>
      <c r="F42" s="27">
        <v>1</v>
      </c>
      <c r="G42" s="11" t="s">
        <v>542</v>
      </c>
      <c r="H42" s="103" t="s">
        <v>546</v>
      </c>
      <c r="I42" s="103" t="s">
        <v>488</v>
      </c>
      <c r="J42" s="11" t="s">
        <v>489</v>
      </c>
      <c r="K42" s="12"/>
      <c r="L42" s="13"/>
      <c r="M42" s="12"/>
      <c r="N42" s="12"/>
      <c r="O42" s="12"/>
      <c r="P42" s="15"/>
      <c r="Q42" s="12"/>
      <c r="R42" s="102"/>
      <c r="S42" s="16" t="str">
        <f>IF(排放源鑑別!AF42&lt;&gt;"",IF(排放源鑑別!AF42&lt;&gt;0,排放源鑑別!AF42,""),"")</f>
        <v/>
      </c>
      <c r="T42" s="17"/>
      <c r="U42" s="18" t="str">
        <f t="shared" si="11"/>
        <v/>
      </c>
      <c r="V42" s="28"/>
      <c r="W42" s="28"/>
      <c r="X42" s="19" t="str">
        <f>IF(T42&lt;&gt;"",ROUND(F42,4)*ROUND(T42,10),"")</f>
        <v/>
      </c>
      <c r="Y42" s="16" t="str">
        <f t="shared" si="6"/>
        <v/>
      </c>
      <c r="Z42" s="19" t="str">
        <f t="shared" si="7"/>
        <v/>
      </c>
      <c r="AA42" s="20" t="str">
        <f>IF(排放源鑑別!AG42&lt;&gt;"",IF(排放源鑑別!AG42&lt;&gt;0,排放源鑑別!AG42,""),"")</f>
        <v/>
      </c>
      <c r="AB42" s="21"/>
      <c r="AC42" s="22" t="str">
        <f t="shared" si="14"/>
        <v/>
      </c>
      <c r="AD42" s="29"/>
      <c r="AE42" s="23"/>
      <c r="AF42" s="24" t="str">
        <f>IF(AB42&lt;&gt;"",ROUND(F42,4)*ROUND(AB42,10),"")</f>
        <v/>
      </c>
      <c r="AG42" s="20" t="str">
        <f t="shared" si="12"/>
        <v/>
      </c>
      <c r="AH42" s="24" t="str">
        <f t="shared" si="9"/>
        <v/>
      </c>
      <c r="AI42" s="226" t="str">
        <f>IF(排放源鑑別!AE42&lt;&gt;"",IF(排放源鑑別!AE42&lt;&gt;0,排放源鑑別!AE42,""),"")</f>
        <v>HFCS</v>
      </c>
      <c r="AJ42" s="227">
        <v>3.0000000000000001E-6</v>
      </c>
      <c r="AK42" s="228" t="s">
        <v>503</v>
      </c>
      <c r="AL42" s="231" t="s">
        <v>683</v>
      </c>
      <c r="AM42" s="232" t="s">
        <v>491</v>
      </c>
      <c r="AN42" s="230">
        <f t="shared" si="15"/>
        <v>3.0000000000000001E-6</v>
      </c>
      <c r="AO42" s="226">
        <f>冷媒GWP!B6</f>
        <v>1960</v>
      </c>
      <c r="AP42" s="230">
        <f t="shared" si="16"/>
        <v>0</v>
      </c>
      <c r="AQ42" s="25">
        <f t="shared" si="10"/>
        <v>0</v>
      </c>
      <c r="AR42" s="26">
        <f t="shared" si="13"/>
        <v>0</v>
      </c>
    </row>
    <row r="43" spans="2:44" ht="13.5" x14ac:dyDescent="0.4">
      <c r="B43" s="9">
        <v>39</v>
      </c>
      <c r="C43" s="9" t="str">
        <f>IF(排放源鑑別!C43&lt;&gt;"",排放源鑑別!C43,"")</f>
        <v>冷氣機(R-22)</v>
      </c>
      <c r="D43" s="9" t="str">
        <f>排放源鑑別!D43</f>
        <v>類別1</v>
      </c>
      <c r="E43" s="130" t="str">
        <f>排放源鑑別!F43</f>
        <v>逸散</v>
      </c>
      <c r="F43" s="27">
        <v>1</v>
      </c>
      <c r="G43" s="11" t="s">
        <v>542</v>
      </c>
      <c r="H43" s="103" t="s">
        <v>546</v>
      </c>
      <c r="I43" s="103" t="s">
        <v>488</v>
      </c>
      <c r="J43" s="11" t="s">
        <v>489</v>
      </c>
      <c r="K43" s="12"/>
      <c r="L43" s="13"/>
      <c r="M43" s="12"/>
      <c r="N43" s="12"/>
      <c r="O43" s="12"/>
      <c r="P43" s="15"/>
      <c r="Q43" s="12"/>
      <c r="R43" s="102"/>
      <c r="S43" s="16" t="str">
        <f>IF(排放源鑑別!AF43&lt;&gt;"",IF(排放源鑑別!AF43&lt;&gt;0,排放源鑑別!AF43,""),"")</f>
        <v/>
      </c>
      <c r="T43" s="17"/>
      <c r="U43" s="18" t="str">
        <f t="shared" si="11"/>
        <v/>
      </c>
      <c r="V43" s="28"/>
      <c r="W43" s="28"/>
      <c r="X43" s="19" t="str">
        <f t="shared" si="5"/>
        <v/>
      </c>
      <c r="Y43" s="16" t="str">
        <f t="shared" si="6"/>
        <v/>
      </c>
      <c r="Z43" s="19" t="str">
        <f t="shared" si="7"/>
        <v/>
      </c>
      <c r="AA43" s="20" t="str">
        <f>IF(排放源鑑別!AG43&lt;&gt;"",IF(排放源鑑別!AG43&lt;&gt;0,排放源鑑別!AG43,""),"")</f>
        <v/>
      </c>
      <c r="AB43" s="21"/>
      <c r="AC43" s="22" t="str">
        <f t="shared" si="14"/>
        <v/>
      </c>
      <c r="AD43" s="29"/>
      <c r="AE43" s="23"/>
      <c r="AF43" s="24" t="str">
        <f t="shared" si="8"/>
        <v/>
      </c>
      <c r="AG43" s="20" t="str">
        <f t="shared" si="12"/>
        <v/>
      </c>
      <c r="AH43" s="24" t="str">
        <f t="shared" si="9"/>
        <v/>
      </c>
      <c r="AI43" s="226" t="str">
        <f>IF(排放源鑑別!AE43&lt;&gt;"",IF(排放源鑑別!AE43&lt;&gt;0,排放源鑑別!AE43,""),"")</f>
        <v>HFCS</v>
      </c>
      <c r="AJ43" s="227">
        <v>5.5000000000000002E-5</v>
      </c>
      <c r="AK43" s="228" t="s">
        <v>503</v>
      </c>
      <c r="AL43" s="231" t="s">
        <v>683</v>
      </c>
      <c r="AM43" s="232" t="s">
        <v>491</v>
      </c>
      <c r="AN43" s="230">
        <f t="shared" si="15"/>
        <v>5.5000000000000002E-5</v>
      </c>
      <c r="AO43" s="226">
        <f>冷媒GWP!B6</f>
        <v>1960</v>
      </c>
      <c r="AP43" s="230">
        <f t="shared" si="16"/>
        <v>0.19600000000000001</v>
      </c>
      <c r="AQ43" s="25">
        <f t="shared" si="10"/>
        <v>0.19600000000000001</v>
      </c>
      <c r="AR43" s="26">
        <f t="shared" si="13"/>
        <v>1.8146501521158268E-3</v>
      </c>
    </row>
    <row r="44" spans="2:44" ht="13.5" x14ac:dyDescent="0.4">
      <c r="B44" s="9">
        <v>40</v>
      </c>
      <c r="C44" s="9" t="str">
        <f>IF(排放源鑑別!C44&lt;&gt;"",排放源鑑別!C44,"")</f>
        <v>車用空調(R-22)</v>
      </c>
      <c r="D44" s="9" t="str">
        <f>排放源鑑別!D44</f>
        <v>類別1</v>
      </c>
      <c r="E44" s="130" t="str">
        <f>排放源鑑別!F44</f>
        <v>逸散</v>
      </c>
      <c r="F44" s="27">
        <v>1</v>
      </c>
      <c r="G44" s="11" t="s">
        <v>542</v>
      </c>
      <c r="H44" s="103" t="s">
        <v>546</v>
      </c>
      <c r="I44" s="103" t="s">
        <v>488</v>
      </c>
      <c r="J44" s="11" t="s">
        <v>489</v>
      </c>
      <c r="K44" s="12"/>
      <c r="L44" s="13"/>
      <c r="M44" s="12"/>
      <c r="N44" s="12"/>
      <c r="O44" s="12"/>
      <c r="P44" s="15"/>
      <c r="Q44" s="12"/>
      <c r="R44" s="102"/>
      <c r="S44" s="16" t="str">
        <f>IF(排放源鑑別!AF44&lt;&gt;"",IF(排放源鑑別!AF44&lt;&gt;0,排放源鑑別!AF44,""),"")</f>
        <v/>
      </c>
      <c r="T44" s="17"/>
      <c r="U44" s="18" t="str">
        <f t="shared" si="11"/>
        <v/>
      </c>
      <c r="V44" s="28"/>
      <c r="W44" s="28"/>
      <c r="X44" s="19" t="str">
        <f t="shared" si="5"/>
        <v/>
      </c>
      <c r="Y44" s="16" t="str">
        <f t="shared" si="6"/>
        <v/>
      </c>
      <c r="Z44" s="19" t="str">
        <f t="shared" si="7"/>
        <v/>
      </c>
      <c r="AA44" s="20" t="str">
        <f>IF(排放源鑑別!AG44&lt;&gt;"",IF(排放源鑑別!AG44&lt;&gt;0,排放源鑑別!AG44,""),"")</f>
        <v/>
      </c>
      <c r="AB44" s="21"/>
      <c r="AC44" s="22" t="str">
        <f t="shared" si="14"/>
        <v/>
      </c>
      <c r="AD44" s="29"/>
      <c r="AE44" s="23"/>
      <c r="AF44" s="24" t="str">
        <f t="shared" si="8"/>
        <v/>
      </c>
      <c r="AG44" s="20" t="str">
        <f t="shared" si="12"/>
        <v/>
      </c>
      <c r="AH44" s="24" t="str">
        <f t="shared" si="9"/>
        <v/>
      </c>
      <c r="AI44" s="226" t="str">
        <f>IF(排放源鑑別!AE44&lt;&gt;"",IF(排放源鑑別!AE44&lt;&gt;0,排放源鑑別!AE44,""),"")</f>
        <v>HFCS</v>
      </c>
      <c r="AJ44" s="227">
        <v>1.4999999999999999E-4</v>
      </c>
      <c r="AK44" s="228" t="s">
        <v>503</v>
      </c>
      <c r="AL44" s="231" t="s">
        <v>683</v>
      </c>
      <c r="AM44" s="232" t="s">
        <v>491</v>
      </c>
      <c r="AN44" s="230">
        <f t="shared" si="15"/>
        <v>1.4999999999999999E-4</v>
      </c>
      <c r="AO44" s="226">
        <f>冷媒GWP!B6</f>
        <v>1960</v>
      </c>
      <c r="AP44" s="230">
        <f t="shared" si="16"/>
        <v>0.39200000000000002</v>
      </c>
      <c r="AQ44" s="25">
        <f t="shared" si="10"/>
        <v>0.39200000000000002</v>
      </c>
      <c r="AR44" s="26">
        <f t="shared" si="13"/>
        <v>3.6293003042316536E-3</v>
      </c>
    </row>
    <row r="45" spans="2:44" ht="13.5" x14ac:dyDescent="0.4">
      <c r="B45" s="9">
        <v>41</v>
      </c>
      <c r="C45" s="9" t="str">
        <f>IF(排放源鑑別!C45&lt;&gt;"",排放源鑑別!C45,"")</f>
        <v>熱泵熱水器(R-22)</v>
      </c>
      <c r="D45" s="9" t="str">
        <f>排放源鑑別!D45</f>
        <v>類別1</v>
      </c>
      <c r="E45" s="130" t="str">
        <f>排放源鑑別!F45</f>
        <v>逸散</v>
      </c>
      <c r="F45" s="27">
        <v>1</v>
      </c>
      <c r="G45" s="11" t="s">
        <v>542</v>
      </c>
      <c r="H45" s="103" t="s">
        <v>546</v>
      </c>
      <c r="I45" s="103" t="s">
        <v>488</v>
      </c>
      <c r="J45" s="11" t="s">
        <v>489</v>
      </c>
      <c r="K45" s="12"/>
      <c r="L45" s="13"/>
      <c r="M45" s="12"/>
      <c r="N45" s="12"/>
      <c r="O45" s="12"/>
      <c r="P45" s="15"/>
      <c r="Q45" s="12"/>
      <c r="R45" s="102"/>
      <c r="S45" s="16" t="str">
        <f>IF(排放源鑑別!AF45&lt;&gt;"",IF(排放源鑑別!AF45&lt;&gt;0,排放源鑑別!AF45,""),"")</f>
        <v/>
      </c>
      <c r="T45" s="17"/>
      <c r="U45" s="18" t="str">
        <f t="shared" si="11"/>
        <v/>
      </c>
      <c r="V45" s="28"/>
      <c r="W45" s="28"/>
      <c r="X45" s="19" t="str">
        <f t="shared" si="5"/>
        <v/>
      </c>
      <c r="Y45" s="16" t="str">
        <f t="shared" si="6"/>
        <v/>
      </c>
      <c r="Z45" s="19" t="str">
        <f t="shared" si="7"/>
        <v/>
      </c>
      <c r="AA45" s="20" t="str">
        <f>IF(排放源鑑別!AG45&lt;&gt;"",IF(排放源鑑別!AG45&lt;&gt;0,排放源鑑別!AG45,""),"")</f>
        <v/>
      </c>
      <c r="AB45" s="21"/>
      <c r="AC45" s="22" t="str">
        <f t="shared" si="14"/>
        <v/>
      </c>
      <c r="AD45" s="29"/>
      <c r="AE45" s="23"/>
      <c r="AF45" s="24" t="str">
        <f t="shared" si="8"/>
        <v/>
      </c>
      <c r="AG45" s="20" t="str">
        <f t="shared" si="12"/>
        <v/>
      </c>
      <c r="AH45" s="24" t="str">
        <f t="shared" si="9"/>
        <v/>
      </c>
      <c r="AI45" s="226" t="str">
        <f>IF(排放源鑑別!AE45&lt;&gt;"",IF(排放源鑑別!AE45&lt;&gt;0,排放源鑑別!AE45,""),"")</f>
        <v>HFCS</v>
      </c>
      <c r="AJ45" s="227">
        <v>5.5000000000000002E-5</v>
      </c>
      <c r="AK45" s="228" t="s">
        <v>503</v>
      </c>
      <c r="AL45" s="231" t="s">
        <v>683</v>
      </c>
      <c r="AM45" s="232" t="s">
        <v>491</v>
      </c>
      <c r="AN45" s="230">
        <f t="shared" si="15"/>
        <v>5.5000000000000002E-5</v>
      </c>
      <c r="AO45" s="226">
        <f>冷媒GWP!B6</f>
        <v>1960</v>
      </c>
      <c r="AP45" s="230">
        <f t="shared" si="16"/>
        <v>0.19600000000000001</v>
      </c>
      <c r="AQ45" s="25">
        <f t="shared" si="10"/>
        <v>0.19600000000000001</v>
      </c>
      <c r="AR45" s="26">
        <f t="shared" si="13"/>
        <v>1.8146501521158268E-3</v>
      </c>
    </row>
    <row r="46" spans="2:44" ht="13.5" x14ac:dyDescent="0.4">
      <c r="B46" s="9">
        <v>42</v>
      </c>
      <c r="C46" s="9" t="str">
        <f>IF(排放源鑑別!C46&lt;&gt;"",排放源鑑別!C46,"")</f>
        <v>冷凍機(R-22)</v>
      </c>
      <c r="D46" s="9" t="str">
        <f>排放源鑑別!D46</f>
        <v>類別1</v>
      </c>
      <c r="E46" s="130" t="str">
        <f>排放源鑑別!F46</f>
        <v>逸散</v>
      </c>
      <c r="F46" s="27">
        <v>1</v>
      </c>
      <c r="G46" s="11" t="s">
        <v>542</v>
      </c>
      <c r="H46" s="103" t="s">
        <v>546</v>
      </c>
      <c r="I46" s="103" t="s">
        <v>488</v>
      </c>
      <c r="J46" s="11" t="s">
        <v>489</v>
      </c>
      <c r="K46" s="12"/>
      <c r="L46" s="13"/>
      <c r="M46" s="12"/>
      <c r="N46" s="12"/>
      <c r="O46" s="12"/>
      <c r="P46" s="15"/>
      <c r="Q46" s="12"/>
      <c r="R46" s="102"/>
      <c r="S46" s="16" t="str">
        <f>IF(排放源鑑別!AF46&lt;&gt;"",IF(排放源鑑別!AF46&lt;&gt;0,排放源鑑別!AF46,""),"")</f>
        <v/>
      </c>
      <c r="T46" s="17"/>
      <c r="U46" s="18" t="str">
        <f t="shared" si="11"/>
        <v/>
      </c>
      <c r="V46" s="28"/>
      <c r="W46" s="28"/>
      <c r="X46" s="19" t="str">
        <f t="shared" si="5"/>
        <v/>
      </c>
      <c r="Y46" s="16" t="str">
        <f t="shared" si="6"/>
        <v/>
      </c>
      <c r="Z46" s="19" t="str">
        <f t="shared" si="7"/>
        <v/>
      </c>
      <c r="AA46" s="20" t="str">
        <f>IF(排放源鑑別!AG46&lt;&gt;"",IF(排放源鑑別!AG46&lt;&gt;0,排放源鑑別!AG46,""),"")</f>
        <v/>
      </c>
      <c r="AB46" s="21"/>
      <c r="AC46" s="22" t="str">
        <f t="shared" si="14"/>
        <v/>
      </c>
      <c r="AD46" s="29"/>
      <c r="AE46" s="23"/>
      <c r="AF46" s="24" t="str">
        <f t="shared" si="8"/>
        <v/>
      </c>
      <c r="AG46" s="20" t="str">
        <f t="shared" si="12"/>
        <v/>
      </c>
      <c r="AH46" s="24" t="str">
        <f t="shared" si="9"/>
        <v/>
      </c>
      <c r="AI46" s="226" t="str">
        <f>IF(排放源鑑別!AE46&lt;&gt;"",IF(排放源鑑別!AE46&lt;&gt;0,排放源鑑別!AE46,""),"")</f>
        <v>HFCS</v>
      </c>
      <c r="AJ46" s="227">
        <v>1.6000000000000001E-4</v>
      </c>
      <c r="AK46" s="228" t="s">
        <v>503</v>
      </c>
      <c r="AL46" s="231" t="s">
        <v>683</v>
      </c>
      <c r="AM46" s="232" t="s">
        <v>491</v>
      </c>
      <c r="AN46" s="230">
        <f t="shared" si="15"/>
        <v>1.6000000000000001E-4</v>
      </c>
      <c r="AO46" s="226">
        <f>冷媒GWP!B6</f>
        <v>1960</v>
      </c>
      <c r="AP46" s="230">
        <f t="shared" si="16"/>
        <v>0.39200000000000002</v>
      </c>
      <c r="AQ46" s="25">
        <f t="shared" si="10"/>
        <v>0.39200000000000002</v>
      </c>
      <c r="AR46" s="26">
        <f t="shared" si="13"/>
        <v>3.6293003042316536E-3</v>
      </c>
    </row>
    <row r="47" spans="2:44" ht="13.5" x14ac:dyDescent="0.4">
      <c r="B47" s="9">
        <v>43</v>
      </c>
      <c r="C47" s="9" t="str">
        <f>IF(排放源鑑別!C47&lt;&gt;"",排放源鑑別!C47,"")</f>
        <v>冷凍乾燥機(R-22)</v>
      </c>
      <c r="D47" s="9" t="str">
        <f>排放源鑑別!D47</f>
        <v>類別1</v>
      </c>
      <c r="E47" s="130" t="str">
        <f>排放源鑑別!F47</f>
        <v>逸散</v>
      </c>
      <c r="F47" s="27">
        <v>1</v>
      </c>
      <c r="G47" s="11" t="s">
        <v>542</v>
      </c>
      <c r="H47" s="103" t="s">
        <v>546</v>
      </c>
      <c r="I47" s="103" t="s">
        <v>488</v>
      </c>
      <c r="J47" s="11" t="s">
        <v>489</v>
      </c>
      <c r="K47" s="12"/>
      <c r="L47" s="13"/>
      <c r="M47" s="12"/>
      <c r="N47" s="12"/>
      <c r="O47" s="12"/>
      <c r="P47" s="15"/>
      <c r="Q47" s="12"/>
      <c r="R47" s="102"/>
      <c r="S47" s="16" t="str">
        <f>IF(排放源鑑別!AF47&lt;&gt;"",IF(排放源鑑別!AF47&lt;&gt;0,排放源鑑別!AF47,""),"")</f>
        <v/>
      </c>
      <c r="T47" s="17"/>
      <c r="U47" s="18" t="str">
        <f t="shared" si="11"/>
        <v/>
      </c>
      <c r="V47" s="28"/>
      <c r="W47" s="28"/>
      <c r="X47" s="19" t="str">
        <f t="shared" si="5"/>
        <v/>
      </c>
      <c r="Y47" s="16" t="str">
        <f t="shared" si="6"/>
        <v/>
      </c>
      <c r="Z47" s="19" t="str">
        <f t="shared" si="7"/>
        <v/>
      </c>
      <c r="AA47" s="20" t="str">
        <f>IF(排放源鑑別!AG47&lt;&gt;"",IF(排放源鑑別!AG47&lt;&gt;0,排放源鑑別!AG47,""),"")</f>
        <v/>
      </c>
      <c r="AB47" s="21"/>
      <c r="AC47" s="22" t="str">
        <f t="shared" si="14"/>
        <v/>
      </c>
      <c r="AD47" s="29"/>
      <c r="AE47" s="23"/>
      <c r="AF47" s="24" t="str">
        <f t="shared" si="8"/>
        <v/>
      </c>
      <c r="AG47" s="20" t="str">
        <f t="shared" si="12"/>
        <v/>
      </c>
      <c r="AH47" s="24" t="str">
        <f t="shared" si="9"/>
        <v/>
      </c>
      <c r="AI47" s="226" t="str">
        <f>IF(排放源鑑別!AE47&lt;&gt;"",IF(排放源鑑別!AE47&lt;&gt;0,排放源鑑別!AE47,""),"")</f>
        <v>HFCS</v>
      </c>
      <c r="AJ47" s="227">
        <v>8.0000000000000007E-5</v>
      </c>
      <c r="AK47" s="228" t="s">
        <v>503</v>
      </c>
      <c r="AL47" s="231" t="s">
        <v>683</v>
      </c>
      <c r="AM47" s="232" t="s">
        <v>491</v>
      </c>
      <c r="AN47" s="230">
        <f t="shared" si="15"/>
        <v>8.0000000000000007E-5</v>
      </c>
      <c r="AO47" s="226">
        <f>冷媒GWP!B6</f>
        <v>1960</v>
      </c>
      <c r="AP47" s="230">
        <f t="shared" si="16"/>
        <v>0.19600000000000001</v>
      </c>
      <c r="AQ47" s="25">
        <f t="shared" si="10"/>
        <v>0.19600000000000001</v>
      </c>
      <c r="AR47" s="26">
        <f t="shared" si="13"/>
        <v>1.8146501521158268E-3</v>
      </c>
    </row>
    <row r="48" spans="2:44" ht="13.5" x14ac:dyDescent="0.4">
      <c r="B48" s="9">
        <v>44</v>
      </c>
      <c r="C48" s="9" t="str">
        <f>IF(排放源鑑別!C48&lt;&gt;"",排放源鑑別!C48,"")</f>
        <v>熱泵系統(R-22)</v>
      </c>
      <c r="D48" s="9" t="str">
        <f>排放源鑑別!D48</f>
        <v>類別1</v>
      </c>
      <c r="E48" s="130" t="str">
        <f>排放源鑑別!F48</f>
        <v>逸散</v>
      </c>
      <c r="F48" s="27">
        <v>1</v>
      </c>
      <c r="G48" s="11" t="s">
        <v>542</v>
      </c>
      <c r="H48" s="103" t="s">
        <v>546</v>
      </c>
      <c r="I48" s="103" t="s">
        <v>488</v>
      </c>
      <c r="J48" s="11" t="s">
        <v>489</v>
      </c>
      <c r="K48" s="12"/>
      <c r="L48" s="13"/>
      <c r="M48" s="12"/>
      <c r="N48" s="12"/>
      <c r="O48" s="12"/>
      <c r="P48" s="15"/>
      <c r="Q48" s="12"/>
      <c r="R48" s="102"/>
      <c r="S48" s="16" t="str">
        <f>IF(排放源鑑別!AF48&lt;&gt;"",IF(排放源鑑別!AF48&lt;&gt;0,排放源鑑別!AF48,""),"")</f>
        <v/>
      </c>
      <c r="T48" s="17"/>
      <c r="U48" s="18" t="str">
        <f t="shared" si="11"/>
        <v/>
      </c>
      <c r="V48" s="28"/>
      <c r="W48" s="28"/>
      <c r="X48" s="19" t="str">
        <f t="shared" si="5"/>
        <v/>
      </c>
      <c r="Y48" s="16" t="str">
        <f t="shared" si="6"/>
        <v/>
      </c>
      <c r="Z48" s="19" t="str">
        <f t="shared" si="7"/>
        <v/>
      </c>
      <c r="AA48" s="20" t="str">
        <f>IF(排放源鑑別!AG48&lt;&gt;"",IF(排放源鑑別!AG48&lt;&gt;0,排放源鑑別!AG48,""),"")</f>
        <v/>
      </c>
      <c r="AB48" s="21"/>
      <c r="AC48" s="22" t="str">
        <f t="shared" si="14"/>
        <v/>
      </c>
      <c r="AD48" s="29"/>
      <c r="AE48" s="23"/>
      <c r="AF48" s="24" t="str">
        <f t="shared" si="8"/>
        <v/>
      </c>
      <c r="AG48" s="20" t="str">
        <f t="shared" si="12"/>
        <v/>
      </c>
      <c r="AH48" s="24" t="str">
        <f t="shared" si="9"/>
        <v/>
      </c>
      <c r="AI48" s="226" t="str">
        <f>IF(排放源鑑別!AE48&lt;&gt;"",IF(排放源鑑別!AE48&lt;&gt;0,排放源鑑別!AE48,""),"")</f>
        <v>HFCS</v>
      </c>
      <c r="AJ48" s="227">
        <v>8.5000000000000006E-5</v>
      </c>
      <c r="AK48" s="228" t="s">
        <v>503</v>
      </c>
      <c r="AL48" s="231" t="s">
        <v>683</v>
      </c>
      <c r="AM48" s="232" t="s">
        <v>491</v>
      </c>
      <c r="AN48" s="230">
        <f t="shared" si="15"/>
        <v>8.5000000000000006E-5</v>
      </c>
      <c r="AO48" s="226">
        <f>冷媒GWP!B6</f>
        <v>1960</v>
      </c>
      <c r="AP48" s="230">
        <f t="shared" si="16"/>
        <v>0.19600000000000001</v>
      </c>
      <c r="AQ48" s="25">
        <f t="shared" si="10"/>
        <v>0.19600000000000001</v>
      </c>
      <c r="AR48" s="26">
        <f t="shared" si="13"/>
        <v>1.8146501521158268E-3</v>
      </c>
    </row>
    <row r="49" spans="2:44" ht="13.5" x14ac:dyDescent="0.4">
      <c r="B49" s="9">
        <v>45</v>
      </c>
      <c r="C49" s="9" t="str">
        <f>IF(排放源鑑別!C49&lt;&gt;"",排放源鑑別!C49,"")</f>
        <v>冷凍(藏)庫(R-22)</v>
      </c>
      <c r="D49" s="9" t="str">
        <f>排放源鑑別!D49</f>
        <v>類別1</v>
      </c>
      <c r="E49" s="130" t="str">
        <f>排放源鑑別!F49</f>
        <v>逸散</v>
      </c>
      <c r="F49" s="27">
        <v>1</v>
      </c>
      <c r="G49" s="11" t="s">
        <v>542</v>
      </c>
      <c r="H49" s="103" t="s">
        <v>546</v>
      </c>
      <c r="I49" s="103" t="s">
        <v>488</v>
      </c>
      <c r="J49" s="11" t="s">
        <v>489</v>
      </c>
      <c r="K49" s="12"/>
      <c r="L49" s="13"/>
      <c r="M49" s="12"/>
      <c r="N49" s="12"/>
      <c r="O49" s="12"/>
      <c r="P49" s="15"/>
      <c r="Q49" s="12"/>
      <c r="R49" s="102"/>
      <c r="S49" s="16" t="str">
        <f>IF(排放源鑑別!AF49&lt;&gt;"",IF(排放源鑑別!AF49&lt;&gt;0,排放源鑑別!AF49,""),"")</f>
        <v/>
      </c>
      <c r="T49" s="17"/>
      <c r="U49" s="18" t="str">
        <f t="shared" si="11"/>
        <v/>
      </c>
      <c r="V49" s="28"/>
      <c r="W49" s="28"/>
      <c r="X49" s="19" t="str">
        <f t="shared" si="5"/>
        <v/>
      </c>
      <c r="Y49" s="16" t="str">
        <f t="shared" si="6"/>
        <v/>
      </c>
      <c r="Z49" s="19" t="str">
        <f t="shared" si="7"/>
        <v/>
      </c>
      <c r="AA49" s="20" t="str">
        <f>IF(排放源鑑別!AG49&lt;&gt;"",IF(排放源鑑別!AG49&lt;&gt;0,排放源鑑別!AG49,""),"")</f>
        <v/>
      </c>
      <c r="AB49" s="21"/>
      <c r="AC49" s="22" t="str">
        <f t="shared" si="14"/>
        <v/>
      </c>
      <c r="AD49" s="29"/>
      <c r="AE49" s="23"/>
      <c r="AF49" s="24" t="str">
        <f t="shared" si="8"/>
        <v/>
      </c>
      <c r="AG49" s="20" t="str">
        <f t="shared" si="12"/>
        <v/>
      </c>
      <c r="AH49" s="24" t="str">
        <f t="shared" si="9"/>
        <v/>
      </c>
      <c r="AI49" s="226" t="str">
        <f>IF(排放源鑑別!AE49&lt;&gt;"",IF(排放源鑑別!AE49&lt;&gt;0,排放源鑑別!AE49,""),"")</f>
        <v>HFCS</v>
      </c>
      <c r="AJ49" s="227">
        <v>3.0000000000000001E-6</v>
      </c>
      <c r="AK49" s="228" t="s">
        <v>503</v>
      </c>
      <c r="AL49" s="231" t="s">
        <v>683</v>
      </c>
      <c r="AM49" s="232" t="s">
        <v>491</v>
      </c>
      <c r="AN49" s="230">
        <f t="shared" si="15"/>
        <v>3.0000000000000001E-6</v>
      </c>
      <c r="AO49" s="226">
        <f>冷媒GWP!B6</f>
        <v>1960</v>
      </c>
      <c r="AP49" s="230">
        <f t="shared" si="16"/>
        <v>0</v>
      </c>
      <c r="AQ49" s="25">
        <f t="shared" si="10"/>
        <v>0</v>
      </c>
      <c r="AR49" s="26">
        <f t="shared" si="13"/>
        <v>0</v>
      </c>
    </row>
    <row r="50" spans="2:44" ht="13.5" x14ac:dyDescent="0.4">
      <c r="B50" s="9">
        <v>46</v>
      </c>
      <c r="C50" s="9" t="str">
        <f>IF(排放源鑑別!C50&lt;&gt;"",排放源鑑別!C50,"")</f>
        <v>大型冷凍(藏)庫(R-22)</v>
      </c>
      <c r="D50" s="9" t="str">
        <f>排放源鑑別!D50</f>
        <v>類別1</v>
      </c>
      <c r="E50" s="130" t="str">
        <f>排放源鑑別!F50</f>
        <v>逸散</v>
      </c>
      <c r="F50" s="27">
        <v>1</v>
      </c>
      <c r="G50" s="11" t="s">
        <v>542</v>
      </c>
      <c r="H50" s="103" t="s">
        <v>546</v>
      </c>
      <c r="I50" s="103" t="s">
        <v>488</v>
      </c>
      <c r="J50" s="11" t="s">
        <v>489</v>
      </c>
      <c r="K50" s="12"/>
      <c r="L50" s="13"/>
      <c r="M50" s="12"/>
      <c r="N50" s="12"/>
      <c r="O50" s="12"/>
      <c r="P50" s="15"/>
      <c r="Q50" s="12"/>
      <c r="R50" s="102"/>
      <c r="S50" s="16" t="str">
        <f>IF(排放源鑑別!AF50&lt;&gt;"",IF(排放源鑑別!AF50&lt;&gt;0,排放源鑑別!AF50,""),"")</f>
        <v/>
      </c>
      <c r="T50" s="17"/>
      <c r="U50" s="18" t="str">
        <f t="shared" si="11"/>
        <v/>
      </c>
      <c r="V50" s="28"/>
      <c r="W50" s="28"/>
      <c r="X50" s="19" t="str">
        <f t="shared" si="5"/>
        <v/>
      </c>
      <c r="Y50" s="16" t="str">
        <f t="shared" si="6"/>
        <v/>
      </c>
      <c r="Z50" s="19" t="str">
        <f t="shared" si="7"/>
        <v/>
      </c>
      <c r="AA50" s="20" t="str">
        <f>IF(排放源鑑別!AG50&lt;&gt;"",IF(排放源鑑別!AG50&lt;&gt;0,排放源鑑別!AG50,""),"")</f>
        <v/>
      </c>
      <c r="AB50" s="21"/>
      <c r="AC50" s="22" t="str">
        <f t="shared" si="14"/>
        <v/>
      </c>
      <c r="AD50" s="29"/>
      <c r="AE50" s="23"/>
      <c r="AF50" s="24" t="str">
        <f t="shared" si="8"/>
        <v/>
      </c>
      <c r="AG50" s="20" t="str">
        <f t="shared" si="12"/>
        <v/>
      </c>
      <c r="AH50" s="24" t="str">
        <f t="shared" si="9"/>
        <v/>
      </c>
      <c r="AI50" s="226" t="str">
        <f>IF(排放源鑑別!AE50&lt;&gt;"",IF(排放源鑑別!AE50&lt;&gt;0,排放源鑑別!AE50,""),"")</f>
        <v>HFCS</v>
      </c>
      <c r="AJ50" s="227">
        <v>2.2499999999999999E-4</v>
      </c>
      <c r="AK50" s="228" t="s">
        <v>503</v>
      </c>
      <c r="AL50" s="231" t="s">
        <v>683</v>
      </c>
      <c r="AM50" s="232" t="s">
        <v>491</v>
      </c>
      <c r="AN50" s="230">
        <f t="shared" si="15"/>
        <v>2.2499999999999999E-4</v>
      </c>
      <c r="AO50" s="226">
        <f>冷媒GWP!B6</f>
        <v>1960</v>
      </c>
      <c r="AP50" s="230">
        <f t="shared" si="16"/>
        <v>0.39200000000000002</v>
      </c>
      <c r="AQ50" s="25">
        <f t="shared" si="10"/>
        <v>0.39200000000000002</v>
      </c>
      <c r="AR50" s="26">
        <f t="shared" si="13"/>
        <v>3.6293003042316536E-3</v>
      </c>
    </row>
    <row r="51" spans="2:44" ht="13.5" x14ac:dyDescent="0.4">
      <c r="B51" s="9">
        <v>47</v>
      </c>
      <c r="C51" s="9" t="str">
        <f>IF(排放源鑑別!C51&lt;&gt;"",排放源鑑別!C51,"")</f>
        <v>冷凍物流車(R-22)</v>
      </c>
      <c r="D51" s="9" t="str">
        <f>排放源鑑別!D51</f>
        <v>類別1</v>
      </c>
      <c r="E51" s="130" t="str">
        <f>排放源鑑別!F51</f>
        <v>逸散</v>
      </c>
      <c r="F51" s="27">
        <v>1</v>
      </c>
      <c r="G51" s="11" t="s">
        <v>542</v>
      </c>
      <c r="H51" s="103" t="s">
        <v>546</v>
      </c>
      <c r="I51" s="103" t="s">
        <v>488</v>
      </c>
      <c r="J51" s="11" t="s">
        <v>489</v>
      </c>
      <c r="K51" s="12"/>
      <c r="L51" s="13"/>
      <c r="M51" s="12"/>
      <c r="N51" s="12"/>
      <c r="O51" s="12"/>
      <c r="P51" s="15"/>
      <c r="Q51" s="12"/>
      <c r="R51" s="102"/>
      <c r="S51" s="16" t="str">
        <f>IF(排放源鑑別!AF51&lt;&gt;"",IF(排放源鑑別!AF51&lt;&gt;0,排放源鑑別!AF51,""),"")</f>
        <v/>
      </c>
      <c r="T51" s="17"/>
      <c r="U51" s="18" t="str">
        <f t="shared" si="11"/>
        <v/>
      </c>
      <c r="V51" s="28"/>
      <c r="W51" s="28"/>
      <c r="X51" s="19" t="str">
        <f t="shared" si="5"/>
        <v/>
      </c>
      <c r="Y51" s="16" t="str">
        <f t="shared" si="6"/>
        <v/>
      </c>
      <c r="Z51" s="19" t="str">
        <f t="shared" si="7"/>
        <v/>
      </c>
      <c r="AA51" s="20" t="str">
        <f>IF(排放源鑑別!AG51&lt;&gt;"",IF(排放源鑑別!AG51&lt;&gt;0,排放源鑑別!AG51,""),"")</f>
        <v/>
      </c>
      <c r="AB51" s="21"/>
      <c r="AC51" s="22" t="str">
        <f t="shared" si="14"/>
        <v/>
      </c>
      <c r="AD51" s="29"/>
      <c r="AE51" s="23"/>
      <c r="AF51" s="24" t="str">
        <f t="shared" si="8"/>
        <v/>
      </c>
      <c r="AG51" s="20" t="str">
        <f t="shared" si="12"/>
        <v/>
      </c>
      <c r="AH51" s="24" t="str">
        <f t="shared" si="9"/>
        <v/>
      </c>
      <c r="AI51" s="226" t="str">
        <f>IF(排放源鑑別!AE51&lt;&gt;"",IF(排放源鑑別!AE51&lt;&gt;0,排放源鑑別!AE51,""),"")</f>
        <v>HFCS</v>
      </c>
      <c r="AJ51" s="227">
        <v>3.2499999999999999E-4</v>
      </c>
      <c r="AK51" s="228" t="s">
        <v>503</v>
      </c>
      <c r="AL51" s="231" t="s">
        <v>683</v>
      </c>
      <c r="AM51" s="232" t="s">
        <v>491</v>
      </c>
      <c r="AN51" s="230">
        <f t="shared" si="15"/>
        <v>3.2499999999999999E-4</v>
      </c>
      <c r="AO51" s="226">
        <f>冷媒GWP!B6</f>
        <v>1960</v>
      </c>
      <c r="AP51" s="230">
        <f t="shared" si="16"/>
        <v>0.58799999999999997</v>
      </c>
      <c r="AQ51" s="25">
        <f t="shared" si="10"/>
        <v>0.58799999999999997</v>
      </c>
      <c r="AR51" s="26">
        <f t="shared" si="13"/>
        <v>5.4439504563474801E-3</v>
      </c>
    </row>
    <row r="52" spans="2:44" ht="13.5" x14ac:dyDescent="0.4">
      <c r="B52" s="9">
        <v>48</v>
      </c>
      <c r="C52" s="9" t="str">
        <f>IF(排放源鑑別!C52&lt;&gt;"",排放源鑑別!C52,"")</f>
        <v>除濕機(R-22)</v>
      </c>
      <c r="D52" s="9" t="str">
        <f>排放源鑑別!D52</f>
        <v>類別1</v>
      </c>
      <c r="E52" s="130" t="str">
        <f>排放源鑑別!F52</f>
        <v>逸散</v>
      </c>
      <c r="F52" s="27">
        <v>1</v>
      </c>
      <c r="G52" s="11" t="s">
        <v>542</v>
      </c>
      <c r="H52" s="103" t="s">
        <v>546</v>
      </c>
      <c r="I52" s="103" t="s">
        <v>488</v>
      </c>
      <c r="J52" s="11" t="s">
        <v>489</v>
      </c>
      <c r="K52" s="12"/>
      <c r="L52" s="13"/>
      <c r="M52" s="12"/>
      <c r="N52" s="12"/>
      <c r="O52" s="12"/>
      <c r="P52" s="15"/>
      <c r="Q52" s="12"/>
      <c r="R52" s="102"/>
      <c r="S52" s="16" t="str">
        <f>IF(排放源鑑別!AF52&lt;&gt;"",IF(排放源鑑別!AF52&lt;&gt;0,排放源鑑別!AF52,""),"")</f>
        <v/>
      </c>
      <c r="T52" s="17"/>
      <c r="U52" s="18" t="str">
        <f t="shared" si="11"/>
        <v/>
      </c>
      <c r="V52" s="28"/>
      <c r="W52" s="28"/>
      <c r="X52" s="19" t="str">
        <f t="shared" si="5"/>
        <v/>
      </c>
      <c r="Y52" s="16" t="str">
        <f t="shared" si="6"/>
        <v/>
      </c>
      <c r="Z52" s="19" t="str">
        <f t="shared" si="7"/>
        <v/>
      </c>
      <c r="AA52" s="20" t="str">
        <f>IF(排放源鑑別!AG52&lt;&gt;"",IF(排放源鑑別!AG52&lt;&gt;0,排放源鑑別!AG52,""),"")</f>
        <v/>
      </c>
      <c r="AB52" s="21"/>
      <c r="AC52" s="22" t="str">
        <f t="shared" si="14"/>
        <v/>
      </c>
      <c r="AD52" s="29"/>
      <c r="AE52" s="23"/>
      <c r="AF52" s="24" t="str">
        <f t="shared" si="8"/>
        <v/>
      </c>
      <c r="AG52" s="20" t="str">
        <f t="shared" si="12"/>
        <v/>
      </c>
      <c r="AH52" s="24" t="str">
        <f t="shared" si="9"/>
        <v/>
      </c>
      <c r="AI52" s="226" t="str">
        <f>IF(排放源鑑別!AE52&lt;&gt;"",IF(排放源鑑別!AE52&lt;&gt;0,排放源鑑別!AE52,""),"")</f>
        <v>HFCS</v>
      </c>
      <c r="AJ52" s="227">
        <v>5.5000000000000002E-5</v>
      </c>
      <c r="AK52" s="228" t="s">
        <v>503</v>
      </c>
      <c r="AL52" s="231" t="s">
        <v>683</v>
      </c>
      <c r="AM52" s="232" t="s">
        <v>491</v>
      </c>
      <c r="AN52" s="230">
        <f t="shared" si="15"/>
        <v>5.5000000000000002E-5</v>
      </c>
      <c r="AO52" s="226">
        <f>冷媒GWP!B6</f>
        <v>1960</v>
      </c>
      <c r="AP52" s="230">
        <f t="shared" si="16"/>
        <v>0.19600000000000001</v>
      </c>
      <c r="AQ52" s="25">
        <f t="shared" si="10"/>
        <v>0.19600000000000001</v>
      </c>
      <c r="AR52" s="26">
        <f t="shared" si="13"/>
        <v>1.8146501521158268E-3</v>
      </c>
    </row>
    <row r="53" spans="2:44" ht="13.5" x14ac:dyDescent="0.4">
      <c r="B53" s="9">
        <v>49</v>
      </c>
      <c r="C53" s="9" t="str">
        <f>IF(排放源鑑別!C53&lt;&gt;"",排放源鑑別!C53,"")</f>
        <v>化糞池</v>
      </c>
      <c r="D53" s="9" t="str">
        <f>排放源鑑別!D53</f>
        <v>類別1</v>
      </c>
      <c r="E53" s="130" t="str">
        <f>排放源鑑別!F53</f>
        <v>逸散</v>
      </c>
      <c r="F53" s="27">
        <v>1</v>
      </c>
      <c r="G53" s="11" t="s">
        <v>559</v>
      </c>
      <c r="H53" s="113" t="s">
        <v>558</v>
      </c>
      <c r="I53" s="113" t="s">
        <v>557</v>
      </c>
      <c r="J53" s="11" t="s">
        <v>489</v>
      </c>
      <c r="K53" s="12"/>
      <c r="L53" s="13"/>
      <c r="M53" s="12"/>
      <c r="N53" s="115"/>
      <c r="O53" s="30"/>
      <c r="P53" s="15"/>
      <c r="Q53" s="12"/>
      <c r="R53" s="102"/>
      <c r="S53" s="16" t="str">
        <f>IF(排放源鑑別!AE53&lt;&gt;"",IF(排放源鑑別!AE53&lt;&gt;0,排放源鑑別!AE53,""),"")</f>
        <v>CH4</v>
      </c>
      <c r="T53" s="17">
        <v>1.5938000000000001E-6</v>
      </c>
      <c r="U53" s="18" t="s">
        <v>560</v>
      </c>
      <c r="V53" s="28" t="s">
        <v>681</v>
      </c>
      <c r="W53" s="28" t="s">
        <v>491</v>
      </c>
      <c r="X53" s="19">
        <f>IF(T53&lt;&gt;"",ROUND(F53,4)*ROUND(T53,10),"")</f>
        <v>1.5938000000000001E-6</v>
      </c>
      <c r="Y53" s="16">
        <f t="shared" si="6"/>
        <v>27.9</v>
      </c>
      <c r="Z53" s="19">
        <f t="shared" si="7"/>
        <v>0</v>
      </c>
      <c r="AA53" s="20" t="str">
        <f>IF(排放源鑑別!AG53&lt;&gt;"",IF(排放源鑑別!AG53&lt;&gt;0,排放源鑑別!AG53,""),"")</f>
        <v/>
      </c>
      <c r="AB53" s="21"/>
      <c r="AC53" s="22" t="str">
        <f t="shared" si="14"/>
        <v/>
      </c>
      <c r="AD53" s="29"/>
      <c r="AE53" s="23"/>
      <c r="AF53" s="24" t="str">
        <f>IF(AB53&lt;&gt;"",ROUND(F53,4)*ROUND(AB53,10),"")</f>
        <v/>
      </c>
      <c r="AG53" s="20" t="str">
        <f t="shared" si="12"/>
        <v/>
      </c>
      <c r="AH53" s="24" t="str">
        <f t="shared" si="9"/>
        <v/>
      </c>
      <c r="AI53" s="226" t="str">
        <f>IF(排放源鑑別!AO53&lt;&gt;"",IF(排放源鑑別!AO53&lt;&gt;0,排放源鑑別!AO53,""),"")</f>
        <v/>
      </c>
      <c r="AJ53" s="227"/>
      <c r="AK53" s="228" t="str">
        <f t="shared" ref="AK41:AK75" si="17">IF(AJ53&lt;&gt;"",U53,"")</f>
        <v/>
      </c>
      <c r="AL53" s="231"/>
      <c r="AM53" s="232"/>
      <c r="AN53" s="230" t="str">
        <f t="shared" si="15"/>
        <v/>
      </c>
      <c r="AO53" s="226" t="str">
        <f t="shared" ref="AO18:AO75" si="18">IF(AI53="CO2",1,IF(AI53="CH4",28,IF(AI53="N2O",273,IF(AI53="NF3",16100,""))))</f>
        <v/>
      </c>
      <c r="AP53" s="230" t="str">
        <f t="shared" si="16"/>
        <v/>
      </c>
      <c r="AQ53" s="25">
        <f t="shared" si="10"/>
        <v>0</v>
      </c>
      <c r="AR53" s="26">
        <f t="shared" si="13"/>
        <v>0</v>
      </c>
    </row>
    <row r="54" spans="2:44" ht="13.5" x14ac:dyDescent="0.4">
      <c r="B54" s="9">
        <v>50</v>
      </c>
      <c r="C54" s="9" t="str">
        <f>IF(排放源鑑別!C54&lt;&gt;"",排放源鑑別!C54,"")</f>
        <v>滅火器(CO2)</v>
      </c>
      <c r="D54" s="9" t="str">
        <f>排放源鑑別!D54</f>
        <v>類別1</v>
      </c>
      <c r="E54" s="130" t="str">
        <f>排放源鑑別!F54</f>
        <v>逸散</v>
      </c>
      <c r="F54" s="27">
        <v>1</v>
      </c>
      <c r="G54" s="11" t="s">
        <v>542</v>
      </c>
      <c r="H54" s="103" t="s">
        <v>546</v>
      </c>
      <c r="I54" s="103" t="s">
        <v>488</v>
      </c>
      <c r="J54" s="11" t="s">
        <v>489</v>
      </c>
      <c r="K54" s="12" t="str">
        <f>IF(排放源鑑別!AE54&lt;&gt;"",IF(排放源鑑別!AE54&lt;&gt;0,排放源鑑別!AE54,""),"")</f>
        <v>CO2</v>
      </c>
      <c r="L54" s="13">
        <f>0.04/1000</f>
        <v>4.0000000000000003E-5</v>
      </c>
      <c r="M54" s="12" t="s">
        <v>503</v>
      </c>
      <c r="N54" s="12" t="s">
        <v>562</v>
      </c>
      <c r="O54" s="30" t="s">
        <v>491</v>
      </c>
      <c r="P54" s="15">
        <f>IF(L54&lt;&gt;"",ROUND(F54,4)*ROUND(L54,10),"")</f>
        <v>4.0000000000000003E-5</v>
      </c>
      <c r="Q54" s="12">
        <f t="shared" ref="Q54:Q55" si="19">IF(K54="CO2",1,IF(K54="CH4",27.9,IF(K54="N2O",273,IF(K54="NF3",17400,IF(K54="SF6",24300,"")))))</f>
        <v>1</v>
      </c>
      <c r="R54" s="102">
        <f t="shared" si="4"/>
        <v>0</v>
      </c>
      <c r="S54" s="16" t="str">
        <f>IF(排放源鑑別!AF54&lt;&gt;"",IF(排放源鑑別!AF54&lt;&gt;0,排放源鑑別!AF54,""),"")</f>
        <v/>
      </c>
      <c r="T54" s="17"/>
      <c r="U54" s="18" t="str">
        <f t="shared" si="11"/>
        <v/>
      </c>
      <c r="V54" s="28"/>
      <c r="W54" s="28"/>
      <c r="X54" s="19" t="str">
        <f>IF(T54&lt;&gt;"",ROUND(F54,4)*ROUND(T54,10),"")</f>
        <v/>
      </c>
      <c r="Y54" s="16" t="str">
        <f t="shared" si="6"/>
        <v/>
      </c>
      <c r="Z54" s="19" t="str">
        <f t="shared" si="7"/>
        <v/>
      </c>
      <c r="AA54" s="20" t="str">
        <f>IF(排放源鑑別!AG54&lt;&gt;"",IF(排放源鑑別!AG54&lt;&gt;0,排放源鑑別!AG54,""),"")</f>
        <v/>
      </c>
      <c r="AB54" s="21"/>
      <c r="AC54" s="22" t="str">
        <f t="shared" si="14"/>
        <v/>
      </c>
      <c r="AD54" s="29"/>
      <c r="AE54" s="23"/>
      <c r="AF54" s="24" t="str">
        <f>IF(AB54&lt;&gt;"",ROUND(F54,4)*ROUND(AB54,10),"")</f>
        <v/>
      </c>
      <c r="AG54" s="20" t="str">
        <f t="shared" si="12"/>
        <v/>
      </c>
      <c r="AH54" s="24" t="str">
        <f>IF(AF54&lt;&gt;"",ROUND(AF54,4)*ROUND(AG54,4),"")</f>
        <v/>
      </c>
      <c r="AI54" s="226" t="str">
        <f>IF(排放源鑑別!AO54&lt;&gt;"",IF(排放源鑑別!AO54&lt;&gt;0,排放源鑑別!AO54,""),"")</f>
        <v/>
      </c>
      <c r="AJ54" s="227"/>
      <c r="AK54" s="228" t="str">
        <f t="shared" si="17"/>
        <v/>
      </c>
      <c r="AL54" s="231"/>
      <c r="AM54" s="232"/>
      <c r="AN54" s="230" t="str">
        <f t="shared" si="15"/>
        <v/>
      </c>
      <c r="AO54" s="226" t="str">
        <f t="shared" si="18"/>
        <v/>
      </c>
      <c r="AP54" s="230" t="str">
        <f>IF(AN54&lt;&gt;"",ROUND(AN54,4)*ROUND(AO54,4),"")</f>
        <v/>
      </c>
      <c r="AQ54" s="25">
        <f t="shared" si="10"/>
        <v>0</v>
      </c>
      <c r="AR54" s="26">
        <f t="shared" si="13"/>
        <v>0</v>
      </c>
    </row>
    <row r="55" spans="2:44" ht="13.5" x14ac:dyDescent="0.4">
      <c r="B55" s="9">
        <v>51</v>
      </c>
      <c r="C55" s="9" t="str">
        <f>IF(排放源鑑別!C55&lt;&gt;"",排放源鑑別!C55,"")</f>
        <v>WD-40</v>
      </c>
      <c r="D55" s="9" t="str">
        <f>排放源鑑別!D55</f>
        <v>類別1</v>
      </c>
      <c r="E55" s="9" t="str">
        <f>排放源鑑別!F55</f>
        <v>製程</v>
      </c>
      <c r="F55" s="10">
        <v>1</v>
      </c>
      <c r="G55" s="11" t="s">
        <v>502</v>
      </c>
      <c r="H55" s="33" t="s">
        <v>487</v>
      </c>
      <c r="I55" s="103" t="s">
        <v>488</v>
      </c>
      <c r="J55" s="11" t="s">
        <v>489</v>
      </c>
      <c r="K55" s="12" t="str">
        <f>IF(排放源鑑別!AE55&lt;&gt;"",IF(排放源鑑別!AE55&lt;&gt;0,排放源鑑別!AE55,""),"")</f>
        <v>CO2</v>
      </c>
      <c r="L55" s="13">
        <v>2.5000000000000001E-2</v>
      </c>
      <c r="M55" s="12" t="s">
        <v>503</v>
      </c>
      <c r="N55" s="12" t="s">
        <v>563</v>
      </c>
      <c r="O55" s="30" t="s">
        <v>543</v>
      </c>
      <c r="P55" s="15">
        <f t="shared" ref="P55:P70" si="20">IF(L55&lt;&gt;"",ROUND(F55,4)*ROUND(L55,10),"")</f>
        <v>2.5000000000000001E-2</v>
      </c>
      <c r="Q55" s="12">
        <f t="shared" si="19"/>
        <v>1</v>
      </c>
      <c r="R55" s="102">
        <f t="shared" ref="R55:R70" si="21">IF(P55&lt;&gt;"",ROUND(P55,4)*ROUND(Q55,4),"")</f>
        <v>2.5000000000000001E-2</v>
      </c>
      <c r="S55" s="16" t="str">
        <f>IF(排放源鑑別!AF55&lt;&gt;"",IF(排放源鑑別!AF55&lt;&gt;0,排放源鑑別!AF55,""),"")</f>
        <v/>
      </c>
      <c r="T55" s="17"/>
      <c r="U55" s="18" t="str">
        <f t="shared" ref="U55:U70" si="22">IF(T55&lt;&gt;"",M55,"")</f>
        <v/>
      </c>
      <c r="V55" s="28"/>
      <c r="W55" s="28"/>
      <c r="X55" s="19" t="str">
        <f t="shared" ref="X55:X70" si="23">IF(T55&lt;&gt;"",ROUND(F55,4)*ROUND(T55,10),"")</f>
        <v/>
      </c>
      <c r="Y55" s="16" t="str">
        <f t="shared" si="6"/>
        <v/>
      </c>
      <c r="Z55" s="19" t="str">
        <f t="shared" ref="Z55:Z70" si="24">IF(X55&lt;&gt;"",ROUND(X55,4)*ROUND(Y55,4),"")</f>
        <v/>
      </c>
      <c r="AA55" s="20" t="str">
        <f>IF(排放源鑑別!AG55&lt;&gt;"",IF(排放源鑑別!AG55&lt;&gt;0,排放源鑑別!AG55,""),"")</f>
        <v/>
      </c>
      <c r="AB55" s="21"/>
      <c r="AC55" s="22" t="str">
        <f t="shared" ref="AC55:AC70" si="25">IF(AB55&lt;&gt;"",M55,"")</f>
        <v/>
      </c>
      <c r="AD55" s="29"/>
      <c r="AE55" s="23"/>
      <c r="AF55" s="24" t="str">
        <f t="shared" ref="AF55:AF70" si="26">IF(AB55&lt;&gt;"",ROUND(F55,4)*ROUND(AB55,10),"")</f>
        <v/>
      </c>
      <c r="AG55" s="20" t="str">
        <f t="shared" ref="AG55:AG70" si="27">IF(AA55="CO2",1,IF(AA55="CH4",28,IF(AA55="N2O",273,IF(AA55="NF3",16100,""))))</f>
        <v/>
      </c>
      <c r="AH55" s="24" t="str">
        <f t="shared" ref="AH55:AH70" si="28">IF(AF55&lt;&gt;"",ROUND(AF55,4)*ROUND(AG55,4),"")</f>
        <v/>
      </c>
      <c r="AI55" s="226" t="str">
        <f>IF(排放源鑑別!AO55&lt;&gt;"",IF(排放源鑑別!AO55&lt;&gt;0,排放源鑑別!AO55,""),"")</f>
        <v/>
      </c>
      <c r="AJ55" s="227"/>
      <c r="AK55" s="228" t="str">
        <f t="shared" si="17"/>
        <v/>
      </c>
      <c r="AL55" s="231"/>
      <c r="AM55" s="232"/>
      <c r="AN55" s="230" t="str">
        <f t="shared" si="15"/>
        <v/>
      </c>
      <c r="AO55" s="226" t="str">
        <f t="shared" si="18"/>
        <v/>
      </c>
      <c r="AP55" s="230" t="str">
        <f t="shared" ref="AP55:AP75" si="29">IF(AN55&lt;&gt;"",ROUND(AN55,4)*ROUND(AO55,4),"")</f>
        <v/>
      </c>
      <c r="AQ55" s="25">
        <f t="shared" si="10"/>
        <v>2.5000000000000001E-2</v>
      </c>
      <c r="AR55" s="26">
        <f t="shared" si="13"/>
        <v>2.3146047858620242E-4</v>
      </c>
    </row>
    <row r="56" spans="2:44" ht="39" x14ac:dyDescent="0.4">
      <c r="B56" s="9">
        <v>52</v>
      </c>
      <c r="C56" s="9" t="str">
        <f>IF(排放源鑑別!C56&lt;&gt;"",排放源鑑別!C56,"")</f>
        <v>氣體斷路器(GCB)</v>
      </c>
      <c r="D56" s="9" t="str">
        <f>排放源鑑別!D56</f>
        <v>類別1</v>
      </c>
      <c r="E56" s="130" t="str">
        <f>排放源鑑別!F56</f>
        <v>逸散</v>
      </c>
      <c r="F56" s="10">
        <v>1</v>
      </c>
      <c r="G56" s="11" t="s">
        <v>542</v>
      </c>
      <c r="H56" s="103" t="s">
        <v>546</v>
      </c>
      <c r="I56" s="103" t="s">
        <v>488</v>
      </c>
      <c r="J56" s="11" t="s">
        <v>489</v>
      </c>
      <c r="K56" s="12"/>
      <c r="L56" s="13"/>
      <c r="M56" s="12"/>
      <c r="N56" s="116"/>
      <c r="O56" s="30"/>
      <c r="P56" s="15"/>
      <c r="Q56" s="12"/>
      <c r="R56" s="102"/>
      <c r="S56" s="16" t="str">
        <f>IF(排放源鑑別!AF56&lt;&gt;"",IF(排放源鑑別!AF56&lt;&gt;0,排放源鑑別!AF56,""),"")</f>
        <v/>
      </c>
      <c r="T56" s="17"/>
      <c r="U56" s="18" t="str">
        <f t="shared" si="22"/>
        <v/>
      </c>
      <c r="V56" s="28"/>
      <c r="W56" s="28"/>
      <c r="X56" s="19" t="str">
        <f t="shared" si="23"/>
        <v/>
      </c>
      <c r="Y56" s="16" t="str">
        <f t="shared" si="6"/>
        <v/>
      </c>
      <c r="Z56" s="19" t="str">
        <f t="shared" si="24"/>
        <v/>
      </c>
      <c r="AA56" s="20" t="str">
        <f>IF(排放源鑑別!AG56&lt;&gt;"",IF(排放源鑑別!AG56&lt;&gt;0,排放源鑑別!AG56,""),"")</f>
        <v/>
      </c>
      <c r="AB56" s="21"/>
      <c r="AC56" s="22" t="str">
        <f t="shared" si="25"/>
        <v/>
      </c>
      <c r="AD56" s="29"/>
      <c r="AE56" s="23"/>
      <c r="AF56" s="24" t="str">
        <f t="shared" si="26"/>
        <v/>
      </c>
      <c r="AG56" s="20" t="str">
        <f t="shared" si="27"/>
        <v/>
      </c>
      <c r="AH56" s="24" t="str">
        <f t="shared" si="28"/>
        <v/>
      </c>
      <c r="AI56" s="226" t="str">
        <f>IF(排放源鑑別!AE56&lt;&gt;"",IF(排放源鑑別!AE56&lt;&gt;0,排放源鑑別!AE56,""),"")</f>
        <v>SF6</v>
      </c>
      <c r="AJ56" s="227">
        <v>9.9999999999999995E-7</v>
      </c>
      <c r="AK56" s="228" t="s">
        <v>503</v>
      </c>
      <c r="AL56" s="231" t="s">
        <v>684</v>
      </c>
      <c r="AM56" s="232" t="s">
        <v>543</v>
      </c>
      <c r="AN56" s="230">
        <f>IF(AJ56&lt;&gt;"",ROUND(F56,4)*ROUND(AJ56,10),"")</f>
        <v>9.9999999999999995E-7</v>
      </c>
      <c r="AO56" s="226">
        <f>IF(AI56="CO2",1,IF(AI56="CH4",27.9,IF(AI56="N2O",273,IF(AI56="NF3",17400,IF(AI56="SF6",24300,"")))))</f>
        <v>24300</v>
      </c>
      <c r="AP56" s="230">
        <f t="shared" si="29"/>
        <v>0</v>
      </c>
      <c r="AQ56" s="25">
        <f t="shared" si="10"/>
        <v>0</v>
      </c>
      <c r="AR56" s="26">
        <f t="shared" si="13"/>
        <v>0</v>
      </c>
    </row>
    <row r="57" spans="2:44" ht="13.5" x14ac:dyDescent="0.4">
      <c r="B57" s="9">
        <v>53</v>
      </c>
      <c r="C57" s="9" t="str">
        <f>IF(排放源鑑別!C57&lt;&gt;"",排放源鑑別!C57,"")</f>
        <v>乙炔</v>
      </c>
      <c r="D57" s="9" t="str">
        <f>排放源鑑別!D57</f>
        <v>類別1</v>
      </c>
      <c r="E57" s="9" t="str">
        <f>排放源鑑別!F57</f>
        <v>製程</v>
      </c>
      <c r="F57" s="10">
        <v>1</v>
      </c>
      <c r="G57" s="11" t="s">
        <v>502</v>
      </c>
      <c r="H57" s="33" t="s">
        <v>487</v>
      </c>
      <c r="I57" s="103" t="s">
        <v>488</v>
      </c>
      <c r="J57" s="11" t="s">
        <v>489</v>
      </c>
      <c r="K57" s="12" t="str">
        <f>IF(排放源鑑別!AE57&lt;&gt;"",IF(排放源鑑別!AE57&lt;&gt;0,排放源鑑別!AE57,""),"")</f>
        <v>CO2</v>
      </c>
      <c r="L57" s="13">
        <f>88/26</f>
        <v>3.3846153846153846</v>
      </c>
      <c r="M57" s="12" t="s">
        <v>503</v>
      </c>
      <c r="N57" s="116" t="s">
        <v>572</v>
      </c>
      <c r="O57" s="30" t="s">
        <v>543</v>
      </c>
      <c r="P57" s="15">
        <f t="shared" si="20"/>
        <v>3.3846153846</v>
      </c>
      <c r="Q57" s="12">
        <f t="shared" ref="Q57:Q70" si="30">IF(K57="CO2",1,IF(K57="CH4",27.9,IF(K57="N2O",273,IF(K57="NF3",17400,IF(K57="SF6",24300,"")))))</f>
        <v>1</v>
      </c>
      <c r="R57" s="102">
        <f t="shared" si="21"/>
        <v>3.3845999999999998</v>
      </c>
      <c r="S57" s="16" t="str">
        <f>IF(排放源鑑別!AF57&lt;&gt;"",IF(排放源鑑別!AF57&lt;&gt;0,排放源鑑別!AF57,""),"")</f>
        <v/>
      </c>
      <c r="T57" s="17"/>
      <c r="U57" s="18" t="str">
        <f t="shared" si="22"/>
        <v/>
      </c>
      <c r="V57" s="28"/>
      <c r="W57" s="28"/>
      <c r="X57" s="19" t="str">
        <f t="shared" si="23"/>
        <v/>
      </c>
      <c r="Y57" s="16" t="str">
        <f t="shared" si="6"/>
        <v/>
      </c>
      <c r="Z57" s="19" t="str">
        <f t="shared" si="24"/>
        <v/>
      </c>
      <c r="AA57" s="20" t="str">
        <f>IF(排放源鑑別!AG57&lt;&gt;"",IF(排放源鑑別!AG57&lt;&gt;0,排放源鑑別!AG57,""),"")</f>
        <v/>
      </c>
      <c r="AB57" s="21"/>
      <c r="AC57" s="22" t="str">
        <f t="shared" si="25"/>
        <v/>
      </c>
      <c r="AD57" s="29"/>
      <c r="AE57" s="23"/>
      <c r="AF57" s="24" t="str">
        <f t="shared" si="26"/>
        <v/>
      </c>
      <c r="AG57" s="20" t="str">
        <f t="shared" si="27"/>
        <v/>
      </c>
      <c r="AH57" s="24" t="str">
        <f t="shared" si="28"/>
        <v/>
      </c>
      <c r="AI57" s="226" t="str">
        <f>IF(排放源鑑別!AO57&lt;&gt;"",IF(排放源鑑別!AO57&lt;&gt;0,排放源鑑別!AO57,""),"")</f>
        <v/>
      </c>
      <c r="AJ57" s="227"/>
      <c r="AK57" s="228" t="str">
        <f t="shared" si="17"/>
        <v/>
      </c>
      <c r="AL57" s="231"/>
      <c r="AM57" s="232"/>
      <c r="AN57" s="230" t="str">
        <f t="shared" ref="AN55:AN75" si="31">IF(AJ57&lt;&gt;"",ROUND(N57,4)*ROUND(AJ57,10),"")</f>
        <v/>
      </c>
      <c r="AO57" s="226" t="str">
        <f t="shared" si="18"/>
        <v/>
      </c>
      <c r="AP57" s="230" t="str">
        <f t="shared" si="29"/>
        <v/>
      </c>
      <c r="AQ57" s="25">
        <f t="shared" si="10"/>
        <v>3.3845999999999998</v>
      </c>
      <c r="AR57" s="26">
        <f t="shared" si="13"/>
        <v>3.1336045432914426E-2</v>
      </c>
    </row>
    <row r="58" spans="2:44" ht="13.5" x14ac:dyDescent="0.4">
      <c r="B58" s="9">
        <v>54</v>
      </c>
      <c r="C58" s="9" t="str">
        <f>IF(排放源鑑別!C58&lt;&gt;"",排放源鑑別!C58,"")</f>
        <v>焊條(含碳量0.06%)</v>
      </c>
      <c r="D58" s="9" t="str">
        <f>排放源鑑別!D58</f>
        <v>類別1</v>
      </c>
      <c r="E58" s="9" t="str">
        <f>排放源鑑別!F58</f>
        <v>製程</v>
      </c>
      <c r="F58" s="10">
        <v>1</v>
      </c>
      <c r="G58" s="11" t="s">
        <v>502</v>
      </c>
      <c r="H58" s="33" t="s">
        <v>487</v>
      </c>
      <c r="I58" s="103" t="s">
        <v>488</v>
      </c>
      <c r="J58" s="11" t="s">
        <v>489</v>
      </c>
      <c r="K58" s="12" t="str">
        <f>IF(排放源鑑別!AE58&lt;&gt;"",IF(排放源鑑別!AE58&lt;&gt;0,排放源鑑別!AE58,""),"")</f>
        <v>CO2</v>
      </c>
      <c r="L58" s="13">
        <f>44/12</f>
        <v>3.6666666666666665</v>
      </c>
      <c r="M58" s="12" t="s">
        <v>503</v>
      </c>
      <c r="N58" s="116" t="s">
        <v>574</v>
      </c>
      <c r="O58" s="30" t="s">
        <v>543</v>
      </c>
      <c r="P58" s="15">
        <f t="shared" si="20"/>
        <v>3.6666666666999999</v>
      </c>
      <c r="Q58" s="12">
        <f t="shared" si="30"/>
        <v>1</v>
      </c>
      <c r="R58" s="102">
        <f t="shared" si="21"/>
        <v>3.6667000000000001</v>
      </c>
      <c r="S58" s="16" t="str">
        <f>IF(排放源鑑別!AF58&lt;&gt;"",IF(排放源鑑別!AF58&lt;&gt;0,排放源鑑別!AF58,""),"")</f>
        <v/>
      </c>
      <c r="T58" s="17"/>
      <c r="U58" s="18" t="str">
        <f t="shared" si="22"/>
        <v/>
      </c>
      <c r="V58" s="28"/>
      <c r="W58" s="28"/>
      <c r="X58" s="19" t="str">
        <f t="shared" si="23"/>
        <v/>
      </c>
      <c r="Y58" s="16" t="str">
        <f t="shared" si="6"/>
        <v/>
      </c>
      <c r="Z58" s="19" t="str">
        <f t="shared" si="24"/>
        <v/>
      </c>
      <c r="AA58" s="20" t="str">
        <f>IF(排放源鑑別!AG58&lt;&gt;"",IF(排放源鑑別!AG58&lt;&gt;0,排放源鑑別!AG58,""),"")</f>
        <v/>
      </c>
      <c r="AB58" s="21"/>
      <c r="AC58" s="22" t="str">
        <f t="shared" si="25"/>
        <v/>
      </c>
      <c r="AD58" s="29"/>
      <c r="AE58" s="23"/>
      <c r="AF58" s="24" t="str">
        <f t="shared" si="26"/>
        <v/>
      </c>
      <c r="AG58" s="20" t="str">
        <f t="shared" si="27"/>
        <v/>
      </c>
      <c r="AH58" s="24" t="str">
        <f t="shared" si="28"/>
        <v/>
      </c>
      <c r="AI58" s="226" t="str">
        <f>IF(排放源鑑別!AO58&lt;&gt;"",IF(排放源鑑別!AO58&lt;&gt;0,排放源鑑別!AO58,""),"")</f>
        <v/>
      </c>
      <c r="AJ58" s="227"/>
      <c r="AK58" s="228" t="str">
        <f t="shared" si="17"/>
        <v/>
      </c>
      <c r="AL58" s="231"/>
      <c r="AM58" s="232"/>
      <c r="AN58" s="230" t="str">
        <f t="shared" si="31"/>
        <v/>
      </c>
      <c r="AO58" s="226" t="str">
        <f t="shared" si="18"/>
        <v/>
      </c>
      <c r="AP58" s="230" t="str">
        <f t="shared" si="29"/>
        <v/>
      </c>
      <c r="AQ58" s="25">
        <f t="shared" si="10"/>
        <v>3.6667000000000001</v>
      </c>
      <c r="AR58" s="26">
        <f t="shared" si="13"/>
        <v>3.3947845473281134E-2</v>
      </c>
    </row>
    <row r="59" spans="2:44" ht="13.5" x14ac:dyDescent="0.4">
      <c r="B59" s="9">
        <v>55</v>
      </c>
      <c r="C59" s="9" t="str">
        <f>IF(排放源鑑別!C59&lt;&gt;"",排放源鑑別!C59,"")</f>
        <v>外購電力</v>
      </c>
      <c r="D59" s="9" t="str">
        <f>排放源鑑別!D59</f>
        <v>類別2</v>
      </c>
      <c r="E59" s="9" t="str">
        <f>排放源鑑別!F59</f>
        <v>外購電力</v>
      </c>
      <c r="F59" s="27">
        <v>1</v>
      </c>
      <c r="G59" s="11" t="s">
        <v>576</v>
      </c>
      <c r="H59" s="113" t="s">
        <v>577</v>
      </c>
      <c r="I59" s="103" t="s">
        <v>488</v>
      </c>
      <c r="J59" s="11" t="s">
        <v>578</v>
      </c>
      <c r="K59" s="12" t="str">
        <f>IF(排放源鑑別!AE59&lt;&gt;"",IF(排放源鑑別!AE59&lt;&gt;0,排放源鑑別!AE59,""),"")</f>
        <v>CO2</v>
      </c>
      <c r="L59" s="13">
        <v>0.50900000000000001</v>
      </c>
      <c r="M59" s="12" t="s">
        <v>580</v>
      </c>
      <c r="N59" s="114" t="s">
        <v>579</v>
      </c>
      <c r="O59" s="30" t="s">
        <v>491</v>
      </c>
      <c r="P59" s="15">
        <f t="shared" si="20"/>
        <v>0.50900000000000001</v>
      </c>
      <c r="Q59" s="12">
        <f t="shared" si="30"/>
        <v>1</v>
      </c>
      <c r="R59" s="102">
        <f t="shared" si="21"/>
        <v>0.50900000000000001</v>
      </c>
      <c r="S59" s="16" t="str">
        <f>IF(排放源鑑別!AF59&lt;&gt;"",IF(排放源鑑別!AF59&lt;&gt;0,排放源鑑別!AF59,""),"")</f>
        <v/>
      </c>
      <c r="T59" s="17"/>
      <c r="U59" s="18" t="str">
        <f t="shared" si="22"/>
        <v/>
      </c>
      <c r="V59" s="28"/>
      <c r="W59" s="28"/>
      <c r="X59" s="19" t="str">
        <f t="shared" si="23"/>
        <v/>
      </c>
      <c r="Y59" s="16" t="str">
        <f t="shared" si="6"/>
        <v/>
      </c>
      <c r="Z59" s="19" t="str">
        <f t="shared" si="24"/>
        <v/>
      </c>
      <c r="AA59" s="20" t="str">
        <f>IF(排放源鑑別!AG59&lt;&gt;"",IF(排放源鑑別!AG59&lt;&gt;0,排放源鑑別!AG59,""),"")</f>
        <v/>
      </c>
      <c r="AB59" s="21"/>
      <c r="AC59" s="22" t="str">
        <f t="shared" si="25"/>
        <v/>
      </c>
      <c r="AD59" s="29"/>
      <c r="AE59" s="23"/>
      <c r="AF59" s="24" t="str">
        <f t="shared" si="26"/>
        <v/>
      </c>
      <c r="AG59" s="20" t="str">
        <f t="shared" si="27"/>
        <v/>
      </c>
      <c r="AH59" s="24" t="str">
        <f t="shared" si="28"/>
        <v/>
      </c>
      <c r="AI59" s="226" t="str">
        <f>IF(排放源鑑別!AO59&lt;&gt;"",IF(排放源鑑別!AO59&lt;&gt;0,排放源鑑別!AO59,""),"")</f>
        <v/>
      </c>
      <c r="AJ59" s="227"/>
      <c r="AK59" s="228" t="str">
        <f t="shared" si="17"/>
        <v/>
      </c>
      <c r="AL59" s="231"/>
      <c r="AM59" s="232"/>
      <c r="AN59" s="230" t="str">
        <f t="shared" si="31"/>
        <v/>
      </c>
      <c r="AO59" s="226" t="str">
        <f t="shared" si="18"/>
        <v/>
      </c>
      <c r="AP59" s="230" t="str">
        <f t="shared" si="29"/>
        <v/>
      </c>
      <c r="AQ59" s="25">
        <f t="shared" si="10"/>
        <v>0.50900000000000001</v>
      </c>
      <c r="AR59" s="26">
        <f t="shared" si="13"/>
        <v>4.7125353440150806E-3</v>
      </c>
    </row>
    <row r="60" spans="2:44" ht="13.5" x14ac:dyDescent="0.4">
      <c r="B60" s="9">
        <v>56</v>
      </c>
      <c r="C60" s="9" t="str">
        <f>IF(排放源鑑別!C60&lt;&gt;"",排放源鑑別!C60,"")</f>
        <v>外購蒸氣</v>
      </c>
      <c r="D60" s="9" t="str">
        <f>排放源鑑別!D60</f>
        <v>類別2</v>
      </c>
      <c r="E60" s="9" t="str">
        <f>排放源鑑別!F60</f>
        <v>外購蒸氣</v>
      </c>
      <c r="F60" s="10">
        <v>1</v>
      </c>
      <c r="G60" s="11" t="s">
        <v>502</v>
      </c>
      <c r="H60" s="103" t="s">
        <v>582</v>
      </c>
      <c r="I60" s="103" t="s">
        <v>488</v>
      </c>
      <c r="J60" s="11" t="s">
        <v>489</v>
      </c>
      <c r="K60" s="12" t="str">
        <f>IF(排放源鑑別!AE60&lt;&gt;"",IF(排放源鑑別!AE60&lt;&gt;0,排放源鑑別!AE60,""),"")</f>
        <v>CO2</v>
      </c>
      <c r="L60" s="13">
        <v>1</v>
      </c>
      <c r="M60" s="12" t="s">
        <v>503</v>
      </c>
      <c r="N60" s="117" t="s">
        <v>571</v>
      </c>
      <c r="O60" s="30" t="s">
        <v>543</v>
      </c>
      <c r="P60" s="15">
        <f t="shared" si="20"/>
        <v>1</v>
      </c>
      <c r="Q60" s="12">
        <f t="shared" si="30"/>
        <v>1</v>
      </c>
      <c r="R60" s="102">
        <f t="shared" si="21"/>
        <v>1</v>
      </c>
      <c r="S60" s="16" t="str">
        <f>IF(排放源鑑別!AF60&lt;&gt;"",IF(排放源鑑別!AF60&lt;&gt;0,排放源鑑別!AF60,""),"")</f>
        <v/>
      </c>
      <c r="T60" s="17"/>
      <c r="U60" s="18" t="str">
        <f t="shared" si="22"/>
        <v/>
      </c>
      <c r="V60" s="28"/>
      <c r="W60" s="28"/>
      <c r="X60" s="19" t="str">
        <f t="shared" si="23"/>
        <v/>
      </c>
      <c r="Y60" s="16" t="str">
        <f t="shared" si="6"/>
        <v/>
      </c>
      <c r="Z60" s="19" t="str">
        <f t="shared" si="24"/>
        <v/>
      </c>
      <c r="AA60" s="20" t="str">
        <f>IF(排放源鑑別!AG60&lt;&gt;"",IF(排放源鑑別!AG60&lt;&gt;0,排放源鑑別!AG60,""),"")</f>
        <v/>
      </c>
      <c r="AB60" s="21"/>
      <c r="AC60" s="22" t="str">
        <f t="shared" si="25"/>
        <v/>
      </c>
      <c r="AD60" s="29"/>
      <c r="AE60" s="23"/>
      <c r="AF60" s="24" t="str">
        <f t="shared" si="26"/>
        <v/>
      </c>
      <c r="AG60" s="20" t="str">
        <f t="shared" si="27"/>
        <v/>
      </c>
      <c r="AH60" s="24" t="str">
        <f t="shared" si="28"/>
        <v/>
      </c>
      <c r="AI60" s="226" t="str">
        <f>IF(排放源鑑別!AO60&lt;&gt;"",IF(排放源鑑別!AO60&lt;&gt;0,排放源鑑別!AO60,""),"")</f>
        <v/>
      </c>
      <c r="AJ60" s="227"/>
      <c r="AK60" s="228" t="str">
        <f t="shared" si="17"/>
        <v/>
      </c>
      <c r="AL60" s="231"/>
      <c r="AM60" s="232"/>
      <c r="AN60" s="230" t="str">
        <f t="shared" si="31"/>
        <v/>
      </c>
      <c r="AO60" s="226" t="str">
        <f t="shared" si="18"/>
        <v/>
      </c>
      <c r="AP60" s="230" t="str">
        <f t="shared" si="29"/>
        <v/>
      </c>
      <c r="AQ60" s="25">
        <f t="shared" si="10"/>
        <v>1</v>
      </c>
      <c r="AR60" s="26">
        <f t="shared" si="13"/>
        <v>9.2584191434480958E-3</v>
      </c>
    </row>
    <row r="61" spans="2:44" ht="13.5" x14ac:dyDescent="0.4">
      <c r="B61" s="9">
        <v>57</v>
      </c>
      <c r="C61" s="9" t="str">
        <f>IF(排放源鑑別!C61&lt;&gt;"",排放源鑑別!C61,"")</f>
        <v>上游原物料配送</v>
      </c>
      <c r="D61" s="9" t="str">
        <f>排放源鑑別!D61</f>
        <v>類別3</v>
      </c>
      <c r="E61" s="9" t="str">
        <f>排放源鑑別!F61</f>
        <v>原物料運輸</v>
      </c>
      <c r="F61" s="10">
        <v>1</v>
      </c>
      <c r="G61" s="11" t="s">
        <v>661</v>
      </c>
      <c r="H61" s="33"/>
      <c r="I61" s="103" t="s">
        <v>488</v>
      </c>
      <c r="J61" s="11" t="s">
        <v>489</v>
      </c>
      <c r="K61" s="12" t="str">
        <f>IF(排放源鑑別!AE61&lt;&gt;"",IF(排放源鑑別!AE61&lt;&gt;0,排放源鑑別!AE61,""),"")</f>
        <v>CO2</v>
      </c>
      <c r="L61" s="13">
        <v>1</v>
      </c>
      <c r="M61" s="12" t="s">
        <v>663</v>
      </c>
      <c r="N61" s="114"/>
      <c r="O61" s="30"/>
      <c r="P61" s="15">
        <f t="shared" si="20"/>
        <v>1</v>
      </c>
      <c r="Q61" s="12">
        <f t="shared" si="30"/>
        <v>1</v>
      </c>
      <c r="R61" s="102">
        <f t="shared" si="21"/>
        <v>1</v>
      </c>
      <c r="S61" s="16" t="str">
        <f>IF(排放源鑑別!AF61&lt;&gt;"",IF(排放源鑑別!AF61&lt;&gt;0,排放源鑑別!AF61,""),"")</f>
        <v/>
      </c>
      <c r="T61" s="17"/>
      <c r="U61" s="18" t="str">
        <f t="shared" si="22"/>
        <v/>
      </c>
      <c r="V61" s="28"/>
      <c r="W61" s="28"/>
      <c r="X61" s="19" t="str">
        <f t="shared" si="23"/>
        <v/>
      </c>
      <c r="Y61" s="16" t="str">
        <f t="shared" si="6"/>
        <v/>
      </c>
      <c r="Z61" s="19" t="str">
        <f t="shared" si="24"/>
        <v/>
      </c>
      <c r="AA61" s="20" t="str">
        <f>IF(排放源鑑別!AG61&lt;&gt;"",IF(排放源鑑別!AG61&lt;&gt;0,排放源鑑別!AG61,""),"")</f>
        <v/>
      </c>
      <c r="AB61" s="21"/>
      <c r="AC61" s="22" t="str">
        <f t="shared" si="25"/>
        <v/>
      </c>
      <c r="AD61" s="29"/>
      <c r="AE61" s="23"/>
      <c r="AF61" s="24" t="str">
        <f t="shared" si="26"/>
        <v/>
      </c>
      <c r="AG61" s="20" t="str">
        <f t="shared" si="27"/>
        <v/>
      </c>
      <c r="AH61" s="24" t="str">
        <f t="shared" si="28"/>
        <v/>
      </c>
      <c r="AI61" s="226" t="str">
        <f>IF(排放源鑑別!AO61&lt;&gt;"",IF(排放源鑑別!AO61&lt;&gt;0,排放源鑑別!AO61,""),"")</f>
        <v/>
      </c>
      <c r="AJ61" s="227"/>
      <c r="AK61" s="228" t="str">
        <f t="shared" si="17"/>
        <v/>
      </c>
      <c r="AL61" s="231"/>
      <c r="AM61" s="232"/>
      <c r="AN61" s="230" t="str">
        <f t="shared" si="31"/>
        <v/>
      </c>
      <c r="AO61" s="226" t="str">
        <f t="shared" si="18"/>
        <v/>
      </c>
      <c r="AP61" s="230" t="str">
        <f t="shared" si="29"/>
        <v/>
      </c>
      <c r="AQ61" s="25">
        <f t="shared" si="10"/>
        <v>1</v>
      </c>
      <c r="AR61" s="26">
        <f t="shared" si="13"/>
        <v>9.2584191434480958E-3</v>
      </c>
    </row>
    <row r="62" spans="2:44" ht="13.5" x14ac:dyDescent="0.4">
      <c r="B62" s="9">
        <v>58</v>
      </c>
      <c r="C62" s="9" t="str">
        <f>IF(排放源鑑別!C62&lt;&gt;"",排放源鑑別!C62,"")</f>
        <v>商務旅遊</v>
      </c>
      <c r="D62" s="9" t="str">
        <f>排放源鑑別!D62</f>
        <v>類別3</v>
      </c>
      <c r="E62" s="9" t="str">
        <f>排放源鑑別!F62</f>
        <v>運輸</v>
      </c>
      <c r="F62" s="10">
        <v>1</v>
      </c>
      <c r="G62" s="11" t="s">
        <v>661</v>
      </c>
      <c r="H62" s="33"/>
      <c r="I62" s="103" t="s">
        <v>488</v>
      </c>
      <c r="J62" s="11" t="s">
        <v>489</v>
      </c>
      <c r="K62" s="12" t="str">
        <f>IF(排放源鑑別!AE62&lt;&gt;"",IF(排放源鑑別!AE62&lt;&gt;0,排放源鑑別!AE62,""),"")</f>
        <v>CO2</v>
      </c>
      <c r="L62" s="13">
        <v>1</v>
      </c>
      <c r="M62" s="12" t="s">
        <v>663</v>
      </c>
      <c r="N62" s="114"/>
      <c r="O62" s="30"/>
      <c r="P62" s="15">
        <f t="shared" si="20"/>
        <v>1</v>
      </c>
      <c r="Q62" s="12">
        <f t="shared" si="30"/>
        <v>1</v>
      </c>
      <c r="R62" s="102">
        <f t="shared" si="21"/>
        <v>1</v>
      </c>
      <c r="S62" s="16" t="str">
        <f>IF(排放源鑑別!AF62&lt;&gt;"",IF(排放源鑑別!AF62&lt;&gt;0,排放源鑑別!AF62,""),"")</f>
        <v/>
      </c>
      <c r="T62" s="17"/>
      <c r="U62" s="18" t="str">
        <f t="shared" si="22"/>
        <v/>
      </c>
      <c r="V62" s="28"/>
      <c r="W62" s="28"/>
      <c r="X62" s="19" t="str">
        <f t="shared" si="23"/>
        <v/>
      </c>
      <c r="Y62" s="16" t="str">
        <f t="shared" si="6"/>
        <v/>
      </c>
      <c r="Z62" s="19" t="str">
        <f t="shared" si="24"/>
        <v/>
      </c>
      <c r="AA62" s="20" t="str">
        <f>IF(排放源鑑別!AG62&lt;&gt;"",IF(排放源鑑別!AG62&lt;&gt;0,排放源鑑別!AG62,""),"")</f>
        <v/>
      </c>
      <c r="AB62" s="21"/>
      <c r="AC62" s="22" t="str">
        <f t="shared" si="25"/>
        <v/>
      </c>
      <c r="AD62" s="29"/>
      <c r="AE62" s="23"/>
      <c r="AF62" s="24" t="str">
        <f t="shared" si="26"/>
        <v/>
      </c>
      <c r="AG62" s="20" t="str">
        <f t="shared" si="27"/>
        <v/>
      </c>
      <c r="AH62" s="24" t="str">
        <f t="shared" si="28"/>
        <v/>
      </c>
      <c r="AI62" s="226" t="str">
        <f>IF(排放源鑑別!AO62&lt;&gt;"",IF(排放源鑑別!AO62&lt;&gt;0,排放源鑑別!AO62,""),"")</f>
        <v/>
      </c>
      <c r="AJ62" s="227"/>
      <c r="AK62" s="228" t="str">
        <f t="shared" si="17"/>
        <v/>
      </c>
      <c r="AL62" s="231"/>
      <c r="AM62" s="232"/>
      <c r="AN62" s="230" t="str">
        <f t="shared" si="31"/>
        <v/>
      </c>
      <c r="AO62" s="226" t="str">
        <f t="shared" si="18"/>
        <v/>
      </c>
      <c r="AP62" s="230" t="str">
        <f t="shared" si="29"/>
        <v/>
      </c>
      <c r="AQ62" s="25">
        <f t="shared" si="10"/>
        <v>1</v>
      </c>
      <c r="AR62" s="26">
        <f t="shared" si="13"/>
        <v>9.2584191434480958E-3</v>
      </c>
    </row>
    <row r="63" spans="2:44" ht="13.5" x14ac:dyDescent="0.4">
      <c r="B63" s="9">
        <v>59</v>
      </c>
      <c r="C63" s="9" t="str">
        <f>IF(排放源鑑別!C63&lt;&gt;"",排放源鑑別!C63,"")</f>
        <v>員工通勤</v>
      </c>
      <c r="D63" s="9" t="str">
        <f>排放源鑑別!D63</f>
        <v>類別3</v>
      </c>
      <c r="E63" s="9" t="str">
        <f>排放源鑑別!F63</f>
        <v>運輸</v>
      </c>
      <c r="F63" s="10">
        <v>1</v>
      </c>
      <c r="G63" s="11" t="s">
        <v>661</v>
      </c>
      <c r="H63" s="33"/>
      <c r="I63" s="103" t="s">
        <v>488</v>
      </c>
      <c r="J63" s="11" t="s">
        <v>489</v>
      </c>
      <c r="K63" s="12" t="str">
        <f>IF(排放源鑑別!AE63&lt;&gt;"",IF(排放源鑑別!AE63&lt;&gt;0,排放源鑑別!AE63,""),"")</f>
        <v>CO2</v>
      </c>
      <c r="L63" s="13">
        <v>1</v>
      </c>
      <c r="M63" s="12" t="s">
        <v>663</v>
      </c>
      <c r="N63" s="114"/>
      <c r="O63" s="30"/>
      <c r="P63" s="15">
        <f t="shared" si="20"/>
        <v>1</v>
      </c>
      <c r="Q63" s="12">
        <f t="shared" si="30"/>
        <v>1</v>
      </c>
      <c r="R63" s="102">
        <f t="shared" si="21"/>
        <v>1</v>
      </c>
      <c r="S63" s="16" t="str">
        <f>IF(排放源鑑別!AF63&lt;&gt;"",IF(排放源鑑別!AF63&lt;&gt;0,排放源鑑別!AF63,""),"")</f>
        <v/>
      </c>
      <c r="T63" s="17"/>
      <c r="U63" s="18" t="str">
        <f t="shared" si="22"/>
        <v/>
      </c>
      <c r="V63" s="28"/>
      <c r="W63" s="28"/>
      <c r="X63" s="19" t="str">
        <f t="shared" si="23"/>
        <v/>
      </c>
      <c r="Y63" s="16" t="str">
        <f t="shared" si="6"/>
        <v/>
      </c>
      <c r="Z63" s="19" t="str">
        <f t="shared" si="24"/>
        <v/>
      </c>
      <c r="AA63" s="20" t="str">
        <f>IF(排放源鑑別!AG63&lt;&gt;"",IF(排放源鑑別!AG63&lt;&gt;0,排放源鑑別!AG63,""),"")</f>
        <v/>
      </c>
      <c r="AB63" s="21"/>
      <c r="AC63" s="22" t="str">
        <f t="shared" si="25"/>
        <v/>
      </c>
      <c r="AD63" s="29"/>
      <c r="AE63" s="23"/>
      <c r="AF63" s="24" t="str">
        <f t="shared" si="26"/>
        <v/>
      </c>
      <c r="AG63" s="20" t="str">
        <f t="shared" si="27"/>
        <v/>
      </c>
      <c r="AH63" s="24" t="str">
        <f t="shared" si="28"/>
        <v/>
      </c>
      <c r="AI63" s="226" t="str">
        <f>IF(排放源鑑別!AO63&lt;&gt;"",IF(排放源鑑別!AO63&lt;&gt;0,排放源鑑別!AO63,""),"")</f>
        <v/>
      </c>
      <c r="AJ63" s="227"/>
      <c r="AK63" s="228" t="str">
        <f t="shared" si="17"/>
        <v/>
      </c>
      <c r="AL63" s="231"/>
      <c r="AM63" s="232"/>
      <c r="AN63" s="230" t="str">
        <f t="shared" si="31"/>
        <v/>
      </c>
      <c r="AO63" s="226" t="str">
        <f t="shared" si="18"/>
        <v/>
      </c>
      <c r="AP63" s="230" t="str">
        <f t="shared" si="29"/>
        <v/>
      </c>
      <c r="AQ63" s="25">
        <f t="shared" si="10"/>
        <v>1</v>
      </c>
      <c r="AR63" s="26">
        <f t="shared" si="13"/>
        <v>9.2584191434480958E-3</v>
      </c>
    </row>
    <row r="64" spans="2:44" ht="13.5" x14ac:dyDescent="0.4">
      <c r="B64" s="9">
        <v>60</v>
      </c>
      <c r="C64" s="9" t="str">
        <f>IF(排放源鑑別!C64&lt;&gt;"",排放源鑑別!C64,"")</f>
        <v>下游的運輸及配送</v>
      </c>
      <c r="D64" s="9" t="str">
        <f>排放源鑑別!D64</f>
        <v>類別3</v>
      </c>
      <c r="E64" s="9" t="str">
        <f>排放源鑑別!F64</f>
        <v>產品運輸</v>
      </c>
      <c r="F64" s="10">
        <v>1</v>
      </c>
      <c r="G64" s="11" t="s">
        <v>661</v>
      </c>
      <c r="H64" s="33"/>
      <c r="I64" s="103" t="s">
        <v>488</v>
      </c>
      <c r="J64" s="11" t="s">
        <v>489</v>
      </c>
      <c r="K64" s="12" t="str">
        <f>IF(排放源鑑別!AE64&lt;&gt;"",IF(排放源鑑別!AE64&lt;&gt;0,排放源鑑別!AE64,""),"")</f>
        <v>CO2</v>
      </c>
      <c r="L64" s="13">
        <v>1</v>
      </c>
      <c r="M64" s="12" t="s">
        <v>663</v>
      </c>
      <c r="N64" s="114"/>
      <c r="O64" s="30"/>
      <c r="P64" s="15">
        <f t="shared" si="20"/>
        <v>1</v>
      </c>
      <c r="Q64" s="12">
        <f t="shared" si="30"/>
        <v>1</v>
      </c>
      <c r="R64" s="102">
        <f t="shared" si="21"/>
        <v>1</v>
      </c>
      <c r="S64" s="16" t="str">
        <f>IF(排放源鑑別!AF64&lt;&gt;"",IF(排放源鑑別!AF64&lt;&gt;0,排放源鑑別!AF64,""),"")</f>
        <v/>
      </c>
      <c r="T64" s="17"/>
      <c r="U64" s="18" t="str">
        <f t="shared" si="22"/>
        <v/>
      </c>
      <c r="V64" s="28"/>
      <c r="W64" s="28"/>
      <c r="X64" s="19" t="str">
        <f t="shared" si="23"/>
        <v/>
      </c>
      <c r="Y64" s="16" t="str">
        <f t="shared" si="6"/>
        <v/>
      </c>
      <c r="Z64" s="19" t="str">
        <f t="shared" si="24"/>
        <v/>
      </c>
      <c r="AA64" s="20" t="str">
        <f>IF(排放源鑑別!AG64&lt;&gt;"",IF(排放源鑑別!AG64&lt;&gt;0,排放源鑑別!AG64,""),"")</f>
        <v/>
      </c>
      <c r="AB64" s="21"/>
      <c r="AC64" s="22" t="str">
        <f t="shared" si="25"/>
        <v/>
      </c>
      <c r="AD64" s="29"/>
      <c r="AE64" s="23"/>
      <c r="AF64" s="24" t="str">
        <f t="shared" si="26"/>
        <v/>
      </c>
      <c r="AG64" s="20" t="str">
        <f t="shared" si="27"/>
        <v/>
      </c>
      <c r="AH64" s="24" t="str">
        <f t="shared" si="28"/>
        <v/>
      </c>
      <c r="AI64" s="226" t="str">
        <f>IF(排放源鑑別!AO64&lt;&gt;"",IF(排放源鑑別!AO64&lt;&gt;0,排放源鑑別!AO64,""),"")</f>
        <v/>
      </c>
      <c r="AJ64" s="227"/>
      <c r="AK64" s="228" t="str">
        <f t="shared" si="17"/>
        <v/>
      </c>
      <c r="AL64" s="231"/>
      <c r="AM64" s="232"/>
      <c r="AN64" s="230" t="str">
        <f t="shared" si="31"/>
        <v/>
      </c>
      <c r="AO64" s="226" t="str">
        <f t="shared" si="18"/>
        <v/>
      </c>
      <c r="AP64" s="230" t="str">
        <f t="shared" si="29"/>
        <v/>
      </c>
      <c r="AQ64" s="25">
        <f t="shared" si="10"/>
        <v>1</v>
      </c>
      <c r="AR64" s="26">
        <f t="shared" si="13"/>
        <v>9.2584191434480958E-3</v>
      </c>
    </row>
    <row r="65" spans="2:44" ht="13.5" x14ac:dyDescent="0.4">
      <c r="B65" s="9">
        <v>61</v>
      </c>
      <c r="C65" s="9" t="str">
        <f>IF(排放源鑑別!C65&lt;&gt;"",排放源鑑別!C65,"")</f>
        <v>採購</v>
      </c>
      <c r="D65" s="9" t="str">
        <f>排放源鑑別!D65</f>
        <v>類別4</v>
      </c>
      <c r="E65" s="9" t="str">
        <f>排放源鑑別!F65</f>
        <v>組織使用產品</v>
      </c>
      <c r="F65" s="10">
        <v>1</v>
      </c>
      <c r="G65" s="11" t="s">
        <v>661</v>
      </c>
      <c r="H65" s="33"/>
      <c r="I65" s="103" t="s">
        <v>488</v>
      </c>
      <c r="J65" s="11" t="s">
        <v>489</v>
      </c>
      <c r="K65" s="12" t="str">
        <f>IF(排放源鑑別!AE65&lt;&gt;"",IF(排放源鑑別!AE65&lt;&gt;0,排放源鑑別!AE65,""),"")</f>
        <v>CO2</v>
      </c>
      <c r="L65" s="13">
        <v>1</v>
      </c>
      <c r="M65" s="12" t="s">
        <v>663</v>
      </c>
      <c r="N65" s="114"/>
      <c r="O65" s="30"/>
      <c r="P65" s="15">
        <f t="shared" si="20"/>
        <v>1</v>
      </c>
      <c r="Q65" s="12">
        <f t="shared" si="30"/>
        <v>1</v>
      </c>
      <c r="R65" s="102">
        <f t="shared" si="21"/>
        <v>1</v>
      </c>
      <c r="S65" s="16" t="str">
        <f>IF(排放源鑑別!AF65&lt;&gt;"",IF(排放源鑑別!AF65&lt;&gt;0,排放源鑑別!AF65,""),"")</f>
        <v/>
      </c>
      <c r="T65" s="17"/>
      <c r="U65" s="18" t="str">
        <f t="shared" si="22"/>
        <v/>
      </c>
      <c r="V65" s="28"/>
      <c r="W65" s="28"/>
      <c r="X65" s="19" t="str">
        <f t="shared" si="23"/>
        <v/>
      </c>
      <c r="Y65" s="16" t="str">
        <f t="shared" si="6"/>
        <v/>
      </c>
      <c r="Z65" s="19" t="str">
        <f t="shared" si="24"/>
        <v/>
      </c>
      <c r="AA65" s="20" t="str">
        <f>IF(排放源鑑別!AG65&lt;&gt;"",IF(排放源鑑別!AG65&lt;&gt;0,排放源鑑別!AG65,""),"")</f>
        <v/>
      </c>
      <c r="AB65" s="21"/>
      <c r="AC65" s="22" t="str">
        <f t="shared" si="25"/>
        <v/>
      </c>
      <c r="AD65" s="29"/>
      <c r="AE65" s="23"/>
      <c r="AF65" s="24" t="str">
        <f t="shared" si="26"/>
        <v/>
      </c>
      <c r="AG65" s="20" t="str">
        <f t="shared" si="27"/>
        <v/>
      </c>
      <c r="AH65" s="24" t="str">
        <f t="shared" si="28"/>
        <v/>
      </c>
      <c r="AI65" s="226" t="str">
        <f>IF(排放源鑑別!AO65&lt;&gt;"",IF(排放源鑑別!AO65&lt;&gt;0,排放源鑑別!AO65,""),"")</f>
        <v/>
      </c>
      <c r="AJ65" s="227"/>
      <c r="AK65" s="228" t="str">
        <f t="shared" si="17"/>
        <v/>
      </c>
      <c r="AL65" s="231"/>
      <c r="AM65" s="232"/>
      <c r="AN65" s="230" t="str">
        <f t="shared" si="31"/>
        <v/>
      </c>
      <c r="AO65" s="226" t="str">
        <f t="shared" si="18"/>
        <v/>
      </c>
      <c r="AP65" s="230" t="str">
        <f t="shared" si="29"/>
        <v/>
      </c>
      <c r="AQ65" s="25">
        <f t="shared" si="10"/>
        <v>1</v>
      </c>
      <c r="AR65" s="26">
        <f t="shared" si="13"/>
        <v>9.2584191434480958E-3</v>
      </c>
    </row>
    <row r="66" spans="2:44" ht="13.5" x14ac:dyDescent="0.4">
      <c r="B66" s="9">
        <v>62</v>
      </c>
      <c r="C66" s="9" t="str">
        <f>IF(排放源鑑別!C66&lt;&gt;"",排放源鑑別!C66,"")</f>
        <v>資本</v>
      </c>
      <c r="D66" s="9" t="str">
        <f>排放源鑑別!D66</f>
        <v>類別4</v>
      </c>
      <c r="E66" s="9" t="str">
        <f>排放源鑑別!F66</f>
        <v>組織使用產品</v>
      </c>
      <c r="F66" s="10">
        <v>1</v>
      </c>
      <c r="G66" s="11" t="s">
        <v>661</v>
      </c>
      <c r="H66" s="33"/>
      <c r="I66" s="103" t="s">
        <v>488</v>
      </c>
      <c r="J66" s="11" t="s">
        <v>489</v>
      </c>
      <c r="K66" s="12" t="str">
        <f>IF(排放源鑑別!AE66&lt;&gt;"",IF(排放源鑑別!AE66&lt;&gt;0,排放源鑑別!AE66,""),"")</f>
        <v>CO2</v>
      </c>
      <c r="L66" s="13">
        <v>1</v>
      </c>
      <c r="M66" s="12" t="s">
        <v>663</v>
      </c>
      <c r="N66" s="114"/>
      <c r="O66" s="30"/>
      <c r="P66" s="15">
        <f t="shared" si="20"/>
        <v>1</v>
      </c>
      <c r="Q66" s="12">
        <f t="shared" si="30"/>
        <v>1</v>
      </c>
      <c r="R66" s="102">
        <f t="shared" si="21"/>
        <v>1</v>
      </c>
      <c r="S66" s="16" t="str">
        <f>IF(排放源鑑別!AF66&lt;&gt;"",IF(排放源鑑別!AF66&lt;&gt;0,排放源鑑別!AF66,""),"")</f>
        <v/>
      </c>
      <c r="T66" s="17"/>
      <c r="U66" s="18" t="str">
        <f t="shared" si="22"/>
        <v/>
      </c>
      <c r="V66" s="28"/>
      <c r="W66" s="28"/>
      <c r="X66" s="19" t="str">
        <f t="shared" si="23"/>
        <v/>
      </c>
      <c r="Y66" s="16" t="str">
        <f t="shared" si="6"/>
        <v/>
      </c>
      <c r="Z66" s="19" t="str">
        <f t="shared" si="24"/>
        <v/>
      </c>
      <c r="AA66" s="20" t="str">
        <f>IF(排放源鑑別!AG66&lt;&gt;"",IF(排放源鑑別!AG66&lt;&gt;0,排放源鑑別!AG66,""),"")</f>
        <v/>
      </c>
      <c r="AB66" s="21"/>
      <c r="AC66" s="22" t="str">
        <f t="shared" si="25"/>
        <v/>
      </c>
      <c r="AD66" s="29"/>
      <c r="AE66" s="23"/>
      <c r="AF66" s="24" t="str">
        <f t="shared" si="26"/>
        <v/>
      </c>
      <c r="AG66" s="20" t="str">
        <f t="shared" si="27"/>
        <v/>
      </c>
      <c r="AH66" s="24" t="str">
        <f t="shared" si="28"/>
        <v/>
      </c>
      <c r="AI66" s="226" t="str">
        <f>IF(排放源鑑別!AO66&lt;&gt;"",IF(排放源鑑別!AO66&lt;&gt;0,排放源鑑別!AO66,""),"")</f>
        <v/>
      </c>
      <c r="AJ66" s="227"/>
      <c r="AK66" s="228" t="str">
        <f t="shared" si="17"/>
        <v/>
      </c>
      <c r="AL66" s="231"/>
      <c r="AM66" s="232"/>
      <c r="AN66" s="230" t="str">
        <f t="shared" si="31"/>
        <v/>
      </c>
      <c r="AO66" s="226" t="str">
        <f t="shared" si="18"/>
        <v/>
      </c>
      <c r="AP66" s="230" t="str">
        <f t="shared" si="29"/>
        <v/>
      </c>
      <c r="AQ66" s="25">
        <f t="shared" si="10"/>
        <v>1</v>
      </c>
      <c r="AR66" s="26">
        <f t="shared" si="13"/>
        <v>9.2584191434480958E-3</v>
      </c>
    </row>
    <row r="67" spans="2:44" ht="13.5" x14ac:dyDescent="0.4">
      <c r="B67" s="9">
        <v>63</v>
      </c>
      <c r="C67" s="9" t="str">
        <f>IF(排放源鑑別!C67&lt;&gt;"",排放源鑑別!C67,"")</f>
        <v>能源相關活動</v>
      </c>
      <c r="D67" s="9" t="str">
        <f>排放源鑑別!D67</f>
        <v>類別4</v>
      </c>
      <c r="E67" s="9" t="str">
        <f>排放源鑑別!F67</f>
        <v>組織使用產品</v>
      </c>
      <c r="F67" s="10">
        <v>1</v>
      </c>
      <c r="G67" s="11" t="s">
        <v>661</v>
      </c>
      <c r="H67" s="33"/>
      <c r="I67" s="103" t="s">
        <v>488</v>
      </c>
      <c r="J67" s="11" t="s">
        <v>489</v>
      </c>
      <c r="K67" s="12" t="str">
        <f>IF(排放源鑑別!AE67&lt;&gt;"",IF(排放源鑑別!AE67&lt;&gt;0,排放源鑑別!AE67,""),"")</f>
        <v>CO2</v>
      </c>
      <c r="L67" s="13">
        <v>1</v>
      </c>
      <c r="M67" s="12" t="s">
        <v>663</v>
      </c>
      <c r="N67" s="114"/>
      <c r="O67" s="30"/>
      <c r="P67" s="15">
        <f t="shared" si="20"/>
        <v>1</v>
      </c>
      <c r="Q67" s="12">
        <f t="shared" si="30"/>
        <v>1</v>
      </c>
      <c r="R67" s="102">
        <f t="shared" si="21"/>
        <v>1</v>
      </c>
      <c r="S67" s="16" t="str">
        <f>IF(排放源鑑別!AF67&lt;&gt;"",IF(排放源鑑別!AF67&lt;&gt;0,排放源鑑別!AF67,""),"")</f>
        <v/>
      </c>
      <c r="T67" s="17"/>
      <c r="U67" s="18" t="str">
        <f t="shared" si="22"/>
        <v/>
      </c>
      <c r="V67" s="28"/>
      <c r="W67" s="28"/>
      <c r="X67" s="19" t="str">
        <f t="shared" si="23"/>
        <v/>
      </c>
      <c r="Y67" s="16" t="str">
        <f t="shared" si="6"/>
        <v/>
      </c>
      <c r="Z67" s="19" t="str">
        <f t="shared" si="24"/>
        <v/>
      </c>
      <c r="AA67" s="20" t="str">
        <f>IF(排放源鑑別!AG67&lt;&gt;"",IF(排放源鑑別!AG67&lt;&gt;0,排放源鑑別!AG67,""),"")</f>
        <v/>
      </c>
      <c r="AB67" s="21"/>
      <c r="AC67" s="22" t="str">
        <f t="shared" si="25"/>
        <v/>
      </c>
      <c r="AD67" s="29"/>
      <c r="AE67" s="23"/>
      <c r="AF67" s="24" t="str">
        <f t="shared" si="26"/>
        <v/>
      </c>
      <c r="AG67" s="20" t="str">
        <f t="shared" si="27"/>
        <v/>
      </c>
      <c r="AH67" s="24" t="str">
        <f t="shared" si="28"/>
        <v/>
      </c>
      <c r="AI67" s="226" t="str">
        <f>IF(排放源鑑別!AO67&lt;&gt;"",IF(排放源鑑別!AO67&lt;&gt;0,排放源鑑別!AO67,""),"")</f>
        <v/>
      </c>
      <c r="AJ67" s="227"/>
      <c r="AK67" s="228" t="str">
        <f t="shared" si="17"/>
        <v/>
      </c>
      <c r="AL67" s="231"/>
      <c r="AM67" s="232"/>
      <c r="AN67" s="230" t="str">
        <f t="shared" si="31"/>
        <v/>
      </c>
      <c r="AO67" s="226" t="str">
        <f t="shared" si="18"/>
        <v/>
      </c>
      <c r="AP67" s="230" t="str">
        <f t="shared" si="29"/>
        <v/>
      </c>
      <c r="AQ67" s="25">
        <f t="shared" si="10"/>
        <v>1</v>
      </c>
      <c r="AR67" s="26">
        <f t="shared" si="13"/>
        <v>9.2584191434480958E-3</v>
      </c>
    </row>
    <row r="68" spans="2:44" ht="13.5" x14ac:dyDescent="0.4">
      <c r="B68" s="9">
        <v>64</v>
      </c>
      <c r="C68" s="9" t="str">
        <f>IF(排放源鑑別!C68&lt;&gt;"",排放源鑑別!C68,"")</f>
        <v>營運廢棄物</v>
      </c>
      <c r="D68" s="9" t="str">
        <f>排放源鑑別!D68</f>
        <v>類別4</v>
      </c>
      <c r="E68" s="9" t="str">
        <f>排放源鑑別!F68</f>
        <v>組織使用產品</v>
      </c>
      <c r="F68" s="10">
        <v>1</v>
      </c>
      <c r="G68" s="11" t="s">
        <v>661</v>
      </c>
      <c r="H68" s="33"/>
      <c r="I68" s="103" t="s">
        <v>488</v>
      </c>
      <c r="J68" s="11" t="s">
        <v>489</v>
      </c>
      <c r="K68" s="12" t="str">
        <f>IF(排放源鑑別!AE68&lt;&gt;"",IF(排放源鑑別!AE68&lt;&gt;0,排放源鑑別!AE68,""),"")</f>
        <v>CO2</v>
      </c>
      <c r="L68" s="13">
        <v>1</v>
      </c>
      <c r="M68" s="12" t="s">
        <v>663</v>
      </c>
      <c r="N68" s="114"/>
      <c r="O68" s="30"/>
      <c r="P68" s="15">
        <f t="shared" si="20"/>
        <v>1</v>
      </c>
      <c r="Q68" s="12">
        <f t="shared" si="30"/>
        <v>1</v>
      </c>
      <c r="R68" s="102">
        <f t="shared" si="21"/>
        <v>1</v>
      </c>
      <c r="S68" s="16" t="str">
        <f>IF(排放源鑑別!AF68&lt;&gt;"",IF(排放源鑑別!AF68&lt;&gt;0,排放源鑑別!AF68,""),"")</f>
        <v/>
      </c>
      <c r="T68" s="17"/>
      <c r="U68" s="18" t="str">
        <f t="shared" si="22"/>
        <v/>
      </c>
      <c r="V68" s="28"/>
      <c r="W68" s="28"/>
      <c r="X68" s="19" t="str">
        <f t="shared" si="23"/>
        <v/>
      </c>
      <c r="Y68" s="16" t="str">
        <f t="shared" si="6"/>
        <v/>
      </c>
      <c r="Z68" s="19" t="str">
        <f t="shared" si="24"/>
        <v/>
      </c>
      <c r="AA68" s="20" t="str">
        <f>IF(排放源鑑別!AG68&lt;&gt;"",IF(排放源鑑別!AG68&lt;&gt;0,排放源鑑別!AG68,""),"")</f>
        <v/>
      </c>
      <c r="AB68" s="21"/>
      <c r="AC68" s="22" t="str">
        <f t="shared" si="25"/>
        <v/>
      </c>
      <c r="AD68" s="29"/>
      <c r="AE68" s="23"/>
      <c r="AF68" s="24" t="str">
        <f t="shared" si="26"/>
        <v/>
      </c>
      <c r="AG68" s="20" t="str">
        <f t="shared" si="27"/>
        <v/>
      </c>
      <c r="AH68" s="24" t="str">
        <f t="shared" si="28"/>
        <v/>
      </c>
      <c r="AI68" s="226" t="str">
        <f>IF(排放源鑑別!AO68&lt;&gt;"",IF(排放源鑑別!AO68&lt;&gt;0,排放源鑑別!AO68,""),"")</f>
        <v/>
      </c>
      <c r="AJ68" s="227"/>
      <c r="AK68" s="228" t="str">
        <f t="shared" si="17"/>
        <v/>
      </c>
      <c r="AL68" s="231"/>
      <c r="AM68" s="232"/>
      <c r="AN68" s="230" t="str">
        <f t="shared" si="31"/>
        <v/>
      </c>
      <c r="AO68" s="226" t="str">
        <f t="shared" si="18"/>
        <v/>
      </c>
      <c r="AP68" s="230" t="str">
        <f t="shared" si="29"/>
        <v/>
      </c>
      <c r="AQ68" s="25">
        <f t="shared" si="10"/>
        <v>1</v>
      </c>
      <c r="AR68" s="26">
        <f t="shared" si="13"/>
        <v>9.2584191434480958E-3</v>
      </c>
    </row>
    <row r="69" spans="2:44" ht="13.5" x14ac:dyDescent="0.4">
      <c r="B69" s="9">
        <v>65</v>
      </c>
      <c r="C69" s="9" t="str">
        <f>IF(排放源鑑別!C69&lt;&gt;"",排放源鑑別!C69,"")</f>
        <v>上游資產租賃</v>
      </c>
      <c r="D69" s="9" t="str">
        <f>排放源鑑別!D69</f>
        <v>類別4</v>
      </c>
      <c r="E69" s="9" t="str">
        <f>排放源鑑別!F69</f>
        <v>組織使用產品</v>
      </c>
      <c r="F69" s="10">
        <v>1</v>
      </c>
      <c r="G69" s="11" t="s">
        <v>661</v>
      </c>
      <c r="H69" s="33"/>
      <c r="I69" s="103" t="s">
        <v>488</v>
      </c>
      <c r="J69" s="11" t="s">
        <v>489</v>
      </c>
      <c r="K69" s="12" t="str">
        <f>IF(排放源鑑別!AE69&lt;&gt;"",IF(排放源鑑別!AE69&lt;&gt;0,排放源鑑別!AE69,""),"")</f>
        <v>CO2</v>
      </c>
      <c r="L69" s="13">
        <v>1</v>
      </c>
      <c r="M69" s="12" t="s">
        <v>663</v>
      </c>
      <c r="N69" s="114"/>
      <c r="O69" s="30"/>
      <c r="P69" s="15">
        <f t="shared" si="20"/>
        <v>1</v>
      </c>
      <c r="Q69" s="12">
        <f t="shared" si="30"/>
        <v>1</v>
      </c>
      <c r="R69" s="102">
        <f t="shared" si="21"/>
        <v>1</v>
      </c>
      <c r="S69" s="16" t="str">
        <f>IF(排放源鑑別!AF69&lt;&gt;"",IF(排放源鑑別!AF69&lt;&gt;0,排放源鑑別!AF69,""),"")</f>
        <v/>
      </c>
      <c r="T69" s="17"/>
      <c r="U69" s="18" t="str">
        <f t="shared" si="22"/>
        <v/>
      </c>
      <c r="V69" s="28"/>
      <c r="W69" s="28"/>
      <c r="X69" s="19" t="str">
        <f t="shared" si="23"/>
        <v/>
      </c>
      <c r="Y69" s="16" t="str">
        <f t="shared" si="6"/>
        <v/>
      </c>
      <c r="Z69" s="19" t="str">
        <f t="shared" si="24"/>
        <v/>
      </c>
      <c r="AA69" s="20" t="str">
        <f>IF(排放源鑑別!AG69&lt;&gt;"",IF(排放源鑑別!AG69&lt;&gt;0,排放源鑑別!AG69,""),"")</f>
        <v/>
      </c>
      <c r="AB69" s="21"/>
      <c r="AC69" s="22" t="str">
        <f t="shared" si="25"/>
        <v/>
      </c>
      <c r="AD69" s="29"/>
      <c r="AE69" s="23"/>
      <c r="AF69" s="24" t="str">
        <f t="shared" si="26"/>
        <v/>
      </c>
      <c r="AG69" s="20" t="str">
        <f t="shared" si="27"/>
        <v/>
      </c>
      <c r="AH69" s="24" t="str">
        <f t="shared" si="28"/>
        <v/>
      </c>
      <c r="AI69" s="226" t="str">
        <f>IF(排放源鑑別!AO69&lt;&gt;"",IF(排放源鑑別!AO69&lt;&gt;0,排放源鑑別!AO69,""),"")</f>
        <v/>
      </c>
      <c r="AJ69" s="227"/>
      <c r="AK69" s="228" t="str">
        <f t="shared" si="17"/>
        <v/>
      </c>
      <c r="AL69" s="231"/>
      <c r="AM69" s="232"/>
      <c r="AN69" s="230" t="str">
        <f t="shared" si="31"/>
        <v/>
      </c>
      <c r="AO69" s="226" t="str">
        <f t="shared" si="18"/>
        <v/>
      </c>
      <c r="AP69" s="230" t="str">
        <f t="shared" si="29"/>
        <v/>
      </c>
      <c r="AQ69" s="25">
        <f t="shared" si="10"/>
        <v>1</v>
      </c>
      <c r="AR69" s="26">
        <f t="shared" ref="AR69:AR70" si="32">AQ69/$AQ$76</f>
        <v>9.2584191434480958E-3</v>
      </c>
    </row>
    <row r="70" spans="2:44" ht="13.5" x14ac:dyDescent="0.4">
      <c r="B70" s="9">
        <v>66</v>
      </c>
      <c r="C70" s="9" t="str">
        <f>IF(排放源鑑別!C70&lt;&gt;"",排放源鑑別!C70,"")</f>
        <v>使用</v>
      </c>
      <c r="D70" s="9" t="str">
        <f>排放源鑑別!D70</f>
        <v>類別5</v>
      </c>
      <c r="E70" s="9" t="str">
        <f>排放源鑑別!F70</f>
        <v>使用來自組織產品</v>
      </c>
      <c r="F70" s="10">
        <v>1</v>
      </c>
      <c r="G70" s="11" t="s">
        <v>661</v>
      </c>
      <c r="H70" s="33"/>
      <c r="I70" s="103" t="s">
        <v>488</v>
      </c>
      <c r="J70" s="11" t="s">
        <v>489</v>
      </c>
      <c r="K70" s="12" t="str">
        <f>IF(排放源鑑別!AE70&lt;&gt;"",IF(排放源鑑別!AE70&lt;&gt;0,排放源鑑別!AE70,""),"")</f>
        <v>CO2</v>
      </c>
      <c r="L70" s="13">
        <v>1</v>
      </c>
      <c r="M70" s="12" t="s">
        <v>663</v>
      </c>
      <c r="N70" s="114"/>
      <c r="O70" s="30"/>
      <c r="P70" s="15">
        <f t="shared" si="20"/>
        <v>1</v>
      </c>
      <c r="Q70" s="12">
        <f t="shared" si="30"/>
        <v>1</v>
      </c>
      <c r="R70" s="102">
        <f t="shared" si="21"/>
        <v>1</v>
      </c>
      <c r="S70" s="16" t="str">
        <f>IF(排放源鑑別!AF70&lt;&gt;"",IF(排放源鑑別!AF70&lt;&gt;0,排放源鑑別!AF70,""),"")</f>
        <v/>
      </c>
      <c r="T70" s="17"/>
      <c r="U70" s="18" t="str">
        <f t="shared" si="22"/>
        <v/>
      </c>
      <c r="V70" s="28"/>
      <c r="W70" s="28"/>
      <c r="X70" s="19" t="str">
        <f t="shared" si="23"/>
        <v/>
      </c>
      <c r="Y70" s="16" t="str">
        <f t="shared" ref="Y70" si="33">IF(S70="CO2",1,IF(S70="CH4",27.9,IF(S70="N2O",273,IF(S70="NF3",17400,IF(S70="SF6",24300,"")))))</f>
        <v/>
      </c>
      <c r="Z70" s="19" t="str">
        <f t="shared" si="24"/>
        <v/>
      </c>
      <c r="AA70" s="20" t="str">
        <f>IF(排放源鑑別!AG70&lt;&gt;"",IF(排放源鑑別!AG70&lt;&gt;0,排放源鑑別!AG70,""),"")</f>
        <v/>
      </c>
      <c r="AB70" s="21"/>
      <c r="AC70" s="22" t="str">
        <f t="shared" si="25"/>
        <v/>
      </c>
      <c r="AD70" s="29"/>
      <c r="AE70" s="23"/>
      <c r="AF70" s="24" t="str">
        <f t="shared" si="26"/>
        <v/>
      </c>
      <c r="AG70" s="20" t="str">
        <f t="shared" si="27"/>
        <v/>
      </c>
      <c r="AH70" s="24" t="str">
        <f t="shared" si="28"/>
        <v/>
      </c>
      <c r="AI70" s="226" t="str">
        <f>IF(排放源鑑別!AO70&lt;&gt;"",IF(排放源鑑別!AO70&lt;&gt;0,排放源鑑別!AO70,""),"")</f>
        <v/>
      </c>
      <c r="AJ70" s="227"/>
      <c r="AK70" s="228" t="str">
        <f t="shared" si="17"/>
        <v/>
      </c>
      <c r="AL70" s="231"/>
      <c r="AM70" s="232"/>
      <c r="AN70" s="230" t="str">
        <f t="shared" si="31"/>
        <v/>
      </c>
      <c r="AO70" s="226" t="str">
        <f t="shared" si="18"/>
        <v/>
      </c>
      <c r="AP70" s="230" t="str">
        <f t="shared" si="29"/>
        <v/>
      </c>
      <c r="AQ70" s="25">
        <f t="shared" ref="AQ70:AQ75" si="34">ROUND(SUM(R70,Z70,AH70,AP70),4)</f>
        <v>1</v>
      </c>
      <c r="AR70" s="26">
        <f t="shared" si="32"/>
        <v>9.2584191434480958E-3</v>
      </c>
    </row>
    <row r="71" spans="2:44" ht="13.5" x14ac:dyDescent="0.4">
      <c r="B71" s="9">
        <v>67</v>
      </c>
      <c r="C71" s="9" t="str">
        <f>IF(排放源鑑別!C71&lt;&gt;"",排放源鑑別!C71,"")</f>
        <v>報廢</v>
      </c>
      <c r="D71" s="9" t="str">
        <f>排放源鑑別!D71</f>
        <v>類別5</v>
      </c>
      <c r="E71" s="9" t="str">
        <f>排放源鑑別!F71</f>
        <v>使用來自組織產品</v>
      </c>
      <c r="F71" s="10">
        <v>1</v>
      </c>
      <c r="G71" s="11" t="s">
        <v>661</v>
      </c>
      <c r="H71" s="33"/>
      <c r="I71" s="103" t="s">
        <v>488</v>
      </c>
      <c r="J71" s="11" t="s">
        <v>489</v>
      </c>
      <c r="K71" s="12" t="str">
        <f>IF(排放源鑑別!AE71&lt;&gt;"",IF(排放源鑑別!AE71&lt;&gt;0,排放源鑑別!AE71,""),"")</f>
        <v>CO2</v>
      </c>
      <c r="L71" s="13">
        <v>1</v>
      </c>
      <c r="M71" s="12" t="s">
        <v>663</v>
      </c>
      <c r="N71" s="114"/>
      <c r="O71" s="30"/>
      <c r="P71" s="15">
        <f t="shared" ref="P71:P75" si="35">IF(L71&lt;&gt;"",ROUND(F71,4)*ROUND(L71,10),"")</f>
        <v>1</v>
      </c>
      <c r="Q71" s="12">
        <f t="shared" ref="Q71:Q75" si="36">IF(K71="CO2",1,IF(K71="CH4",27.9,IF(K71="N2O",273,IF(K71="NF3",17400,IF(K71="SF6",24300,"")))))</f>
        <v>1</v>
      </c>
      <c r="R71" s="102">
        <f t="shared" ref="R71:R75" si="37">IF(P71&lt;&gt;"",ROUND(P71,4)*ROUND(Q71,4),"")</f>
        <v>1</v>
      </c>
      <c r="S71" s="16" t="str">
        <f>IF(排放源鑑別!AF71&lt;&gt;"",IF(排放源鑑別!AF71&lt;&gt;0,排放源鑑別!AF71,""),"")</f>
        <v/>
      </c>
      <c r="T71" s="17"/>
      <c r="U71" s="18" t="str">
        <f t="shared" ref="U71:U75" si="38">IF(T71&lt;&gt;"",M71,"")</f>
        <v/>
      </c>
      <c r="V71" s="28"/>
      <c r="W71" s="28"/>
      <c r="X71" s="19" t="str">
        <f t="shared" ref="X71:X75" si="39">IF(T71&lt;&gt;"",ROUND(F71,4)*ROUND(T71,10),"")</f>
        <v/>
      </c>
      <c r="Y71" s="16" t="str">
        <f t="shared" ref="Y71:Y75" si="40">IF(S71="CO2",1,IF(S71="CH4",27.9,IF(S71="N2O",273,IF(S71="NF3",17400,IF(S71="SF6",24300,"")))))</f>
        <v/>
      </c>
      <c r="Z71" s="19" t="str">
        <f t="shared" ref="Z71:Z75" si="41">IF(X71&lt;&gt;"",ROUND(X71,4)*ROUND(Y71,4),"")</f>
        <v/>
      </c>
      <c r="AA71" s="20" t="str">
        <f>IF(排放源鑑別!AG71&lt;&gt;"",IF(排放源鑑別!AG71&lt;&gt;0,排放源鑑別!AG71,""),"")</f>
        <v/>
      </c>
      <c r="AB71" s="21"/>
      <c r="AC71" s="22" t="str">
        <f t="shared" ref="AC71:AC75" si="42">IF(AB71&lt;&gt;"",M71,"")</f>
        <v/>
      </c>
      <c r="AD71" s="29"/>
      <c r="AE71" s="23"/>
      <c r="AF71" s="24" t="str">
        <f t="shared" ref="AF71:AF75" si="43">IF(AB71&lt;&gt;"",ROUND(F71,4)*ROUND(AB71,10),"")</f>
        <v/>
      </c>
      <c r="AG71" s="20" t="str">
        <f t="shared" ref="AG71:AG75" si="44">IF(AA71="CO2",1,IF(AA71="CH4",28,IF(AA71="N2O",273,IF(AA71="NF3",16100,""))))</f>
        <v/>
      </c>
      <c r="AH71" s="24" t="str">
        <f t="shared" ref="AH71:AH75" si="45">IF(AF71&lt;&gt;"",ROUND(AF71,4)*ROUND(AG71,4),"")</f>
        <v/>
      </c>
      <c r="AI71" s="226" t="str">
        <f>IF(排放源鑑別!AO71&lt;&gt;"",IF(排放源鑑別!AO71&lt;&gt;0,排放源鑑別!AO71,""),"")</f>
        <v/>
      </c>
      <c r="AJ71" s="227"/>
      <c r="AK71" s="228" t="str">
        <f t="shared" si="17"/>
        <v/>
      </c>
      <c r="AL71" s="231"/>
      <c r="AM71" s="232"/>
      <c r="AN71" s="230" t="str">
        <f t="shared" si="31"/>
        <v/>
      </c>
      <c r="AO71" s="226" t="str">
        <f t="shared" si="18"/>
        <v/>
      </c>
      <c r="AP71" s="230" t="str">
        <f t="shared" si="29"/>
        <v/>
      </c>
      <c r="AQ71" s="25">
        <f t="shared" si="34"/>
        <v>1</v>
      </c>
      <c r="AR71" s="26">
        <f t="shared" ref="AR71:AR75" si="46">AQ71/$AQ$76</f>
        <v>9.2584191434480958E-3</v>
      </c>
    </row>
    <row r="72" spans="2:44" ht="13.5" x14ac:dyDescent="0.4">
      <c r="B72" s="9">
        <v>68</v>
      </c>
      <c r="C72" s="9" t="str">
        <f>IF(排放源鑑別!C72&lt;&gt;"",排放源鑑別!C72,"")</f>
        <v>下游租賃</v>
      </c>
      <c r="D72" s="9" t="str">
        <f>排放源鑑別!D72</f>
        <v>類別5</v>
      </c>
      <c r="E72" s="9" t="str">
        <f>排放源鑑別!F72</f>
        <v>使用來自組織產品</v>
      </c>
      <c r="F72" s="10">
        <v>1</v>
      </c>
      <c r="G72" s="11" t="s">
        <v>661</v>
      </c>
      <c r="H72" s="33"/>
      <c r="I72" s="103" t="s">
        <v>488</v>
      </c>
      <c r="J72" s="11" t="s">
        <v>489</v>
      </c>
      <c r="K72" s="12" t="str">
        <f>IF(排放源鑑別!AE72&lt;&gt;"",IF(排放源鑑別!AE72&lt;&gt;0,排放源鑑別!AE72,""),"")</f>
        <v>CO2</v>
      </c>
      <c r="L72" s="13">
        <v>1</v>
      </c>
      <c r="M72" s="12" t="s">
        <v>663</v>
      </c>
      <c r="N72" s="114"/>
      <c r="O72" s="30"/>
      <c r="P72" s="15">
        <f t="shared" si="35"/>
        <v>1</v>
      </c>
      <c r="Q72" s="12">
        <f t="shared" si="36"/>
        <v>1</v>
      </c>
      <c r="R72" s="102">
        <f t="shared" si="37"/>
        <v>1</v>
      </c>
      <c r="S72" s="16" t="str">
        <f>IF(排放源鑑別!AF72&lt;&gt;"",IF(排放源鑑別!AF72&lt;&gt;0,排放源鑑別!AF72,""),"")</f>
        <v/>
      </c>
      <c r="T72" s="17"/>
      <c r="U72" s="18" t="str">
        <f t="shared" si="38"/>
        <v/>
      </c>
      <c r="V72" s="28"/>
      <c r="W72" s="28"/>
      <c r="X72" s="19" t="str">
        <f t="shared" si="39"/>
        <v/>
      </c>
      <c r="Y72" s="16" t="str">
        <f t="shared" si="40"/>
        <v/>
      </c>
      <c r="Z72" s="19" t="str">
        <f t="shared" si="41"/>
        <v/>
      </c>
      <c r="AA72" s="20" t="str">
        <f>IF(排放源鑑別!AG72&lt;&gt;"",IF(排放源鑑別!AG72&lt;&gt;0,排放源鑑別!AG72,""),"")</f>
        <v/>
      </c>
      <c r="AB72" s="21"/>
      <c r="AC72" s="22" t="str">
        <f t="shared" si="42"/>
        <v/>
      </c>
      <c r="AD72" s="29"/>
      <c r="AE72" s="23"/>
      <c r="AF72" s="24" t="str">
        <f t="shared" si="43"/>
        <v/>
      </c>
      <c r="AG72" s="20" t="str">
        <f t="shared" si="44"/>
        <v/>
      </c>
      <c r="AH72" s="24" t="str">
        <f t="shared" si="45"/>
        <v/>
      </c>
      <c r="AI72" s="226" t="str">
        <f>IF(排放源鑑別!AO72&lt;&gt;"",IF(排放源鑑別!AO72&lt;&gt;0,排放源鑑別!AO72,""),"")</f>
        <v/>
      </c>
      <c r="AJ72" s="227"/>
      <c r="AK72" s="228" t="str">
        <f t="shared" si="17"/>
        <v/>
      </c>
      <c r="AL72" s="231"/>
      <c r="AM72" s="232"/>
      <c r="AN72" s="230" t="str">
        <f t="shared" si="31"/>
        <v/>
      </c>
      <c r="AO72" s="226" t="str">
        <f t="shared" si="18"/>
        <v/>
      </c>
      <c r="AP72" s="230" t="str">
        <f t="shared" si="29"/>
        <v/>
      </c>
      <c r="AQ72" s="25">
        <f t="shared" si="34"/>
        <v>1</v>
      </c>
      <c r="AR72" s="26">
        <f t="shared" si="46"/>
        <v>9.2584191434480958E-3</v>
      </c>
    </row>
    <row r="73" spans="2:44" ht="13.5" x14ac:dyDescent="0.4">
      <c r="B73" s="9">
        <v>69</v>
      </c>
      <c r="C73" s="9" t="str">
        <f>IF(排放源鑑別!C73&lt;&gt;"",排放源鑑別!C73,"")</f>
        <v>加盟</v>
      </c>
      <c r="D73" s="9" t="str">
        <f>排放源鑑別!D73</f>
        <v>類別5</v>
      </c>
      <c r="E73" s="9" t="str">
        <f>排放源鑑別!F73</f>
        <v>使用來自組織產品</v>
      </c>
      <c r="F73" s="10">
        <v>1</v>
      </c>
      <c r="G73" s="11" t="s">
        <v>661</v>
      </c>
      <c r="H73" s="33"/>
      <c r="I73" s="103" t="s">
        <v>488</v>
      </c>
      <c r="J73" s="11" t="s">
        <v>489</v>
      </c>
      <c r="K73" s="12" t="str">
        <f>IF(排放源鑑別!AE73&lt;&gt;"",IF(排放源鑑別!AE73&lt;&gt;0,排放源鑑別!AE73,""),"")</f>
        <v>CO2</v>
      </c>
      <c r="L73" s="13">
        <v>1</v>
      </c>
      <c r="M73" s="12" t="s">
        <v>663</v>
      </c>
      <c r="N73" s="114"/>
      <c r="O73" s="30"/>
      <c r="P73" s="15">
        <f t="shared" si="35"/>
        <v>1</v>
      </c>
      <c r="Q73" s="12">
        <f t="shared" si="36"/>
        <v>1</v>
      </c>
      <c r="R73" s="102">
        <f t="shared" si="37"/>
        <v>1</v>
      </c>
      <c r="S73" s="16" t="str">
        <f>IF(排放源鑑別!AF73&lt;&gt;"",IF(排放源鑑別!AF73&lt;&gt;0,排放源鑑別!AF73,""),"")</f>
        <v/>
      </c>
      <c r="T73" s="17"/>
      <c r="U73" s="18" t="str">
        <f t="shared" si="38"/>
        <v/>
      </c>
      <c r="V73" s="28"/>
      <c r="W73" s="28"/>
      <c r="X73" s="19" t="str">
        <f t="shared" si="39"/>
        <v/>
      </c>
      <c r="Y73" s="16" t="str">
        <f t="shared" si="40"/>
        <v/>
      </c>
      <c r="Z73" s="19" t="str">
        <f t="shared" si="41"/>
        <v/>
      </c>
      <c r="AA73" s="20" t="str">
        <f>IF(排放源鑑別!AG73&lt;&gt;"",IF(排放源鑑別!AG73&lt;&gt;0,排放源鑑別!AG73,""),"")</f>
        <v/>
      </c>
      <c r="AB73" s="21"/>
      <c r="AC73" s="22" t="str">
        <f t="shared" si="42"/>
        <v/>
      </c>
      <c r="AD73" s="29"/>
      <c r="AE73" s="23"/>
      <c r="AF73" s="24" t="str">
        <f t="shared" si="43"/>
        <v/>
      </c>
      <c r="AG73" s="20" t="str">
        <f t="shared" si="44"/>
        <v/>
      </c>
      <c r="AH73" s="24" t="str">
        <f t="shared" si="45"/>
        <v/>
      </c>
      <c r="AI73" s="226" t="str">
        <f>IF(排放源鑑別!AO73&lt;&gt;"",IF(排放源鑑別!AO73&lt;&gt;0,排放源鑑別!AO73,""),"")</f>
        <v/>
      </c>
      <c r="AJ73" s="227"/>
      <c r="AK73" s="228" t="str">
        <f t="shared" si="17"/>
        <v/>
      </c>
      <c r="AL73" s="231"/>
      <c r="AM73" s="232"/>
      <c r="AN73" s="230" t="str">
        <f t="shared" si="31"/>
        <v/>
      </c>
      <c r="AO73" s="226" t="str">
        <f t="shared" si="18"/>
        <v/>
      </c>
      <c r="AP73" s="230" t="str">
        <f t="shared" si="29"/>
        <v/>
      </c>
      <c r="AQ73" s="25">
        <f t="shared" si="34"/>
        <v>1</v>
      </c>
      <c r="AR73" s="26">
        <f t="shared" si="46"/>
        <v>9.2584191434480958E-3</v>
      </c>
    </row>
    <row r="74" spans="2:44" ht="13.5" x14ac:dyDescent="0.4">
      <c r="B74" s="9">
        <v>70</v>
      </c>
      <c r="C74" s="9" t="str">
        <f>IF(排放源鑑別!C74&lt;&gt;"",排放源鑑別!C74,"")</f>
        <v>投資</v>
      </c>
      <c r="D74" s="9" t="str">
        <f>排放源鑑別!D74</f>
        <v>類別5</v>
      </c>
      <c r="E74" s="9" t="str">
        <f>排放源鑑別!F74</f>
        <v>使用來自組織產品</v>
      </c>
      <c r="F74" s="10">
        <v>1</v>
      </c>
      <c r="G74" s="11" t="s">
        <v>661</v>
      </c>
      <c r="H74" s="33"/>
      <c r="I74" s="103" t="s">
        <v>488</v>
      </c>
      <c r="J74" s="11" t="s">
        <v>489</v>
      </c>
      <c r="K74" s="12" t="str">
        <f>IF(排放源鑑別!AE74&lt;&gt;"",IF(排放源鑑別!AE74&lt;&gt;0,排放源鑑別!AE74,""),"")</f>
        <v>CO2</v>
      </c>
      <c r="L74" s="13">
        <v>1</v>
      </c>
      <c r="M74" s="12" t="s">
        <v>663</v>
      </c>
      <c r="N74" s="114"/>
      <c r="O74" s="30"/>
      <c r="P74" s="15">
        <f t="shared" si="35"/>
        <v>1</v>
      </c>
      <c r="Q74" s="12">
        <f t="shared" si="36"/>
        <v>1</v>
      </c>
      <c r="R74" s="102">
        <f t="shared" si="37"/>
        <v>1</v>
      </c>
      <c r="S74" s="16" t="str">
        <f>IF(排放源鑑別!AF74&lt;&gt;"",IF(排放源鑑別!AF74&lt;&gt;0,排放源鑑別!AF74,""),"")</f>
        <v/>
      </c>
      <c r="T74" s="17"/>
      <c r="U74" s="18" t="str">
        <f t="shared" si="38"/>
        <v/>
      </c>
      <c r="V74" s="28"/>
      <c r="W74" s="28"/>
      <c r="X74" s="19" t="str">
        <f t="shared" si="39"/>
        <v/>
      </c>
      <c r="Y74" s="16" t="str">
        <f t="shared" si="40"/>
        <v/>
      </c>
      <c r="Z74" s="19" t="str">
        <f t="shared" si="41"/>
        <v/>
      </c>
      <c r="AA74" s="20" t="str">
        <f>IF(排放源鑑別!AG74&lt;&gt;"",IF(排放源鑑別!AG74&lt;&gt;0,排放源鑑別!AG74,""),"")</f>
        <v/>
      </c>
      <c r="AB74" s="21"/>
      <c r="AC74" s="22" t="str">
        <f t="shared" si="42"/>
        <v/>
      </c>
      <c r="AD74" s="29"/>
      <c r="AE74" s="23"/>
      <c r="AF74" s="24" t="str">
        <f t="shared" si="43"/>
        <v/>
      </c>
      <c r="AG74" s="20" t="str">
        <f t="shared" si="44"/>
        <v/>
      </c>
      <c r="AH74" s="24" t="str">
        <f t="shared" si="45"/>
        <v/>
      </c>
      <c r="AI74" s="226" t="str">
        <f>IF(排放源鑑別!AO74&lt;&gt;"",IF(排放源鑑別!AO74&lt;&gt;0,排放源鑑別!AO74,""),"")</f>
        <v/>
      </c>
      <c r="AJ74" s="227"/>
      <c r="AK74" s="228" t="str">
        <f t="shared" si="17"/>
        <v/>
      </c>
      <c r="AL74" s="231"/>
      <c r="AM74" s="232"/>
      <c r="AN74" s="230" t="str">
        <f t="shared" si="31"/>
        <v/>
      </c>
      <c r="AO74" s="226" t="str">
        <f t="shared" si="18"/>
        <v/>
      </c>
      <c r="AP74" s="230" t="str">
        <f t="shared" si="29"/>
        <v/>
      </c>
      <c r="AQ74" s="25">
        <f t="shared" si="34"/>
        <v>1</v>
      </c>
      <c r="AR74" s="26">
        <f t="shared" si="46"/>
        <v>9.2584191434480958E-3</v>
      </c>
    </row>
    <row r="75" spans="2:44" ht="13.5" x14ac:dyDescent="0.4">
      <c r="B75" s="9">
        <v>71</v>
      </c>
      <c r="C75" s="9" t="str">
        <f>IF(排放源鑑別!C75&lt;&gt;"",排放源鑑別!C75,"")</f>
        <v>其他排放</v>
      </c>
      <c r="D75" s="9" t="str">
        <f>排放源鑑別!D75</f>
        <v>類別6</v>
      </c>
      <c r="E75" s="9" t="str">
        <f>排放源鑑別!F75</f>
        <v>其他</v>
      </c>
      <c r="F75" s="10">
        <v>1</v>
      </c>
      <c r="G75" s="11" t="s">
        <v>661</v>
      </c>
      <c r="H75" s="33"/>
      <c r="I75" s="103" t="s">
        <v>488</v>
      </c>
      <c r="J75" s="11" t="s">
        <v>489</v>
      </c>
      <c r="K75" s="12" t="str">
        <f>IF(排放源鑑別!AE75&lt;&gt;"",IF(排放源鑑別!AE75&lt;&gt;0,排放源鑑別!AE75,""),"")</f>
        <v>CO2</v>
      </c>
      <c r="L75" s="13">
        <v>1</v>
      </c>
      <c r="M75" s="12" t="s">
        <v>663</v>
      </c>
      <c r="N75" s="114"/>
      <c r="O75" s="30"/>
      <c r="P75" s="15">
        <f t="shared" si="35"/>
        <v>1</v>
      </c>
      <c r="Q75" s="12">
        <f t="shared" si="36"/>
        <v>1</v>
      </c>
      <c r="R75" s="102">
        <f t="shared" si="37"/>
        <v>1</v>
      </c>
      <c r="S75" s="16" t="str">
        <f>IF(排放源鑑別!AF75&lt;&gt;"",IF(排放源鑑別!AF75&lt;&gt;0,排放源鑑別!AF75,""),"")</f>
        <v/>
      </c>
      <c r="T75" s="17"/>
      <c r="U75" s="18" t="str">
        <f t="shared" si="38"/>
        <v/>
      </c>
      <c r="V75" s="28"/>
      <c r="W75" s="28"/>
      <c r="X75" s="19" t="str">
        <f t="shared" si="39"/>
        <v/>
      </c>
      <c r="Y75" s="16" t="str">
        <f t="shared" si="40"/>
        <v/>
      </c>
      <c r="Z75" s="19" t="str">
        <f t="shared" si="41"/>
        <v/>
      </c>
      <c r="AA75" s="20" t="str">
        <f>IF(排放源鑑別!AG75&lt;&gt;"",IF(排放源鑑別!AG75&lt;&gt;0,排放源鑑別!AG75,""),"")</f>
        <v/>
      </c>
      <c r="AB75" s="21"/>
      <c r="AC75" s="22" t="str">
        <f t="shared" si="42"/>
        <v/>
      </c>
      <c r="AD75" s="29"/>
      <c r="AE75" s="23"/>
      <c r="AF75" s="24" t="str">
        <f t="shared" si="43"/>
        <v/>
      </c>
      <c r="AG75" s="20" t="str">
        <f t="shared" si="44"/>
        <v/>
      </c>
      <c r="AH75" s="24" t="str">
        <f t="shared" si="45"/>
        <v/>
      </c>
      <c r="AI75" s="226" t="str">
        <f>IF(排放源鑑別!AO75&lt;&gt;"",IF(排放源鑑別!AO75&lt;&gt;0,排放源鑑別!AO75,""),"")</f>
        <v/>
      </c>
      <c r="AJ75" s="227"/>
      <c r="AK75" s="228" t="str">
        <f t="shared" si="17"/>
        <v/>
      </c>
      <c r="AL75" s="231"/>
      <c r="AM75" s="232"/>
      <c r="AN75" s="230" t="str">
        <f t="shared" si="31"/>
        <v/>
      </c>
      <c r="AO75" s="226" t="str">
        <f t="shared" si="18"/>
        <v/>
      </c>
      <c r="AP75" s="230" t="str">
        <f t="shared" si="29"/>
        <v/>
      </c>
      <c r="AQ75" s="25">
        <f t="shared" si="34"/>
        <v>1</v>
      </c>
      <c r="AR75" s="26">
        <f t="shared" si="46"/>
        <v>9.2584191434480958E-3</v>
      </c>
    </row>
    <row r="76" spans="2:44" x14ac:dyDescent="0.4">
      <c r="AH76" s="219"/>
      <c r="AP76" s="32" t="s">
        <v>171</v>
      </c>
      <c r="AQ76" s="31">
        <f>SUM(AQ5:AQ75)</f>
        <v>108.00979999999998</v>
      </c>
      <c r="AR76" s="26">
        <f>AQ76/$AQ$76</f>
        <v>1</v>
      </c>
    </row>
  </sheetData>
  <mergeCells count="49">
    <mergeCell ref="AI2:AP2"/>
    <mergeCell ref="AI3:AI4"/>
    <mergeCell ref="AJ3:AJ4"/>
    <mergeCell ref="AK3:AK4"/>
    <mergeCell ref="AL3:AL4"/>
    <mergeCell ref="AM3:AM4"/>
    <mergeCell ref="AN3:AN4"/>
    <mergeCell ref="AO3:AO4"/>
    <mergeCell ref="AP3:AP4"/>
    <mergeCell ref="AA2:AH2"/>
    <mergeCell ref="B3:B4"/>
    <mergeCell ref="C3:C4"/>
    <mergeCell ref="F2:J2"/>
    <mergeCell ref="K2:R2"/>
    <mergeCell ref="K3:K4"/>
    <mergeCell ref="L3:L4"/>
    <mergeCell ref="M3:M4"/>
    <mergeCell ref="N3:N4"/>
    <mergeCell ref="F3:F4"/>
    <mergeCell ref="G3:G4"/>
    <mergeCell ref="H3:H4"/>
    <mergeCell ref="I3:I4"/>
    <mergeCell ref="J3:J4"/>
    <mergeCell ref="V3:V4"/>
    <mergeCell ref="W3:W4"/>
    <mergeCell ref="X3:X4"/>
    <mergeCell ref="Y3:Y4"/>
    <mergeCell ref="S2:Z2"/>
    <mergeCell ref="Q3:Q4"/>
    <mergeCell ref="R3:R4"/>
    <mergeCell ref="S3:S4"/>
    <mergeCell ref="T3:T4"/>
    <mergeCell ref="U3:U4"/>
    <mergeCell ref="D3:D4"/>
    <mergeCell ref="E3:E4"/>
    <mergeCell ref="B2:E2"/>
    <mergeCell ref="AR2:AR4"/>
    <mergeCell ref="AG3:AG4"/>
    <mergeCell ref="AH3:AH4"/>
    <mergeCell ref="AA3:AA4"/>
    <mergeCell ref="AB3:AB4"/>
    <mergeCell ref="AC3:AC4"/>
    <mergeCell ref="AD3:AD4"/>
    <mergeCell ref="AE3:AE4"/>
    <mergeCell ref="AF3:AF4"/>
    <mergeCell ref="AQ2:AQ4"/>
    <mergeCell ref="Z3:Z4"/>
    <mergeCell ref="O3:O4"/>
    <mergeCell ref="P3:P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200-000000000000}">
          <x14:formula1>
            <xm:f>製表用!$I$3:$I$8</xm:f>
          </x14:formula1>
          <xm:sqref>AE5:AE75 W5:W75 O5:O75 AM5:AM75</xm:sqref>
        </x14:dataValidation>
        <x14:dataValidation type="list" allowBlank="1" showInputMessage="1" showErrorMessage="1" xr:uid="{00000000-0002-0000-0200-000001000000}">
          <x14:formula1>
            <xm:f>製表用!$G$3:$G$6</xm:f>
          </x14:formula1>
          <xm:sqref>J5:J75</xm:sqref>
        </x14:dataValidation>
        <x14:dataValidation type="list" allowBlank="1" showInputMessage="1" showErrorMessage="1" xr:uid="{00000000-0002-0000-0200-000003000000}">
          <x14:formula1>
            <xm:f>製表用!$K$3:$K$7</xm:f>
          </x14:formula1>
          <xm:sqref>AC5:AC75 U5:U75 AK5:AK75</xm:sqref>
        </x14:dataValidation>
        <x14:dataValidation type="list" allowBlank="1" showInputMessage="1" showErrorMessage="1" xr:uid="{00000000-0002-0000-0200-000004000000}">
          <x14:formula1>
            <xm:f>製表用!$J$3:$J$11</xm:f>
          </x14:formula1>
          <xm:sqref>G5:G75</xm:sqref>
        </x14:dataValidation>
        <x14:dataValidation type="list" allowBlank="1" showInputMessage="1" showErrorMessage="1" xr:uid="{1B252616-3720-410B-9EDB-B6FBDCD56893}">
          <x14:formula1>
            <xm:f>製表用!$K$3:$K$11</xm:f>
          </x14:formula1>
          <xm:sqref>M5:M75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6E8-5418-4FCC-B41C-CA67F8881875}">
  <sheetPr codeName="工作表4"/>
  <dimension ref="B2:U33"/>
  <sheetViews>
    <sheetView tabSelected="1" zoomScale="115" zoomScaleNormal="115" workbookViewId="0">
      <selection activeCell="Q6" sqref="Q6"/>
    </sheetView>
  </sheetViews>
  <sheetFormatPr defaultColWidth="8.90625" defaultRowHeight="15.5" x14ac:dyDescent="0.4"/>
  <cols>
    <col min="1" max="2" width="8.90625" style="120"/>
    <col min="3" max="3" width="13.90625" style="120" customWidth="1"/>
    <col min="4" max="4" width="14.90625" style="120" customWidth="1"/>
    <col min="5" max="5" width="8.90625" style="120"/>
    <col min="6" max="6" width="25.36328125" style="120" customWidth="1"/>
    <col min="7" max="7" width="20.08984375" style="120" customWidth="1"/>
    <col min="8" max="8" width="17.36328125" style="120" bestFit="1" customWidth="1"/>
    <col min="9" max="9" width="16.08984375" style="120" customWidth="1"/>
    <col min="10" max="10" width="15.36328125" style="120" bestFit="1" customWidth="1"/>
    <col min="11" max="16" width="12.90625" style="120" customWidth="1"/>
    <col min="17" max="18" width="8.90625" style="120"/>
    <col min="19" max="19" width="34.453125" style="120" customWidth="1"/>
    <col min="20" max="20" width="20.1796875" style="120" customWidth="1"/>
    <col min="21" max="21" width="14.08984375" style="120" customWidth="1"/>
    <col min="22" max="22" width="21.1796875" style="120" customWidth="1"/>
    <col min="23" max="23" width="16.90625" style="120" customWidth="1"/>
    <col min="24" max="24" width="14.81640625" style="120" customWidth="1"/>
    <col min="25" max="25" width="16.54296875" style="120" customWidth="1"/>
    <col min="26" max="16384" width="8.90625" style="120"/>
  </cols>
  <sheetData>
    <row r="2" spans="2:21" ht="23.5" x14ac:dyDescent="0.4">
      <c r="B2" s="203" t="s">
        <v>591</v>
      </c>
      <c r="C2" s="204"/>
      <c r="D2" s="204"/>
      <c r="E2" s="204"/>
      <c r="F2" s="204"/>
      <c r="G2" s="118">
        <f>H3</f>
        <v>91.500799999999984</v>
      </c>
      <c r="H2" s="119" t="s">
        <v>592</v>
      </c>
      <c r="I2" s="119" t="s">
        <v>593</v>
      </c>
      <c r="J2" s="119" t="s">
        <v>594</v>
      </c>
      <c r="K2" s="119" t="s">
        <v>595</v>
      </c>
      <c r="L2" s="119" t="s">
        <v>596</v>
      </c>
      <c r="M2" s="119" t="s">
        <v>25</v>
      </c>
      <c r="N2" s="119" t="s">
        <v>479</v>
      </c>
      <c r="O2" s="119" t="s">
        <v>597</v>
      </c>
      <c r="P2" s="119" t="s">
        <v>598</v>
      </c>
      <c r="R2" s="121" t="s">
        <v>599</v>
      </c>
      <c r="S2" s="122" t="s">
        <v>600</v>
      </c>
      <c r="T2" s="122" t="s">
        <v>601</v>
      </c>
      <c r="U2" s="119" t="s">
        <v>593</v>
      </c>
    </row>
    <row r="3" spans="2:21" ht="16" x14ac:dyDescent="0.4">
      <c r="B3" s="205" t="s">
        <v>602</v>
      </c>
      <c r="C3" s="206"/>
      <c r="D3" s="206"/>
      <c r="E3" s="206"/>
      <c r="F3" s="206"/>
      <c r="G3" s="207"/>
      <c r="H3" s="123">
        <f>SUMIF(排放量計算!D5:D100,"=類別1",排放量計算!AQ5:AQ100)</f>
        <v>91.500799999999984</v>
      </c>
      <c r="I3" s="124">
        <f>H3/($T$9)</f>
        <v>0.84715118970465675</v>
      </c>
      <c r="J3" s="125">
        <f t="shared" ref="J3:P3" si="0">SUM(J4:J7)</f>
        <v>88.203699999999998</v>
      </c>
      <c r="K3" s="125">
        <f t="shared" si="0"/>
        <v>0.22040999999999999</v>
      </c>
      <c r="L3" s="125">
        <f t="shared" si="0"/>
        <v>0.13649999999999998</v>
      </c>
      <c r="M3" s="125">
        <f t="shared" si="0"/>
        <v>2.94</v>
      </c>
      <c r="N3" s="125">
        <f t="shared" si="0"/>
        <v>0</v>
      </c>
      <c r="O3" s="125">
        <f t="shared" si="0"/>
        <v>0</v>
      </c>
      <c r="P3" s="125">
        <f t="shared" si="0"/>
        <v>0</v>
      </c>
      <c r="R3" s="119">
        <v>1</v>
      </c>
      <c r="S3" s="126" t="s">
        <v>602</v>
      </c>
      <c r="T3" s="123">
        <f>SUMIF(排放量計算!D5:D115,"=類別1",排放量計算!AQ5:AQ115)</f>
        <v>91.500799999999984</v>
      </c>
      <c r="U3" s="124">
        <f>T3/T9</f>
        <v>0.84715118970465675</v>
      </c>
    </row>
    <row r="4" spans="2:21" ht="16" x14ac:dyDescent="0.4">
      <c r="B4" s="208" t="s">
        <v>603</v>
      </c>
      <c r="C4" s="209"/>
      <c r="D4" s="209"/>
      <c r="E4" s="209"/>
      <c r="F4" s="209"/>
      <c r="G4" s="210"/>
      <c r="H4" s="123">
        <f>SUMIF(排放量計算!E5:E100,"=固定",排放量計算!AQ5:AQ100)</f>
        <v>67.482699999999994</v>
      </c>
      <c r="I4" s="124">
        <f t="shared" ref="I4:I7" si="1">H4/($T$9)</f>
        <v>0.62478196463290425</v>
      </c>
      <c r="J4" s="127">
        <f>SUMIF(排放量計算!E5:E100,"=固定",排放量計算!R5:R100)</f>
        <v>67.437899999999999</v>
      </c>
      <c r="K4" s="127">
        <f>SUMIF(排放量計算!E5:E75,"=固定",排放量計算!Z5:Z75)</f>
        <v>4.4639999999999999E-2</v>
      </c>
      <c r="L4" s="127">
        <f>SUMIF(排放量計算!E5:E75,"=固定",排放量計算!AH5:AH75)</f>
        <v>0</v>
      </c>
      <c r="M4" s="127" t="s">
        <v>685</v>
      </c>
      <c r="N4" s="127" t="s">
        <v>685</v>
      </c>
      <c r="O4" s="127" t="s">
        <v>685</v>
      </c>
      <c r="P4" s="127" t="s">
        <v>685</v>
      </c>
      <c r="R4" s="119">
        <v>2</v>
      </c>
      <c r="S4" s="126" t="s">
        <v>604</v>
      </c>
      <c r="T4" s="123">
        <f>SUMIF(排放量計算!D5:D115,"=類別2",排放量計算!AQ5:AQ115)</f>
        <v>1.5089999999999999</v>
      </c>
      <c r="U4" s="124">
        <f>T4/T9</f>
        <v>1.397092861772058E-2</v>
      </c>
    </row>
    <row r="5" spans="2:21" ht="16" x14ac:dyDescent="0.4">
      <c r="B5" s="208" t="s">
        <v>605</v>
      </c>
      <c r="C5" s="209"/>
      <c r="D5" s="209"/>
      <c r="E5" s="209"/>
      <c r="F5" s="209"/>
      <c r="G5" s="211"/>
      <c r="H5" s="123">
        <f>SUMIF(排放量計算!E5:E100,"=移動",排放量計算!AQ5:AQ100)</f>
        <v>14.001800000000003</v>
      </c>
      <c r="I5" s="124">
        <f t="shared" si="1"/>
        <v>0.12963429312100733</v>
      </c>
      <c r="J5" s="127">
        <f>SUMIF(排放量計算!E5:E100,"=移動",排放量計算!R5:R100)</f>
        <v>13.689499999999999</v>
      </c>
      <c r="K5" s="127">
        <f>SUMIF(排放量計算!E5:E75,"=移動",排放量計算!Z5:Z75)</f>
        <v>0.17576999999999998</v>
      </c>
      <c r="L5" s="127">
        <f>SUMIF(排放量計算!E5:E75,"=移動",排放量計算!AH5:AH75)</f>
        <v>0.13649999999999998</v>
      </c>
      <c r="M5" s="127" t="s">
        <v>685</v>
      </c>
      <c r="N5" s="127" t="s">
        <v>685</v>
      </c>
      <c r="O5" s="127" t="s">
        <v>685</v>
      </c>
      <c r="P5" s="127" t="s">
        <v>685</v>
      </c>
      <c r="R5" s="119">
        <v>3</v>
      </c>
      <c r="S5" s="126" t="s">
        <v>606</v>
      </c>
      <c r="T5" s="123">
        <f>SUMIF(排放量計算!D5:D115,"=類別3",排放量計算!AQ5:AQ115)</f>
        <v>4</v>
      </c>
      <c r="U5" s="124">
        <f>T5/T9</f>
        <v>3.7033607999259324E-2</v>
      </c>
    </row>
    <row r="6" spans="2:21" ht="16" x14ac:dyDescent="0.4">
      <c r="B6" s="208" t="s">
        <v>607</v>
      </c>
      <c r="C6" s="209"/>
      <c r="D6" s="209"/>
      <c r="E6" s="209"/>
      <c r="F6" s="209"/>
      <c r="G6" s="211"/>
      <c r="H6" s="123">
        <f>SUMIF(排放量計算!E5:E100,"=逸散",排放量計算!AQ5:AQ100)</f>
        <v>2.94</v>
      </c>
      <c r="I6" s="124">
        <f t="shared" si="1"/>
        <v>2.7219701879455604E-2</v>
      </c>
      <c r="J6" s="131">
        <f>SUMIF(排放量計算!E5:E100,"=逸散",排放量計算!R5:R100)</f>
        <v>0</v>
      </c>
      <c r="K6" s="131">
        <f>SUMIF(排放量計算!E5:E100,"=逸散",排放量計算!Z5:Z100)</f>
        <v>0</v>
      </c>
      <c r="L6" s="131" t="s">
        <v>685</v>
      </c>
      <c r="M6" s="131">
        <f>SUMIF(排放量計算!AI5:AI75,"=HFCs",排放量計算!AP5:AP100)</f>
        <v>2.94</v>
      </c>
      <c r="N6" s="131" t="s">
        <v>685</v>
      </c>
      <c r="O6" s="131">
        <f>SUMIF(排放量計算!AI5:AI75,"=SF6",排放量計算!AP5:AP100)</f>
        <v>0</v>
      </c>
      <c r="P6" s="131" t="s">
        <v>685</v>
      </c>
      <c r="R6" s="119">
        <v>4</v>
      </c>
      <c r="S6" s="126" t="s">
        <v>608</v>
      </c>
      <c r="T6" s="123">
        <f>SUMIF(排放量計算!D5:D115,"=類別4",排放量計算!AQ5:AQ115)</f>
        <v>5</v>
      </c>
      <c r="U6" s="124">
        <f>T6/T9</f>
        <v>4.6292009999074159E-2</v>
      </c>
    </row>
    <row r="7" spans="2:21" ht="16" x14ac:dyDescent="0.4">
      <c r="B7" s="208" t="s">
        <v>609</v>
      </c>
      <c r="C7" s="209"/>
      <c r="D7" s="209"/>
      <c r="E7" s="209"/>
      <c r="F7" s="209"/>
      <c r="G7" s="211"/>
      <c r="H7" s="123">
        <f>SUMIF(排放量計算!E5:E100,"=製程",排放量計算!AQ5:AQ100)</f>
        <v>7.0762999999999998</v>
      </c>
      <c r="I7" s="124">
        <f t="shared" si="1"/>
        <v>6.551523007128969E-2</v>
      </c>
      <c r="J7" s="127">
        <f>SUMIF(排放量計算!E5:E100,"=製程",排放量計算!R5:R100)</f>
        <v>7.0762999999999998</v>
      </c>
      <c r="K7" s="127" t="s">
        <v>685</v>
      </c>
      <c r="L7" s="127" t="s">
        <v>685</v>
      </c>
      <c r="M7" s="127" t="s">
        <v>685</v>
      </c>
      <c r="N7" s="127" t="s">
        <v>685</v>
      </c>
      <c r="O7" s="127" t="s">
        <v>685</v>
      </c>
      <c r="P7" s="127" t="s">
        <v>685</v>
      </c>
      <c r="R7" s="119">
        <v>5</v>
      </c>
      <c r="S7" s="126" t="s">
        <v>610</v>
      </c>
      <c r="T7" s="123">
        <f>SUMIF(排放量計算!D6:D116,"=類別5",排放量計算!AQ6:AQ116)</f>
        <v>5</v>
      </c>
      <c r="U7" s="124">
        <f>T7/T9</f>
        <v>4.6292009999074159E-2</v>
      </c>
    </row>
    <row r="8" spans="2:21" ht="16" x14ac:dyDescent="0.4">
      <c r="R8" s="119">
        <v>6</v>
      </c>
      <c r="S8" s="126" t="s">
        <v>611</v>
      </c>
      <c r="T8" s="123">
        <f>SUMIF(排放量計算!D6:D116,"=類別6",排放量計算!AQ6:AQ116)</f>
        <v>1</v>
      </c>
      <c r="U8" s="124">
        <f>T8/T9</f>
        <v>9.2584019998148311E-3</v>
      </c>
    </row>
    <row r="9" spans="2:21" ht="16" x14ac:dyDescent="0.4">
      <c r="R9" s="122"/>
      <c r="S9" s="122"/>
      <c r="T9" s="129">
        <f>ROUND(SUM(T3+T4+T5+T6+T7+T8),2)</f>
        <v>108.01</v>
      </c>
      <c r="U9" s="124">
        <f>T9/T9</f>
        <v>1</v>
      </c>
    </row>
    <row r="11" spans="2:21" ht="23.5" x14ac:dyDescent="0.4">
      <c r="B11" s="200" t="s">
        <v>612</v>
      </c>
      <c r="C11" s="201"/>
      <c r="D11" s="201"/>
      <c r="E11" s="202"/>
      <c r="F11" s="118">
        <f>G12+G15+G20+G26+G32</f>
        <v>16.509</v>
      </c>
      <c r="G11" s="119" t="s">
        <v>592</v>
      </c>
      <c r="H11" s="119" t="s">
        <v>593</v>
      </c>
    </row>
    <row r="12" spans="2:21" ht="16" customHeight="1" x14ac:dyDescent="0.4">
      <c r="B12" s="172" t="s">
        <v>613</v>
      </c>
      <c r="C12" s="173"/>
      <c r="D12" s="173"/>
      <c r="E12" s="173"/>
      <c r="F12" s="174"/>
      <c r="G12" s="123">
        <f>SUMIF(排放量計算!D5:D75,"=類別2",排放量計算!AQ5:AQ75)</f>
        <v>1.5089999999999999</v>
      </c>
      <c r="H12" s="124">
        <f>G12/($T$9)</f>
        <v>1.397092861772058E-2</v>
      </c>
    </row>
    <row r="13" spans="2:21" ht="16" customHeight="1" x14ac:dyDescent="0.4">
      <c r="B13" s="184" t="s">
        <v>614</v>
      </c>
      <c r="C13" s="185"/>
      <c r="D13" s="185"/>
      <c r="E13" s="185"/>
      <c r="F13" s="186"/>
      <c r="G13" s="123">
        <f>SUMIF(排放量計算!C5:C75,"=外購電力",排放量計算!AQ5:AQ75)</f>
        <v>0.50900000000000001</v>
      </c>
      <c r="H13" s="124">
        <f t="shared" ref="H13:H33" si="2">G13/($T$9)</f>
        <v>4.712526617905749E-3</v>
      </c>
    </row>
    <row r="14" spans="2:21" ht="16" x14ac:dyDescent="0.4">
      <c r="B14" s="187" t="s">
        <v>622</v>
      </c>
      <c r="C14" s="185"/>
      <c r="D14" s="185"/>
      <c r="E14" s="185"/>
      <c r="F14" s="186"/>
      <c r="G14" s="123">
        <f>SUMIF(排放量計算!C5:C75,"=外購蒸氣",排放量計算!AQ5:AQ75)</f>
        <v>1</v>
      </c>
      <c r="H14" s="124">
        <f t="shared" si="2"/>
        <v>9.2584019998148311E-3</v>
      </c>
    </row>
    <row r="15" spans="2:21" ht="16" customHeight="1" x14ac:dyDescent="0.4">
      <c r="B15" s="175" t="s">
        <v>615</v>
      </c>
      <c r="C15" s="176"/>
      <c r="D15" s="176"/>
      <c r="E15" s="176"/>
      <c r="F15" s="177"/>
      <c r="G15" s="123">
        <f>SUMIF(排放量計算!D5:D75,"=類別3",排放量計算!AQ5:AQ75)</f>
        <v>4</v>
      </c>
      <c r="H15" s="124">
        <f t="shared" si="2"/>
        <v>3.7033607999259324E-2</v>
      </c>
    </row>
    <row r="16" spans="2:21" ht="16" customHeight="1" x14ac:dyDescent="0.4">
      <c r="B16" s="233" t="s">
        <v>623</v>
      </c>
      <c r="C16" s="234"/>
      <c r="D16" s="234"/>
      <c r="E16" s="234"/>
      <c r="F16" s="235"/>
      <c r="G16" s="123">
        <f>SUMIF(排放量計算!C5:C75,"=上游原物料配送",排放量計算!AQ5:AQ75)</f>
        <v>1</v>
      </c>
      <c r="H16" s="124">
        <f t="shared" si="2"/>
        <v>9.2584019998148311E-3</v>
      </c>
    </row>
    <row r="17" spans="2:8" ht="16" customHeight="1" x14ac:dyDescent="0.4">
      <c r="B17" s="233" t="s">
        <v>625</v>
      </c>
      <c r="C17" s="234"/>
      <c r="D17" s="234"/>
      <c r="E17" s="234"/>
      <c r="F17" s="235"/>
      <c r="G17" s="123">
        <f>SUMIF(排放量計算!C5:C75,"=商務旅遊",排放量計算!AQ5:AQ75)</f>
        <v>1</v>
      </c>
      <c r="H17" s="124">
        <f t="shared" si="2"/>
        <v>9.2584019998148311E-3</v>
      </c>
    </row>
    <row r="18" spans="2:8" ht="16" customHeight="1" x14ac:dyDescent="0.4">
      <c r="B18" s="233" t="s">
        <v>626</v>
      </c>
      <c r="C18" s="234"/>
      <c r="D18" s="234"/>
      <c r="E18" s="234"/>
      <c r="F18" s="235"/>
      <c r="G18" s="123">
        <f>SUMIF(排放量計算!C5:C75,"=員工通勤",排放量計算!AQ5:AQ75)</f>
        <v>1</v>
      </c>
      <c r="H18" s="124">
        <f t="shared" si="2"/>
        <v>9.2584019998148311E-3</v>
      </c>
    </row>
    <row r="19" spans="2:8" ht="16" customHeight="1" x14ac:dyDescent="0.4">
      <c r="B19" s="233" t="s">
        <v>628</v>
      </c>
      <c r="C19" s="234"/>
      <c r="D19" s="234"/>
      <c r="E19" s="234"/>
      <c r="F19" s="235"/>
      <c r="G19" s="123">
        <f>SUMIF(排放量計算!C5:C75,"=下游的運輸及配送",排放量計算!AQ5:AQ75)</f>
        <v>1</v>
      </c>
      <c r="H19" s="124">
        <f t="shared" si="2"/>
        <v>9.2584019998148311E-3</v>
      </c>
    </row>
    <row r="20" spans="2:8" ht="16" customHeight="1" x14ac:dyDescent="0.4">
      <c r="B20" s="178" t="s">
        <v>617</v>
      </c>
      <c r="C20" s="179"/>
      <c r="D20" s="179"/>
      <c r="E20" s="179"/>
      <c r="F20" s="180"/>
      <c r="G20" s="123">
        <f>SUMIF(排放量計算!D5:D75,"=類別4",排放量計算!AQ5:AQ75)</f>
        <v>5</v>
      </c>
      <c r="H20" s="124">
        <f t="shared" si="2"/>
        <v>4.6292009999074159E-2</v>
      </c>
    </row>
    <row r="21" spans="2:8" ht="16" customHeight="1" x14ac:dyDescent="0.4">
      <c r="B21" s="191" t="s">
        <v>630</v>
      </c>
      <c r="C21" s="192"/>
      <c r="D21" s="192"/>
      <c r="E21" s="192"/>
      <c r="F21" s="193"/>
      <c r="G21" s="123">
        <f>SUMIF(排放量計算!C5:C75,"=採購",排放量計算!AQ5:AQ75)</f>
        <v>1</v>
      </c>
      <c r="H21" s="124">
        <f t="shared" si="2"/>
        <v>9.2584019998148311E-3</v>
      </c>
    </row>
    <row r="22" spans="2:8" ht="16" customHeight="1" x14ac:dyDescent="0.4">
      <c r="B22" s="191" t="s">
        <v>632</v>
      </c>
      <c r="C22" s="192"/>
      <c r="D22" s="192"/>
      <c r="E22" s="192"/>
      <c r="F22" s="193"/>
      <c r="G22" s="123">
        <f>SUMIF(排放量計算!C5:C75,"=資本",排放量計算!AQ5:AQ75)</f>
        <v>1</v>
      </c>
      <c r="H22" s="124">
        <f t="shared" si="2"/>
        <v>9.2584019998148311E-3</v>
      </c>
    </row>
    <row r="23" spans="2:8" ht="16" customHeight="1" x14ac:dyDescent="0.4">
      <c r="B23" s="191" t="s">
        <v>634</v>
      </c>
      <c r="C23" s="192"/>
      <c r="D23" s="192"/>
      <c r="E23" s="192"/>
      <c r="F23" s="193"/>
      <c r="G23" s="123">
        <f>SUMIF(排放量計算!C5:C75,"=能源相關活動",排放量計算!AQ5:AQ75)</f>
        <v>1</v>
      </c>
      <c r="H23" s="124">
        <f t="shared" si="2"/>
        <v>9.2584019998148311E-3</v>
      </c>
    </row>
    <row r="24" spans="2:8" ht="16" customHeight="1" x14ac:dyDescent="0.4">
      <c r="B24" s="191" t="s">
        <v>636</v>
      </c>
      <c r="C24" s="192"/>
      <c r="D24" s="192"/>
      <c r="E24" s="192"/>
      <c r="F24" s="193"/>
      <c r="G24" s="123">
        <f>SUMIF(排放量計算!C5:C75,"=營運廢棄物",排放量計算!AQ5:AQ75)</f>
        <v>1</v>
      </c>
      <c r="H24" s="124">
        <f t="shared" si="2"/>
        <v>9.2584019998148311E-3</v>
      </c>
    </row>
    <row r="25" spans="2:8" ht="16" customHeight="1" x14ac:dyDescent="0.4">
      <c r="B25" s="191" t="s">
        <v>638</v>
      </c>
      <c r="C25" s="192"/>
      <c r="D25" s="192"/>
      <c r="E25" s="192"/>
      <c r="F25" s="193"/>
      <c r="G25" s="123">
        <f>SUMIF(排放量計算!C5:C75,"=上游資產租賃",排放量計算!AQ5:AQ75)</f>
        <v>1</v>
      </c>
      <c r="H25" s="124">
        <f t="shared" si="2"/>
        <v>9.2584019998148311E-3</v>
      </c>
    </row>
    <row r="26" spans="2:8" s="128" customFormat="1" ht="16" customHeight="1" x14ac:dyDescent="0.4">
      <c r="B26" s="181" t="s">
        <v>618</v>
      </c>
      <c r="C26" s="182"/>
      <c r="D26" s="182"/>
      <c r="E26" s="182"/>
      <c r="F26" s="183"/>
      <c r="G26" s="123">
        <f>SUMIF(排放量計算!D5:D75,"=類別5",排放量計算!AQ5:AQ75)</f>
        <v>5</v>
      </c>
      <c r="H26" s="124">
        <f t="shared" si="2"/>
        <v>4.6292009999074159E-2</v>
      </c>
    </row>
    <row r="27" spans="2:8" s="128" customFormat="1" ht="16" customHeight="1" x14ac:dyDescent="0.4">
      <c r="B27" s="188" t="s">
        <v>640</v>
      </c>
      <c r="C27" s="189"/>
      <c r="D27" s="189"/>
      <c r="E27" s="189"/>
      <c r="F27" s="190"/>
      <c r="G27" s="123">
        <f>SUMIF(排放量計算!C5:C75,"=使用",排放量計算!AQ5:AQ75)</f>
        <v>1</v>
      </c>
      <c r="H27" s="124">
        <f t="shared" si="2"/>
        <v>9.2584019998148311E-3</v>
      </c>
    </row>
    <row r="28" spans="2:8" s="128" customFormat="1" ht="16" customHeight="1" x14ac:dyDescent="0.4">
      <c r="B28" s="188" t="s">
        <v>642</v>
      </c>
      <c r="C28" s="189"/>
      <c r="D28" s="189"/>
      <c r="E28" s="189"/>
      <c r="F28" s="190"/>
      <c r="G28" s="123">
        <f>SUMIF(排放量計算!C5:C75,"=報廢",排放量計算!AQ5:AQ75)</f>
        <v>1</v>
      </c>
      <c r="H28" s="124">
        <f t="shared" si="2"/>
        <v>9.2584019998148311E-3</v>
      </c>
    </row>
    <row r="29" spans="2:8" s="128" customFormat="1" ht="16" customHeight="1" x14ac:dyDescent="0.4">
      <c r="B29" s="188" t="s">
        <v>644</v>
      </c>
      <c r="C29" s="189"/>
      <c r="D29" s="189"/>
      <c r="E29" s="189"/>
      <c r="F29" s="190"/>
      <c r="G29" s="123">
        <f>SUMIF(排放量計算!C5:C75,"=下游租賃",排放量計算!AQ5:AQ75)</f>
        <v>1</v>
      </c>
      <c r="H29" s="124">
        <f t="shared" si="2"/>
        <v>9.2584019998148311E-3</v>
      </c>
    </row>
    <row r="30" spans="2:8" s="128" customFormat="1" ht="16" customHeight="1" x14ac:dyDescent="0.4">
      <c r="B30" s="188" t="s">
        <v>646</v>
      </c>
      <c r="C30" s="189"/>
      <c r="D30" s="189"/>
      <c r="E30" s="189"/>
      <c r="F30" s="190"/>
      <c r="G30" s="123">
        <f>SUMIF(排放量計算!C5:C75,"=加盟",排放量計算!AQ5:AQ75)</f>
        <v>1</v>
      </c>
      <c r="H30" s="124">
        <f t="shared" si="2"/>
        <v>9.2584019998148311E-3</v>
      </c>
    </row>
    <row r="31" spans="2:8" s="128" customFormat="1" ht="16" x14ac:dyDescent="0.4">
      <c r="B31" s="188" t="s">
        <v>665</v>
      </c>
      <c r="C31" s="189"/>
      <c r="D31" s="189"/>
      <c r="E31" s="189"/>
      <c r="F31" s="190"/>
      <c r="G31" s="123">
        <f>SUMIF(排放量計算!C5:C75,"=投資",排放量計算!AQ5:AQ75)</f>
        <v>1</v>
      </c>
      <c r="H31" s="124">
        <f t="shared" si="2"/>
        <v>9.2584019998148311E-3</v>
      </c>
    </row>
    <row r="32" spans="2:8" s="128" customFormat="1" ht="16" customHeight="1" x14ac:dyDescent="0.4">
      <c r="B32" s="197" t="s">
        <v>620</v>
      </c>
      <c r="C32" s="198"/>
      <c r="D32" s="198"/>
      <c r="E32" s="198"/>
      <c r="F32" s="199"/>
      <c r="G32" s="123">
        <f>SUMIF(排放量計算!D5:D75,"=類別6",排放量計算!AQ5:AQ75)</f>
        <v>1</v>
      </c>
      <c r="H32" s="124">
        <f t="shared" si="2"/>
        <v>9.2584019998148311E-3</v>
      </c>
    </row>
    <row r="33" spans="2:8" s="128" customFormat="1" ht="16" customHeight="1" x14ac:dyDescent="0.4">
      <c r="B33" s="194" t="s">
        <v>621</v>
      </c>
      <c r="C33" s="195"/>
      <c r="D33" s="195"/>
      <c r="E33" s="195"/>
      <c r="F33" s="196"/>
      <c r="G33" s="123">
        <f>SUMIF(排放量計算!C5:C75,"=其他排放",排放量計算!AQ5:AQ75)</f>
        <v>1</v>
      </c>
      <c r="H33" s="124">
        <f t="shared" si="2"/>
        <v>9.2584019998148311E-3</v>
      </c>
    </row>
  </sheetData>
  <mergeCells count="29">
    <mergeCell ref="B11:E11"/>
    <mergeCell ref="B2:F2"/>
    <mergeCell ref="B3:G3"/>
    <mergeCell ref="B4:G4"/>
    <mergeCell ref="B5:G5"/>
    <mergeCell ref="B6:G6"/>
    <mergeCell ref="B7:G7"/>
    <mergeCell ref="B33:F33"/>
    <mergeCell ref="B25:F25"/>
    <mergeCell ref="B27:F27"/>
    <mergeCell ref="B24:F24"/>
    <mergeCell ref="B23:F23"/>
    <mergeCell ref="B32:F32"/>
    <mergeCell ref="B31:F31"/>
    <mergeCell ref="B29:F29"/>
    <mergeCell ref="B28:F28"/>
    <mergeCell ref="B22:F22"/>
    <mergeCell ref="B19:F19"/>
    <mergeCell ref="B21:F21"/>
    <mergeCell ref="B30:F30"/>
    <mergeCell ref="B12:F12"/>
    <mergeCell ref="B15:F15"/>
    <mergeCell ref="B20:F20"/>
    <mergeCell ref="B26:F26"/>
    <mergeCell ref="B13:F13"/>
    <mergeCell ref="B14:F14"/>
    <mergeCell ref="B18:F18"/>
    <mergeCell ref="B17:F17"/>
    <mergeCell ref="B16:F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>
    <tabColor theme="0" tint="-0.249977111117893"/>
  </sheetPr>
  <dimension ref="A1:Z175"/>
  <sheetViews>
    <sheetView showGridLines="0" workbookViewId="0">
      <selection activeCell="H17" sqref="H17"/>
    </sheetView>
  </sheetViews>
  <sheetFormatPr defaultColWidth="9" defaultRowHeight="15.5" x14ac:dyDescent="0.4"/>
  <cols>
    <col min="1" max="1" width="3.36328125" style="5" customWidth="1"/>
    <col min="2" max="2" width="6.81640625" style="8" bestFit="1" customWidth="1"/>
    <col min="3" max="3" width="8.453125" style="7" bestFit="1" customWidth="1"/>
    <col min="4" max="4" width="8" style="7" bestFit="1" customWidth="1"/>
    <col min="5" max="5" width="13.1796875" style="7" customWidth="1"/>
    <col min="6" max="6" width="16.1796875" style="6" bestFit="1" customWidth="1"/>
    <col min="7" max="7" width="15.6328125" style="6" customWidth="1"/>
    <col min="8" max="8" width="8.36328125" style="6" customWidth="1"/>
    <col min="9" max="9" width="9.6328125" style="6" bestFit="1" customWidth="1"/>
    <col min="10" max="10" width="11.1796875" style="6" customWidth="1"/>
    <col min="11" max="11" width="8.08984375" style="6" bestFit="1" customWidth="1"/>
    <col min="12" max="12" width="15.453125" style="6" bestFit="1" customWidth="1"/>
    <col min="13" max="14" width="14.08984375" style="6" customWidth="1"/>
    <col min="15" max="15" width="10.1796875" style="6" bestFit="1" customWidth="1"/>
    <col min="16" max="16" width="11.453125" style="6" bestFit="1" customWidth="1"/>
    <col min="17" max="18" width="8.453125" style="6" bestFit="1" customWidth="1"/>
    <col min="19" max="19" width="8.36328125" style="6" bestFit="1" customWidth="1"/>
    <col min="20" max="20" width="11.81640625" style="6" customWidth="1"/>
    <col min="21" max="21" width="9.90625" style="6" bestFit="1" customWidth="1"/>
    <col min="22" max="23" width="10.90625" style="6" customWidth="1"/>
    <col min="24" max="24" width="14.08984375" style="6" customWidth="1"/>
    <col min="25" max="25" width="21.90625" style="6" customWidth="1"/>
    <col min="26" max="16384" width="9" style="6"/>
  </cols>
  <sheetData>
    <row r="1" spans="2:26" ht="17.5" x14ac:dyDescent="0.4">
      <c r="B1" s="217" t="s">
        <v>253</v>
      </c>
      <c r="C1" s="217"/>
      <c r="D1" s="217"/>
      <c r="E1" s="21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15.65" customHeight="1" x14ac:dyDescent="0.4">
      <c r="B2" s="213" t="s">
        <v>254</v>
      </c>
      <c r="C2" s="213" t="s">
        <v>255</v>
      </c>
      <c r="D2" s="214" t="s">
        <v>256</v>
      </c>
      <c r="E2" s="39"/>
      <c r="F2" s="214" t="s">
        <v>257</v>
      </c>
      <c r="G2" s="214" t="s">
        <v>258</v>
      </c>
      <c r="H2" s="214" t="s">
        <v>48</v>
      </c>
      <c r="I2" s="214"/>
      <c r="J2" s="40" t="s">
        <v>49</v>
      </c>
      <c r="K2" s="214" t="s">
        <v>50</v>
      </c>
      <c r="L2" s="214"/>
      <c r="M2" s="40" t="s">
        <v>51</v>
      </c>
      <c r="N2" s="40" t="s">
        <v>52</v>
      </c>
      <c r="O2" s="215" t="s">
        <v>259</v>
      </c>
      <c r="P2" s="215"/>
      <c r="Q2" s="213" t="s">
        <v>53</v>
      </c>
      <c r="R2" s="213"/>
      <c r="S2" s="214" t="s">
        <v>260</v>
      </c>
      <c r="T2" s="216" t="s">
        <v>54</v>
      </c>
      <c r="U2" s="216"/>
      <c r="V2" s="42" t="s">
        <v>55</v>
      </c>
      <c r="W2" s="42" t="s">
        <v>56</v>
      </c>
      <c r="X2" s="212" t="s">
        <v>261</v>
      </c>
      <c r="Y2" s="212" t="s">
        <v>262</v>
      </c>
      <c r="Z2" s="213" t="s">
        <v>263</v>
      </c>
    </row>
    <row r="3" spans="2:26" ht="15.65" customHeight="1" x14ac:dyDescent="0.4">
      <c r="B3" s="213"/>
      <c r="C3" s="213"/>
      <c r="D3" s="214"/>
      <c r="E3" s="213" t="s">
        <v>264</v>
      </c>
      <c r="F3" s="214"/>
      <c r="G3" s="214"/>
      <c r="H3" s="214" t="s">
        <v>265</v>
      </c>
      <c r="I3" s="214"/>
      <c r="J3" s="214" t="s">
        <v>266</v>
      </c>
      <c r="K3" s="214" t="s">
        <v>267</v>
      </c>
      <c r="L3" s="214"/>
      <c r="M3" s="214" t="s">
        <v>268</v>
      </c>
      <c r="N3" s="214"/>
      <c r="O3" s="215" t="s">
        <v>269</v>
      </c>
      <c r="P3" s="215"/>
      <c r="Q3" s="214" t="s">
        <v>270</v>
      </c>
      <c r="R3" s="214"/>
      <c r="S3" s="214"/>
      <c r="T3" s="216" t="s">
        <v>271</v>
      </c>
      <c r="U3" s="216"/>
      <c r="V3" s="214" t="s">
        <v>272</v>
      </c>
      <c r="W3" s="214"/>
      <c r="X3" s="212"/>
      <c r="Y3" s="212"/>
      <c r="Z3" s="213"/>
    </row>
    <row r="4" spans="2:26" ht="29.5" x14ac:dyDescent="0.4">
      <c r="B4" s="213"/>
      <c r="C4" s="213"/>
      <c r="D4" s="214"/>
      <c r="E4" s="213"/>
      <c r="F4" s="214"/>
      <c r="G4" s="214"/>
      <c r="H4" s="40" t="s">
        <v>273</v>
      </c>
      <c r="I4" s="40" t="s">
        <v>274</v>
      </c>
      <c r="J4" s="214"/>
      <c r="K4" s="40" t="s">
        <v>275</v>
      </c>
      <c r="L4" s="40" t="s">
        <v>274</v>
      </c>
      <c r="M4" s="40" t="s">
        <v>276</v>
      </c>
      <c r="N4" s="40" t="s">
        <v>277</v>
      </c>
      <c r="O4" s="41" t="s">
        <v>269</v>
      </c>
      <c r="P4" s="43" t="s">
        <v>274</v>
      </c>
      <c r="Q4" s="44" t="s">
        <v>278</v>
      </c>
      <c r="R4" s="44" t="s">
        <v>279</v>
      </c>
      <c r="S4" s="214"/>
      <c r="T4" s="45" t="s">
        <v>280</v>
      </c>
      <c r="U4" s="39" t="s">
        <v>274</v>
      </c>
      <c r="V4" s="40" t="s">
        <v>276</v>
      </c>
      <c r="W4" s="40" t="s">
        <v>277</v>
      </c>
      <c r="X4" s="212"/>
      <c r="Y4" s="212"/>
      <c r="Z4" s="213"/>
    </row>
    <row r="5" spans="2:26" ht="17.5" x14ac:dyDescent="0.4">
      <c r="B5" s="46" t="s">
        <v>281</v>
      </c>
      <c r="C5" s="46" t="s">
        <v>282</v>
      </c>
      <c r="D5" s="47" t="s">
        <v>283</v>
      </c>
      <c r="E5" s="46" t="s">
        <v>109</v>
      </c>
      <c r="F5" s="48" t="s">
        <v>109</v>
      </c>
      <c r="G5" s="49" t="s">
        <v>75</v>
      </c>
      <c r="H5" s="49">
        <v>3</v>
      </c>
      <c r="I5" s="49" t="s">
        <v>284</v>
      </c>
      <c r="J5" s="46"/>
      <c r="K5" s="46"/>
      <c r="L5" s="46"/>
      <c r="M5" s="50">
        <v>0.66666666666666663</v>
      </c>
      <c r="N5" s="51">
        <v>2.3333333333333335</v>
      </c>
      <c r="O5" s="52">
        <f>H5*4186.8*10^(-9)*10^(-3)</f>
        <v>1.2560400000000003E-8</v>
      </c>
      <c r="P5" s="52" t="s">
        <v>285</v>
      </c>
      <c r="Q5" s="47">
        <v>7800</v>
      </c>
      <c r="R5" s="47" t="s">
        <v>68</v>
      </c>
      <c r="S5" s="47" t="s">
        <v>286</v>
      </c>
      <c r="T5" s="53">
        <f t="shared" ref="T5:T61" si="0">O5*Q5</f>
        <v>9.7971120000000023E-5</v>
      </c>
      <c r="U5" s="54" t="s">
        <v>287</v>
      </c>
      <c r="V5" s="55">
        <v>0.66666666666666663</v>
      </c>
      <c r="W5" s="56">
        <v>2.3333333333333335</v>
      </c>
      <c r="X5" s="57" t="s">
        <v>288</v>
      </c>
      <c r="Y5" s="58" t="s">
        <v>289</v>
      </c>
      <c r="Z5" s="46"/>
    </row>
    <row r="6" spans="2:26" ht="17.5" x14ac:dyDescent="0.4">
      <c r="B6" s="46" t="s">
        <v>281</v>
      </c>
      <c r="C6" s="46" t="s">
        <v>282</v>
      </c>
      <c r="D6" s="47" t="s">
        <v>290</v>
      </c>
      <c r="E6" s="46" t="s">
        <v>109</v>
      </c>
      <c r="F6" s="48" t="s">
        <v>109</v>
      </c>
      <c r="G6" s="49" t="s">
        <v>75</v>
      </c>
      <c r="H6" s="59">
        <v>18.899999999999999</v>
      </c>
      <c r="I6" s="60" t="s">
        <v>58</v>
      </c>
      <c r="J6" s="60">
        <v>1</v>
      </c>
      <c r="K6" s="61">
        <v>69300</v>
      </c>
      <c r="L6" s="60" t="s">
        <v>291</v>
      </c>
      <c r="M6" s="50">
        <v>2.5974025974025976E-2</v>
      </c>
      <c r="N6" s="51">
        <v>5.3391053391053392E-2</v>
      </c>
      <c r="O6" s="52">
        <f>K6*(4186.8*10^(-9)*10^(-3))</f>
        <v>2.9014524000000002E-4</v>
      </c>
      <c r="P6" s="52" t="s">
        <v>292</v>
      </c>
      <c r="Q6" s="47">
        <v>7800</v>
      </c>
      <c r="R6" s="47" t="s">
        <v>68</v>
      </c>
      <c r="S6" s="47" t="s">
        <v>286</v>
      </c>
      <c r="T6" s="53">
        <f t="shared" si="0"/>
        <v>2.2631328720000004</v>
      </c>
      <c r="U6" s="54" t="s">
        <v>293</v>
      </c>
      <c r="V6" s="55">
        <v>2.5974025974025976E-2</v>
      </c>
      <c r="W6" s="56">
        <v>5.3391053391053392E-2</v>
      </c>
      <c r="X6" s="57" t="s">
        <v>288</v>
      </c>
      <c r="Y6" s="58" t="s">
        <v>289</v>
      </c>
      <c r="Z6" s="46"/>
    </row>
    <row r="7" spans="2:26" ht="17.5" x14ac:dyDescent="0.4">
      <c r="B7" s="46" t="s">
        <v>281</v>
      </c>
      <c r="C7" s="46" t="s">
        <v>282</v>
      </c>
      <c r="D7" s="47" t="s">
        <v>294</v>
      </c>
      <c r="E7" s="46" t="s">
        <v>109</v>
      </c>
      <c r="F7" s="48" t="s">
        <v>109</v>
      </c>
      <c r="G7" s="49" t="s">
        <v>75</v>
      </c>
      <c r="H7" s="59">
        <v>0.6</v>
      </c>
      <c r="I7" s="62" t="s">
        <v>295</v>
      </c>
      <c r="J7" s="46"/>
      <c r="K7" s="46"/>
      <c r="L7" s="46"/>
      <c r="M7" s="50">
        <v>0.66666666666666663</v>
      </c>
      <c r="N7" s="51">
        <v>2.3333333333333335</v>
      </c>
      <c r="O7" s="52">
        <f>H7*4186.8*10^(-9)*10^(-3)</f>
        <v>2.5120799999999999E-9</v>
      </c>
      <c r="P7" s="52" t="s">
        <v>296</v>
      </c>
      <c r="Q7" s="47">
        <v>7800</v>
      </c>
      <c r="R7" s="47" t="s">
        <v>68</v>
      </c>
      <c r="S7" s="47" t="s">
        <v>286</v>
      </c>
      <c r="T7" s="53">
        <f t="shared" si="0"/>
        <v>1.9594223999999998E-5</v>
      </c>
      <c r="U7" s="54" t="s">
        <v>297</v>
      </c>
      <c r="V7" s="55">
        <v>0.66666666666666663</v>
      </c>
      <c r="W7" s="56">
        <v>2.3333333333333335</v>
      </c>
      <c r="X7" s="57" t="s">
        <v>288</v>
      </c>
      <c r="Y7" s="58" t="s">
        <v>289</v>
      </c>
      <c r="Z7" s="46"/>
    </row>
    <row r="8" spans="2:26" ht="17.5" x14ac:dyDescent="0.4">
      <c r="B8" s="46" t="s">
        <v>281</v>
      </c>
      <c r="C8" s="46" t="s">
        <v>282</v>
      </c>
      <c r="D8" s="47" t="s">
        <v>283</v>
      </c>
      <c r="E8" s="106" t="s">
        <v>493</v>
      </c>
      <c r="F8" s="48" t="s">
        <v>106</v>
      </c>
      <c r="G8" s="49" t="s">
        <v>72</v>
      </c>
      <c r="H8" s="49">
        <v>3</v>
      </c>
      <c r="I8" s="49" t="s">
        <v>284</v>
      </c>
      <c r="J8" s="46"/>
      <c r="K8" s="46"/>
      <c r="L8" s="46"/>
      <c r="M8" s="50">
        <v>0.66666666666666663</v>
      </c>
      <c r="N8" s="51">
        <v>2.3333333333333335</v>
      </c>
      <c r="O8" s="52">
        <f>H8*4186.8*10^(-9)*10^(-3)</f>
        <v>1.2560400000000003E-8</v>
      </c>
      <c r="P8" s="52" t="s">
        <v>285</v>
      </c>
      <c r="Q8" s="47">
        <v>8500</v>
      </c>
      <c r="R8" s="47" t="s">
        <v>68</v>
      </c>
      <c r="S8" s="47" t="s">
        <v>286</v>
      </c>
      <c r="T8" s="53">
        <f t="shared" si="0"/>
        <v>1.0676340000000002E-4</v>
      </c>
      <c r="U8" s="54" t="s">
        <v>287</v>
      </c>
      <c r="V8" s="55">
        <v>0.66666666666666663</v>
      </c>
      <c r="W8" s="56">
        <v>2.3333333333333335</v>
      </c>
      <c r="X8" s="57" t="s">
        <v>288</v>
      </c>
      <c r="Y8" s="58" t="s">
        <v>289</v>
      </c>
      <c r="Z8" s="46"/>
    </row>
    <row r="9" spans="2:26" ht="17.5" x14ac:dyDescent="0.4">
      <c r="B9" s="46" t="s">
        <v>281</v>
      </c>
      <c r="C9" s="46" t="s">
        <v>282</v>
      </c>
      <c r="D9" s="47" t="s">
        <v>290</v>
      </c>
      <c r="E9" s="46" t="s">
        <v>106</v>
      </c>
      <c r="F9" s="48" t="s">
        <v>106</v>
      </c>
      <c r="G9" s="49" t="s">
        <v>72</v>
      </c>
      <c r="H9" s="59">
        <v>19.600000000000001</v>
      </c>
      <c r="I9" s="60" t="s">
        <v>58</v>
      </c>
      <c r="J9" s="60">
        <v>1</v>
      </c>
      <c r="K9" s="61">
        <v>71900</v>
      </c>
      <c r="L9" s="60" t="s">
        <v>291</v>
      </c>
      <c r="M9" s="50">
        <v>1.5299026425591099E-2</v>
      </c>
      <c r="N9" s="51">
        <v>2.5034770514603615E-2</v>
      </c>
      <c r="O9" s="52">
        <f>K9*(4186.8*10^(-9)*10^(-3))</f>
        <v>3.0103092000000005E-4</v>
      </c>
      <c r="P9" s="52" t="s">
        <v>292</v>
      </c>
      <c r="Q9" s="47">
        <v>8500</v>
      </c>
      <c r="R9" s="47" t="s">
        <v>68</v>
      </c>
      <c r="S9" s="47" t="s">
        <v>286</v>
      </c>
      <c r="T9" s="53">
        <f t="shared" si="0"/>
        <v>2.5587628200000005</v>
      </c>
      <c r="U9" s="54" t="s">
        <v>293</v>
      </c>
      <c r="V9" s="55">
        <v>1.5299026425591099E-2</v>
      </c>
      <c r="W9" s="56">
        <v>2.5034770514603615E-2</v>
      </c>
      <c r="X9" s="57" t="s">
        <v>288</v>
      </c>
      <c r="Y9" s="58" t="s">
        <v>289</v>
      </c>
      <c r="Z9" s="46"/>
    </row>
    <row r="10" spans="2:26" ht="17.5" x14ac:dyDescent="0.4">
      <c r="B10" s="46" t="s">
        <v>281</v>
      </c>
      <c r="C10" s="46" t="s">
        <v>282</v>
      </c>
      <c r="D10" s="47" t="s">
        <v>294</v>
      </c>
      <c r="E10" s="46" t="s">
        <v>106</v>
      </c>
      <c r="F10" s="48" t="s">
        <v>106</v>
      </c>
      <c r="G10" s="49" t="s">
        <v>72</v>
      </c>
      <c r="H10" s="59">
        <v>0.6</v>
      </c>
      <c r="I10" s="62" t="s">
        <v>295</v>
      </c>
      <c r="J10" s="46"/>
      <c r="K10" s="46"/>
      <c r="L10" s="46"/>
      <c r="M10" s="50">
        <v>0.66666666666666663</v>
      </c>
      <c r="N10" s="51">
        <v>2.3333333333333335</v>
      </c>
      <c r="O10" s="52">
        <f>H10*4186.8*10^(-9)*10^(-3)</f>
        <v>2.5120799999999999E-9</v>
      </c>
      <c r="P10" s="52" t="s">
        <v>296</v>
      </c>
      <c r="Q10" s="47">
        <v>8500</v>
      </c>
      <c r="R10" s="47" t="s">
        <v>68</v>
      </c>
      <c r="S10" s="47" t="s">
        <v>286</v>
      </c>
      <c r="T10" s="53">
        <f t="shared" si="0"/>
        <v>2.1352679999999998E-5</v>
      </c>
      <c r="U10" s="54" t="s">
        <v>297</v>
      </c>
      <c r="V10" s="55">
        <v>0.66666666666666663</v>
      </c>
      <c r="W10" s="56">
        <v>2.3333333333333335</v>
      </c>
      <c r="X10" s="57" t="s">
        <v>288</v>
      </c>
      <c r="Y10" s="58" t="s">
        <v>289</v>
      </c>
      <c r="Z10" s="46"/>
    </row>
    <row r="11" spans="2:26" ht="17.5" x14ac:dyDescent="0.4">
      <c r="B11" s="46" t="s">
        <v>281</v>
      </c>
      <c r="C11" s="46" t="s">
        <v>282</v>
      </c>
      <c r="D11" s="47" t="s">
        <v>283</v>
      </c>
      <c r="E11" s="106" t="s">
        <v>494</v>
      </c>
      <c r="F11" s="48" t="s">
        <v>108</v>
      </c>
      <c r="G11" s="49" t="s">
        <v>74</v>
      </c>
      <c r="H11" s="49">
        <v>3</v>
      </c>
      <c r="I11" s="49" t="s">
        <v>284</v>
      </c>
      <c r="J11" s="46"/>
      <c r="K11" s="46"/>
      <c r="L11" s="46"/>
      <c r="M11" s="50">
        <v>0.66666666666666663</v>
      </c>
      <c r="N11" s="51">
        <v>2.3333333333333335</v>
      </c>
      <c r="O11" s="52">
        <f>H11*4186.8*10^(-9)*10^(-3)</f>
        <v>1.2560400000000003E-8</v>
      </c>
      <c r="P11" s="52" t="s">
        <v>285</v>
      </c>
      <c r="Q11" s="47">
        <v>8400</v>
      </c>
      <c r="R11" s="47" t="s">
        <v>68</v>
      </c>
      <c r="S11" s="47" t="s">
        <v>286</v>
      </c>
      <c r="T11" s="53">
        <f t="shared" si="0"/>
        <v>1.0550736000000003E-4</v>
      </c>
      <c r="U11" s="54" t="s">
        <v>287</v>
      </c>
      <c r="V11" s="55">
        <v>0.66666666666666663</v>
      </c>
      <c r="W11" s="56">
        <v>2.3333333333333335</v>
      </c>
      <c r="X11" s="57" t="s">
        <v>288</v>
      </c>
      <c r="Y11" s="58" t="s">
        <v>289</v>
      </c>
      <c r="Z11" s="46"/>
    </row>
    <row r="12" spans="2:26" ht="17.5" x14ac:dyDescent="0.4">
      <c r="B12" s="46" t="s">
        <v>281</v>
      </c>
      <c r="C12" s="46" t="s">
        <v>282</v>
      </c>
      <c r="D12" s="47" t="s">
        <v>290</v>
      </c>
      <c r="E12" s="46" t="s">
        <v>108</v>
      </c>
      <c r="F12" s="48" t="s">
        <v>108</v>
      </c>
      <c r="G12" s="49" t="s">
        <v>74</v>
      </c>
      <c r="H12" s="59">
        <v>20.2</v>
      </c>
      <c r="I12" s="60" t="s">
        <v>58</v>
      </c>
      <c r="J12" s="60">
        <v>1</v>
      </c>
      <c r="K12" s="61">
        <v>74100</v>
      </c>
      <c r="L12" s="60" t="s">
        <v>291</v>
      </c>
      <c r="M12" s="50">
        <v>2.0242914979757085E-2</v>
      </c>
      <c r="N12" s="51">
        <v>9.4466936572199737E-3</v>
      </c>
      <c r="O12" s="52">
        <f>K12*(4186.8*10^(-9)*10^(-3))</f>
        <v>3.1024188000000006E-4</v>
      </c>
      <c r="P12" s="52" t="s">
        <v>292</v>
      </c>
      <c r="Q12" s="47">
        <v>8400</v>
      </c>
      <c r="R12" s="47" t="s">
        <v>68</v>
      </c>
      <c r="S12" s="47" t="s">
        <v>286</v>
      </c>
      <c r="T12" s="53">
        <f t="shared" si="0"/>
        <v>2.6060317920000005</v>
      </c>
      <c r="U12" s="54" t="s">
        <v>293</v>
      </c>
      <c r="V12" s="55">
        <v>2.0242914979757085E-2</v>
      </c>
      <c r="W12" s="56">
        <v>9.4466936572199737E-3</v>
      </c>
      <c r="X12" s="57" t="s">
        <v>288</v>
      </c>
      <c r="Y12" s="58" t="s">
        <v>289</v>
      </c>
      <c r="Z12" s="46"/>
    </row>
    <row r="13" spans="2:26" ht="17.5" x14ac:dyDescent="0.4">
      <c r="B13" s="46" t="s">
        <v>281</v>
      </c>
      <c r="C13" s="46" t="s">
        <v>282</v>
      </c>
      <c r="D13" s="47" t="s">
        <v>294</v>
      </c>
      <c r="E13" s="46" t="s">
        <v>108</v>
      </c>
      <c r="F13" s="48" t="s">
        <v>108</v>
      </c>
      <c r="G13" s="49" t="s">
        <v>74</v>
      </c>
      <c r="H13" s="59">
        <v>0.6</v>
      </c>
      <c r="I13" s="62" t="s">
        <v>295</v>
      </c>
      <c r="J13" s="46"/>
      <c r="K13" s="46"/>
      <c r="L13" s="46"/>
      <c r="M13" s="50">
        <v>0.66666666666666663</v>
      </c>
      <c r="N13" s="51">
        <v>2.3333333333333335</v>
      </c>
      <c r="O13" s="52">
        <f>H13*4186.8*10^(-9)*10^(-3)</f>
        <v>2.5120799999999999E-9</v>
      </c>
      <c r="P13" s="52" t="s">
        <v>296</v>
      </c>
      <c r="Q13" s="47">
        <v>8400</v>
      </c>
      <c r="R13" s="47" t="s">
        <v>68</v>
      </c>
      <c r="S13" s="47" t="s">
        <v>286</v>
      </c>
      <c r="T13" s="53">
        <f t="shared" si="0"/>
        <v>2.1101471999999998E-5</v>
      </c>
      <c r="U13" s="54" t="s">
        <v>297</v>
      </c>
      <c r="V13" s="55">
        <v>0.66666666666666663</v>
      </c>
      <c r="W13" s="56">
        <v>2.3333333333333335</v>
      </c>
      <c r="X13" s="57" t="s">
        <v>288</v>
      </c>
      <c r="Y13" s="58" t="s">
        <v>289</v>
      </c>
      <c r="Z13" s="46"/>
    </row>
    <row r="14" spans="2:26" ht="17.5" x14ac:dyDescent="0.4">
      <c r="B14" s="46" t="s">
        <v>281</v>
      </c>
      <c r="C14" s="46" t="s">
        <v>282</v>
      </c>
      <c r="D14" s="47" t="s">
        <v>283</v>
      </c>
      <c r="E14" s="106" t="s">
        <v>495</v>
      </c>
      <c r="F14" s="48" t="s">
        <v>113</v>
      </c>
      <c r="G14" s="49" t="s">
        <v>79</v>
      </c>
      <c r="H14" s="49">
        <v>3</v>
      </c>
      <c r="I14" s="49" t="s">
        <v>284</v>
      </c>
      <c r="J14" s="46"/>
      <c r="K14" s="46"/>
      <c r="L14" s="46"/>
      <c r="M14" s="50">
        <v>0.66666666666666663</v>
      </c>
      <c r="N14" s="51">
        <v>2.3333333333333335</v>
      </c>
      <c r="O14" s="52">
        <f>H14*4186.8*10^(-9)*10^(-3)</f>
        <v>1.2560400000000003E-8</v>
      </c>
      <c r="P14" s="52" t="s">
        <v>285</v>
      </c>
      <c r="Q14" s="47">
        <v>9600</v>
      </c>
      <c r="R14" s="47" t="s">
        <v>68</v>
      </c>
      <c r="S14" s="47" t="s">
        <v>286</v>
      </c>
      <c r="T14" s="53">
        <f t="shared" si="0"/>
        <v>1.2057984000000003E-4</v>
      </c>
      <c r="U14" s="54" t="s">
        <v>287</v>
      </c>
      <c r="V14" s="55">
        <v>0.66666666666666663</v>
      </c>
      <c r="W14" s="56">
        <v>2.3333333333333335</v>
      </c>
      <c r="X14" s="57" t="s">
        <v>288</v>
      </c>
      <c r="Y14" s="58" t="s">
        <v>289</v>
      </c>
      <c r="Z14" s="46"/>
    </row>
    <row r="15" spans="2:26" ht="17.5" x14ac:dyDescent="0.4">
      <c r="B15" s="46" t="s">
        <v>281</v>
      </c>
      <c r="C15" s="46" t="s">
        <v>282</v>
      </c>
      <c r="D15" s="47" t="s">
        <v>290</v>
      </c>
      <c r="E15" s="46" t="s">
        <v>113</v>
      </c>
      <c r="F15" s="48" t="s">
        <v>113</v>
      </c>
      <c r="G15" s="49" t="s">
        <v>79</v>
      </c>
      <c r="H15" s="59">
        <v>20</v>
      </c>
      <c r="I15" s="60" t="s">
        <v>58</v>
      </c>
      <c r="J15" s="60">
        <v>1</v>
      </c>
      <c r="K15" s="61">
        <v>73300</v>
      </c>
      <c r="L15" s="60" t="s">
        <v>291</v>
      </c>
      <c r="M15" s="50">
        <v>1.9099590723055934E-2</v>
      </c>
      <c r="N15" s="51">
        <v>2.5920873124147339E-2</v>
      </c>
      <c r="O15" s="52">
        <f>K15*(4186.8*10^(-9)*10^(-3))</f>
        <v>3.0689244000000005E-4</v>
      </c>
      <c r="P15" s="52" t="s">
        <v>292</v>
      </c>
      <c r="Q15" s="47">
        <v>9600</v>
      </c>
      <c r="R15" s="47" t="s">
        <v>68</v>
      </c>
      <c r="S15" s="47" t="s">
        <v>286</v>
      </c>
      <c r="T15" s="53">
        <f t="shared" si="0"/>
        <v>2.9461674240000004</v>
      </c>
      <c r="U15" s="54" t="s">
        <v>293</v>
      </c>
      <c r="V15" s="55">
        <v>1.9099590723055934E-2</v>
      </c>
      <c r="W15" s="56">
        <v>2.5920873124147339E-2</v>
      </c>
      <c r="X15" s="57" t="s">
        <v>288</v>
      </c>
      <c r="Y15" s="58" t="s">
        <v>289</v>
      </c>
      <c r="Z15" s="46"/>
    </row>
    <row r="16" spans="2:26" ht="17.5" x14ac:dyDescent="0.4">
      <c r="B16" s="46" t="s">
        <v>281</v>
      </c>
      <c r="C16" s="46" t="s">
        <v>282</v>
      </c>
      <c r="D16" s="47" t="s">
        <v>294</v>
      </c>
      <c r="E16" s="46" t="s">
        <v>113</v>
      </c>
      <c r="F16" s="48" t="s">
        <v>113</v>
      </c>
      <c r="G16" s="49" t="s">
        <v>79</v>
      </c>
      <c r="H16" s="59">
        <v>0.6</v>
      </c>
      <c r="I16" s="62" t="s">
        <v>295</v>
      </c>
      <c r="J16" s="46"/>
      <c r="K16" s="46"/>
      <c r="L16" s="46"/>
      <c r="M16" s="50">
        <v>0.66666666666666663</v>
      </c>
      <c r="N16" s="51">
        <v>2.3333333333333335</v>
      </c>
      <c r="O16" s="52">
        <f>H16*4186.8*10^(-9)*10^(-3)</f>
        <v>2.5120799999999999E-9</v>
      </c>
      <c r="P16" s="52" t="s">
        <v>296</v>
      </c>
      <c r="Q16" s="47">
        <v>9600</v>
      </c>
      <c r="R16" s="47" t="s">
        <v>68</v>
      </c>
      <c r="S16" s="47" t="s">
        <v>286</v>
      </c>
      <c r="T16" s="53">
        <f t="shared" si="0"/>
        <v>2.4115968E-5</v>
      </c>
      <c r="U16" s="54" t="s">
        <v>297</v>
      </c>
      <c r="V16" s="55">
        <v>0.66666666666666663</v>
      </c>
      <c r="W16" s="56">
        <v>2.3333333333333335</v>
      </c>
      <c r="X16" s="57" t="s">
        <v>288</v>
      </c>
      <c r="Y16" s="58" t="s">
        <v>289</v>
      </c>
      <c r="Z16" s="46"/>
    </row>
    <row r="17" spans="2:26" ht="17.5" x14ac:dyDescent="0.4">
      <c r="B17" s="46" t="s">
        <v>281</v>
      </c>
      <c r="C17" s="46" t="s">
        <v>282</v>
      </c>
      <c r="D17" s="47" t="s">
        <v>283</v>
      </c>
      <c r="E17" s="107" t="s">
        <v>496</v>
      </c>
      <c r="F17" s="109" t="s">
        <v>508</v>
      </c>
      <c r="G17" s="49" t="s">
        <v>77</v>
      </c>
      <c r="H17" s="49">
        <v>3</v>
      </c>
      <c r="I17" s="49" t="s">
        <v>284</v>
      </c>
      <c r="J17" s="46"/>
      <c r="K17" s="46"/>
      <c r="L17" s="46"/>
      <c r="M17" s="50">
        <v>0.66666666666666663</v>
      </c>
      <c r="N17" s="51">
        <v>2.3333333333333335</v>
      </c>
      <c r="O17" s="52">
        <f>H17*4186.8*10^(-9)*10^(-3)</f>
        <v>1.2560400000000003E-8</v>
      </c>
      <c r="P17" s="52" t="s">
        <v>285</v>
      </c>
      <c r="Q17" s="47">
        <v>7800</v>
      </c>
      <c r="R17" s="47" t="s">
        <v>68</v>
      </c>
      <c r="S17" s="47" t="s">
        <v>286</v>
      </c>
      <c r="T17" s="53">
        <f t="shared" si="0"/>
        <v>9.7971120000000023E-5</v>
      </c>
      <c r="U17" s="54" t="s">
        <v>287</v>
      </c>
      <c r="V17" s="55">
        <v>0.66666666666666663</v>
      </c>
      <c r="W17" s="56">
        <v>2.3333333333333335</v>
      </c>
      <c r="X17" s="57" t="s">
        <v>288</v>
      </c>
      <c r="Y17" s="58" t="s">
        <v>289</v>
      </c>
      <c r="Z17" s="46"/>
    </row>
    <row r="18" spans="2:26" ht="17.5" x14ac:dyDescent="0.4">
      <c r="B18" s="46" t="s">
        <v>281</v>
      </c>
      <c r="C18" s="46" t="s">
        <v>282</v>
      </c>
      <c r="D18" s="47" t="s">
        <v>290</v>
      </c>
      <c r="E18" s="46" t="s">
        <v>298</v>
      </c>
      <c r="F18" s="48" t="s">
        <v>111</v>
      </c>
      <c r="G18" s="49" t="s">
        <v>77</v>
      </c>
      <c r="H18" s="59">
        <v>20</v>
      </c>
      <c r="I18" s="60" t="s">
        <v>58</v>
      </c>
      <c r="J18" s="60">
        <v>1</v>
      </c>
      <c r="K18" s="61">
        <v>73300</v>
      </c>
      <c r="L18" s="60" t="s">
        <v>291</v>
      </c>
      <c r="M18" s="50">
        <v>5.4570259208731244E-2</v>
      </c>
      <c r="N18" s="51">
        <v>4.0927694406548434E-2</v>
      </c>
      <c r="O18" s="52">
        <f>K18*(4186.8*10^(-9)*10^(-3))</f>
        <v>3.0689244000000005E-4</v>
      </c>
      <c r="P18" s="52" t="s">
        <v>292</v>
      </c>
      <c r="Q18" s="47">
        <v>7800</v>
      </c>
      <c r="R18" s="47" t="s">
        <v>68</v>
      </c>
      <c r="S18" s="47" t="s">
        <v>286</v>
      </c>
      <c r="T18" s="53">
        <f t="shared" si="0"/>
        <v>2.3937610320000005</v>
      </c>
      <c r="U18" s="54" t="s">
        <v>293</v>
      </c>
      <c r="V18" s="55">
        <v>5.4570259208731244E-2</v>
      </c>
      <c r="W18" s="56">
        <v>4.0927694406548434E-2</v>
      </c>
      <c r="X18" s="57" t="s">
        <v>288</v>
      </c>
      <c r="Y18" s="58" t="s">
        <v>289</v>
      </c>
      <c r="Z18" s="46"/>
    </row>
    <row r="19" spans="2:26" ht="17.5" x14ac:dyDescent="0.4">
      <c r="B19" s="46" t="s">
        <v>281</v>
      </c>
      <c r="C19" s="46" t="s">
        <v>282</v>
      </c>
      <c r="D19" s="47" t="s">
        <v>294</v>
      </c>
      <c r="E19" s="46" t="s">
        <v>298</v>
      </c>
      <c r="F19" s="48" t="s">
        <v>111</v>
      </c>
      <c r="G19" s="49" t="s">
        <v>77</v>
      </c>
      <c r="H19" s="59">
        <v>0.6</v>
      </c>
      <c r="I19" s="62" t="s">
        <v>295</v>
      </c>
      <c r="J19" s="46"/>
      <c r="K19" s="46"/>
      <c r="L19" s="46"/>
      <c r="M19" s="50">
        <v>0.66666666666666663</v>
      </c>
      <c r="N19" s="51">
        <v>2.3333333333333335</v>
      </c>
      <c r="O19" s="52">
        <f>H19*4186.8*10^(-9)*10^(-3)</f>
        <v>2.5120799999999999E-9</v>
      </c>
      <c r="P19" s="52" t="s">
        <v>296</v>
      </c>
      <c r="Q19" s="47">
        <v>7800</v>
      </c>
      <c r="R19" s="47" t="s">
        <v>68</v>
      </c>
      <c r="S19" s="47" t="s">
        <v>286</v>
      </c>
      <c r="T19" s="53">
        <f t="shared" si="0"/>
        <v>1.9594223999999998E-5</v>
      </c>
      <c r="U19" s="54" t="s">
        <v>297</v>
      </c>
      <c r="V19" s="55">
        <v>0.66666666666666663</v>
      </c>
      <c r="W19" s="56">
        <v>2.3333333333333335</v>
      </c>
      <c r="X19" s="57" t="s">
        <v>288</v>
      </c>
      <c r="Y19" s="58" t="s">
        <v>289</v>
      </c>
      <c r="Z19" s="46"/>
    </row>
    <row r="20" spans="2:26" ht="17.5" x14ac:dyDescent="0.4">
      <c r="B20" s="46" t="s">
        <v>281</v>
      </c>
      <c r="C20" s="46" t="s">
        <v>282</v>
      </c>
      <c r="D20" s="47" t="s">
        <v>283</v>
      </c>
      <c r="E20" s="107" t="s">
        <v>497</v>
      </c>
      <c r="F20" s="109" t="s">
        <v>509</v>
      </c>
      <c r="G20" s="49" t="s">
        <v>78</v>
      </c>
      <c r="H20" s="49">
        <v>3</v>
      </c>
      <c r="I20" s="49" t="s">
        <v>284</v>
      </c>
      <c r="J20" s="46"/>
      <c r="K20" s="46"/>
      <c r="L20" s="46"/>
      <c r="M20" s="50">
        <v>0.66666666666666663</v>
      </c>
      <c r="N20" s="51">
        <v>2.3333333333333335</v>
      </c>
      <c r="O20" s="52">
        <f>H20*4186.8*10^(-9)*10^(-3)</f>
        <v>1.2560400000000003E-8</v>
      </c>
      <c r="P20" s="52" t="s">
        <v>285</v>
      </c>
      <c r="Q20" s="47">
        <v>10000</v>
      </c>
      <c r="R20" s="47" t="s">
        <v>68</v>
      </c>
      <c r="S20" s="47" t="s">
        <v>286</v>
      </c>
      <c r="T20" s="53">
        <f t="shared" si="0"/>
        <v>1.2560400000000003E-4</v>
      </c>
      <c r="U20" s="54" t="s">
        <v>287</v>
      </c>
      <c r="V20" s="55">
        <v>0.66666666666666663</v>
      </c>
      <c r="W20" s="56">
        <v>2.3333333333333335</v>
      </c>
      <c r="X20" s="57" t="s">
        <v>288</v>
      </c>
      <c r="Y20" s="58" t="s">
        <v>289</v>
      </c>
      <c r="Z20" s="46"/>
    </row>
    <row r="21" spans="2:26" ht="17.5" x14ac:dyDescent="0.4">
      <c r="B21" s="46" t="s">
        <v>281</v>
      </c>
      <c r="C21" s="46" t="s">
        <v>282</v>
      </c>
      <c r="D21" s="47" t="s">
        <v>290</v>
      </c>
      <c r="E21" s="46" t="s">
        <v>299</v>
      </c>
      <c r="F21" s="48" t="s">
        <v>112</v>
      </c>
      <c r="G21" s="49" t="s">
        <v>78</v>
      </c>
      <c r="H21" s="59">
        <v>22</v>
      </c>
      <c r="I21" s="60" t="s">
        <v>58</v>
      </c>
      <c r="J21" s="60">
        <v>1</v>
      </c>
      <c r="K21" s="61">
        <v>80700</v>
      </c>
      <c r="L21" s="60" t="s">
        <v>291</v>
      </c>
      <c r="M21" s="50">
        <v>9.541511771995044E-2</v>
      </c>
      <c r="N21" s="51">
        <v>0.11400247831474597</v>
      </c>
      <c r="O21" s="52">
        <f>K21*(4186.8*10^(-9)*10^(-3))</f>
        <v>3.3787476000000005E-4</v>
      </c>
      <c r="P21" s="52" t="s">
        <v>292</v>
      </c>
      <c r="Q21" s="47">
        <v>10000</v>
      </c>
      <c r="R21" s="47" t="s">
        <v>68</v>
      </c>
      <c r="S21" s="47" t="s">
        <v>286</v>
      </c>
      <c r="T21" s="53">
        <f t="shared" si="0"/>
        <v>3.3787476000000005</v>
      </c>
      <c r="U21" s="54" t="s">
        <v>293</v>
      </c>
      <c r="V21" s="55">
        <v>9.541511771995044E-2</v>
      </c>
      <c r="W21" s="56">
        <v>0.11400247831474597</v>
      </c>
      <c r="X21" s="57" t="s">
        <v>288</v>
      </c>
      <c r="Y21" s="58" t="s">
        <v>289</v>
      </c>
      <c r="Z21" s="46"/>
    </row>
    <row r="22" spans="2:26" ht="17.5" x14ac:dyDescent="0.4">
      <c r="B22" s="46" t="s">
        <v>281</v>
      </c>
      <c r="C22" s="46" t="s">
        <v>282</v>
      </c>
      <c r="D22" s="47" t="s">
        <v>294</v>
      </c>
      <c r="E22" s="46" t="s">
        <v>299</v>
      </c>
      <c r="F22" s="48" t="s">
        <v>112</v>
      </c>
      <c r="G22" s="49" t="s">
        <v>78</v>
      </c>
      <c r="H22" s="59">
        <v>0.6</v>
      </c>
      <c r="I22" s="62" t="s">
        <v>295</v>
      </c>
      <c r="J22" s="46"/>
      <c r="K22" s="46"/>
      <c r="L22" s="46"/>
      <c r="M22" s="50">
        <v>0.66666666666666663</v>
      </c>
      <c r="N22" s="51">
        <v>2.3333333333333335</v>
      </c>
      <c r="O22" s="52">
        <f>H22*4186.8*10^(-9)*10^(-3)</f>
        <v>2.5120799999999999E-9</v>
      </c>
      <c r="P22" s="52" t="s">
        <v>296</v>
      </c>
      <c r="Q22" s="47">
        <v>10000</v>
      </c>
      <c r="R22" s="47" t="s">
        <v>68</v>
      </c>
      <c r="S22" s="47" t="s">
        <v>286</v>
      </c>
      <c r="T22" s="53">
        <f t="shared" si="0"/>
        <v>2.5120799999999998E-5</v>
      </c>
      <c r="U22" s="54" t="s">
        <v>297</v>
      </c>
      <c r="V22" s="55">
        <v>0.66666666666666663</v>
      </c>
      <c r="W22" s="56">
        <v>2.3333333333333335</v>
      </c>
      <c r="X22" s="57" t="s">
        <v>288</v>
      </c>
      <c r="Y22" s="58" t="s">
        <v>289</v>
      </c>
      <c r="Z22" s="46"/>
    </row>
    <row r="23" spans="2:26" ht="17.5" x14ac:dyDescent="0.4">
      <c r="B23" s="46" t="s">
        <v>281</v>
      </c>
      <c r="C23" s="46" t="s">
        <v>282</v>
      </c>
      <c r="D23" s="47" t="s">
        <v>283</v>
      </c>
      <c r="E23" s="46" t="s">
        <v>300</v>
      </c>
      <c r="F23" s="48" t="s">
        <v>112</v>
      </c>
      <c r="G23" s="49" t="s">
        <v>78</v>
      </c>
      <c r="H23" s="49">
        <v>3</v>
      </c>
      <c r="I23" s="49" t="s">
        <v>284</v>
      </c>
      <c r="J23" s="46"/>
      <c r="K23" s="46"/>
      <c r="L23" s="46"/>
      <c r="M23" s="50">
        <v>0.66666666666666663</v>
      </c>
      <c r="N23" s="51">
        <v>2.3333333333333335</v>
      </c>
      <c r="O23" s="52">
        <f>H23*4186.8*10^(-9)*10^(-3)</f>
        <v>1.2560400000000003E-8</v>
      </c>
      <c r="P23" s="52" t="s">
        <v>285</v>
      </c>
      <c r="Q23" s="47">
        <v>10000</v>
      </c>
      <c r="R23" s="47" t="s">
        <v>68</v>
      </c>
      <c r="S23" s="47" t="s">
        <v>286</v>
      </c>
      <c r="T23" s="53">
        <f t="shared" si="0"/>
        <v>1.2560400000000003E-4</v>
      </c>
      <c r="U23" s="54" t="s">
        <v>287</v>
      </c>
      <c r="V23" s="55">
        <v>0.66666666666666663</v>
      </c>
      <c r="W23" s="56">
        <v>2.3333333333333335</v>
      </c>
      <c r="X23" s="57" t="s">
        <v>288</v>
      </c>
      <c r="Y23" s="58" t="s">
        <v>289</v>
      </c>
      <c r="Z23" s="46"/>
    </row>
    <row r="24" spans="2:26" ht="17.5" x14ac:dyDescent="0.4">
      <c r="B24" s="46" t="s">
        <v>281</v>
      </c>
      <c r="C24" s="46" t="s">
        <v>282</v>
      </c>
      <c r="D24" s="47" t="s">
        <v>290</v>
      </c>
      <c r="E24" s="106" t="s">
        <v>498</v>
      </c>
      <c r="F24" s="48" t="s">
        <v>112</v>
      </c>
      <c r="G24" s="49" t="s">
        <v>78</v>
      </c>
      <c r="H24" s="59">
        <v>22</v>
      </c>
      <c r="I24" s="60" t="s">
        <v>58</v>
      </c>
      <c r="J24" s="60">
        <v>1</v>
      </c>
      <c r="K24" s="61">
        <v>80700</v>
      </c>
      <c r="L24" s="60" t="s">
        <v>291</v>
      </c>
      <c r="M24" s="50">
        <v>9.541511771995044E-2</v>
      </c>
      <c r="N24" s="51">
        <v>0.11400247831474597</v>
      </c>
      <c r="O24" s="52">
        <f>K24*(4186.8*10^(-9)*10^(-3))</f>
        <v>3.3787476000000005E-4</v>
      </c>
      <c r="P24" s="52" t="s">
        <v>292</v>
      </c>
      <c r="Q24" s="47">
        <v>10000</v>
      </c>
      <c r="R24" s="47" t="s">
        <v>68</v>
      </c>
      <c r="S24" s="47" t="s">
        <v>286</v>
      </c>
      <c r="T24" s="53">
        <f t="shared" si="0"/>
        <v>3.3787476000000005</v>
      </c>
      <c r="U24" s="54" t="s">
        <v>293</v>
      </c>
      <c r="V24" s="55">
        <v>9.541511771995044E-2</v>
      </c>
      <c r="W24" s="56">
        <v>0.11400247831474597</v>
      </c>
      <c r="X24" s="57" t="s">
        <v>288</v>
      </c>
      <c r="Y24" s="58" t="s">
        <v>289</v>
      </c>
      <c r="Z24" s="46"/>
    </row>
    <row r="25" spans="2:26" ht="17.5" x14ac:dyDescent="0.4">
      <c r="B25" s="46" t="s">
        <v>281</v>
      </c>
      <c r="C25" s="46" t="s">
        <v>282</v>
      </c>
      <c r="D25" s="47" t="s">
        <v>294</v>
      </c>
      <c r="E25" s="46" t="s">
        <v>300</v>
      </c>
      <c r="F25" s="48" t="s">
        <v>112</v>
      </c>
      <c r="G25" s="49" t="s">
        <v>78</v>
      </c>
      <c r="H25" s="59">
        <v>0.6</v>
      </c>
      <c r="I25" s="62" t="s">
        <v>295</v>
      </c>
      <c r="J25" s="46"/>
      <c r="K25" s="46"/>
      <c r="L25" s="46"/>
      <c r="M25" s="50">
        <v>0.66666666666666663</v>
      </c>
      <c r="N25" s="51">
        <v>2.3333333333333335</v>
      </c>
      <c r="O25" s="52">
        <f>H25*4186.8*10^(-9)*10^(-3)</f>
        <v>2.5120799999999999E-9</v>
      </c>
      <c r="P25" s="52" t="s">
        <v>296</v>
      </c>
      <c r="Q25" s="47">
        <v>10000</v>
      </c>
      <c r="R25" s="47" t="s">
        <v>68</v>
      </c>
      <c r="S25" s="47" t="s">
        <v>286</v>
      </c>
      <c r="T25" s="53">
        <f t="shared" si="0"/>
        <v>2.5120799999999998E-5</v>
      </c>
      <c r="U25" s="54" t="s">
        <v>297</v>
      </c>
      <c r="V25" s="55">
        <v>0.66666666666666663</v>
      </c>
      <c r="W25" s="56">
        <v>2.3333333333333335</v>
      </c>
      <c r="X25" s="57" t="s">
        <v>288</v>
      </c>
      <c r="Y25" s="58" t="s">
        <v>289</v>
      </c>
      <c r="Z25" s="46"/>
    </row>
    <row r="26" spans="2:26" ht="17.5" x14ac:dyDescent="0.4">
      <c r="B26" s="46" t="s">
        <v>281</v>
      </c>
      <c r="C26" s="46" t="s">
        <v>282</v>
      </c>
      <c r="D26" s="47" t="s">
        <v>283</v>
      </c>
      <c r="E26" s="46" t="s">
        <v>301</v>
      </c>
      <c r="F26" s="48" t="s">
        <v>302</v>
      </c>
      <c r="G26" s="49" t="s">
        <v>76</v>
      </c>
      <c r="H26" s="49">
        <v>3</v>
      </c>
      <c r="I26" s="49" t="s">
        <v>284</v>
      </c>
      <c r="J26" s="46"/>
      <c r="K26" s="46"/>
      <c r="L26" s="46"/>
      <c r="M26" s="50">
        <v>0.66666666666666663</v>
      </c>
      <c r="N26" s="51">
        <v>2.3333333333333335</v>
      </c>
      <c r="O26" s="52">
        <f>H26*4186.8*10^(-9)*10^(-3)</f>
        <v>1.2560400000000003E-8</v>
      </c>
      <c r="P26" s="52" t="s">
        <v>285</v>
      </c>
      <c r="Q26" s="47">
        <v>9600</v>
      </c>
      <c r="R26" s="47" t="s">
        <v>68</v>
      </c>
      <c r="S26" s="47" t="s">
        <v>286</v>
      </c>
      <c r="T26" s="53">
        <f t="shared" si="0"/>
        <v>1.2057984000000003E-4</v>
      </c>
      <c r="U26" s="54" t="s">
        <v>287</v>
      </c>
      <c r="V26" s="55">
        <v>0.66666666666666663</v>
      </c>
      <c r="W26" s="56">
        <v>2.3333333333333335</v>
      </c>
      <c r="X26" s="57" t="s">
        <v>288</v>
      </c>
      <c r="Y26" s="58" t="s">
        <v>289</v>
      </c>
      <c r="Z26" s="46"/>
    </row>
    <row r="27" spans="2:26" ht="30.5" x14ac:dyDescent="0.4">
      <c r="B27" s="46" t="s">
        <v>281</v>
      </c>
      <c r="C27" s="46" t="s">
        <v>282</v>
      </c>
      <c r="D27" s="47" t="s">
        <v>290</v>
      </c>
      <c r="E27" s="106" t="s">
        <v>499</v>
      </c>
      <c r="F27" s="48" t="s">
        <v>303</v>
      </c>
      <c r="G27" s="49" t="s">
        <v>76</v>
      </c>
      <c r="H27" s="59">
        <v>21.1</v>
      </c>
      <c r="I27" s="60" t="s">
        <v>58</v>
      </c>
      <c r="J27" s="60">
        <v>1</v>
      </c>
      <c r="K27" s="61">
        <v>77400</v>
      </c>
      <c r="L27" s="60" t="s">
        <v>291</v>
      </c>
      <c r="M27" s="50">
        <v>2.454780361757106E-2</v>
      </c>
      <c r="N27" s="51">
        <v>1.8087855297157621E-2</v>
      </c>
      <c r="O27" s="52">
        <f>K27*(4186.8*10^(-9)*10^(-3))</f>
        <v>3.2405832000000003E-4</v>
      </c>
      <c r="P27" s="52" t="s">
        <v>292</v>
      </c>
      <c r="Q27" s="47">
        <v>9600</v>
      </c>
      <c r="R27" s="47" t="s">
        <v>68</v>
      </c>
      <c r="S27" s="47" t="s">
        <v>286</v>
      </c>
      <c r="T27" s="53">
        <f t="shared" si="0"/>
        <v>3.1109598720000005</v>
      </c>
      <c r="U27" s="54" t="s">
        <v>293</v>
      </c>
      <c r="V27" s="55">
        <v>2.454780361757106E-2</v>
      </c>
      <c r="W27" s="56">
        <v>1.8087855297157621E-2</v>
      </c>
      <c r="X27" s="57" t="s">
        <v>288</v>
      </c>
      <c r="Y27" s="58" t="s">
        <v>289</v>
      </c>
      <c r="Z27" s="46"/>
    </row>
    <row r="28" spans="2:26" ht="17.5" x14ac:dyDescent="0.4">
      <c r="B28" s="46" t="s">
        <v>281</v>
      </c>
      <c r="C28" s="46" t="s">
        <v>282</v>
      </c>
      <c r="D28" s="47" t="s">
        <v>294</v>
      </c>
      <c r="E28" s="46" t="s">
        <v>301</v>
      </c>
      <c r="F28" s="48" t="s">
        <v>302</v>
      </c>
      <c r="G28" s="49" t="s">
        <v>76</v>
      </c>
      <c r="H28" s="59">
        <v>0.6</v>
      </c>
      <c r="I28" s="62" t="s">
        <v>295</v>
      </c>
      <c r="J28" s="46"/>
      <c r="K28" s="46"/>
      <c r="L28" s="46"/>
      <c r="M28" s="50">
        <v>0.66666666666666663</v>
      </c>
      <c r="N28" s="51">
        <v>2.3333333333333335</v>
      </c>
      <c r="O28" s="52">
        <f>H28*4186.8*10^(-9)*10^(-3)</f>
        <v>2.5120799999999999E-9</v>
      </c>
      <c r="P28" s="52" t="s">
        <v>296</v>
      </c>
      <c r="Q28" s="47">
        <v>9600</v>
      </c>
      <c r="R28" s="47" t="s">
        <v>68</v>
      </c>
      <c r="S28" s="47" t="s">
        <v>286</v>
      </c>
      <c r="T28" s="53">
        <f t="shared" si="0"/>
        <v>2.4115968E-5</v>
      </c>
      <c r="U28" s="54" t="s">
        <v>297</v>
      </c>
      <c r="V28" s="55">
        <v>0.66666666666666663</v>
      </c>
      <c r="W28" s="56">
        <v>2.3333333333333335</v>
      </c>
      <c r="X28" s="57" t="s">
        <v>288</v>
      </c>
      <c r="Y28" s="58" t="s">
        <v>289</v>
      </c>
      <c r="Z28" s="46"/>
    </row>
    <row r="29" spans="2:26" ht="17.5" x14ac:dyDescent="0.4">
      <c r="B29" s="46" t="s">
        <v>281</v>
      </c>
      <c r="C29" s="46" t="s">
        <v>282</v>
      </c>
      <c r="D29" s="47" t="s">
        <v>283</v>
      </c>
      <c r="E29" s="106" t="s">
        <v>500</v>
      </c>
      <c r="F29" s="48" t="s">
        <v>302</v>
      </c>
      <c r="G29" s="49" t="s">
        <v>76</v>
      </c>
      <c r="H29" s="49">
        <v>3</v>
      </c>
      <c r="I29" s="49" t="s">
        <v>284</v>
      </c>
      <c r="J29" s="46"/>
      <c r="K29" s="46"/>
      <c r="L29" s="46"/>
      <c r="M29" s="50">
        <v>0.66666666666666663</v>
      </c>
      <c r="N29" s="51">
        <v>2.3333333333333335</v>
      </c>
      <c r="O29" s="52">
        <f>H29*4186.8*10^(-9)*10^(-3)</f>
        <v>1.2560400000000003E-8</v>
      </c>
      <c r="P29" s="52" t="s">
        <v>285</v>
      </c>
      <c r="Q29" s="47">
        <v>9600</v>
      </c>
      <c r="R29" s="47" t="s">
        <v>68</v>
      </c>
      <c r="S29" s="47" t="s">
        <v>286</v>
      </c>
      <c r="T29" s="53">
        <f t="shared" si="0"/>
        <v>1.2057984000000003E-4</v>
      </c>
      <c r="U29" s="54" t="s">
        <v>287</v>
      </c>
      <c r="V29" s="55">
        <v>0.66666666666666663</v>
      </c>
      <c r="W29" s="56">
        <v>2.3333333333333335</v>
      </c>
      <c r="X29" s="57" t="s">
        <v>288</v>
      </c>
      <c r="Y29" s="58" t="s">
        <v>289</v>
      </c>
      <c r="Z29" s="46"/>
    </row>
    <row r="30" spans="2:26" ht="30.5" x14ac:dyDescent="0.4">
      <c r="B30" s="46" t="s">
        <v>281</v>
      </c>
      <c r="C30" s="46" t="s">
        <v>282</v>
      </c>
      <c r="D30" s="47" t="s">
        <v>290</v>
      </c>
      <c r="E30" s="46" t="s">
        <v>304</v>
      </c>
      <c r="F30" s="48" t="s">
        <v>303</v>
      </c>
      <c r="G30" s="49" t="s">
        <v>76</v>
      </c>
      <c r="H30" s="59">
        <v>21.1</v>
      </c>
      <c r="I30" s="60" t="s">
        <v>58</v>
      </c>
      <c r="J30" s="60">
        <v>1</v>
      </c>
      <c r="K30" s="61">
        <v>77400</v>
      </c>
      <c r="L30" s="60" t="s">
        <v>291</v>
      </c>
      <c r="M30" s="50">
        <v>2.454780361757106E-2</v>
      </c>
      <c r="N30" s="51">
        <v>1.8087855297157621E-2</v>
      </c>
      <c r="O30" s="52">
        <f>K30*(4186.8*10^(-9)*10^(-3))</f>
        <v>3.2405832000000003E-4</v>
      </c>
      <c r="P30" s="52" t="s">
        <v>292</v>
      </c>
      <c r="Q30" s="47">
        <v>9600</v>
      </c>
      <c r="R30" s="47" t="s">
        <v>68</v>
      </c>
      <c r="S30" s="47" t="s">
        <v>286</v>
      </c>
      <c r="T30" s="53">
        <f t="shared" si="0"/>
        <v>3.1109598720000005</v>
      </c>
      <c r="U30" s="54" t="s">
        <v>293</v>
      </c>
      <c r="V30" s="55">
        <v>2.454780361757106E-2</v>
      </c>
      <c r="W30" s="56">
        <v>1.8087855297157621E-2</v>
      </c>
      <c r="X30" s="57" t="s">
        <v>288</v>
      </c>
      <c r="Y30" s="58" t="s">
        <v>289</v>
      </c>
      <c r="Z30" s="46"/>
    </row>
    <row r="31" spans="2:26" ht="17.5" x14ac:dyDescent="0.4">
      <c r="B31" s="46" t="s">
        <v>281</v>
      </c>
      <c r="C31" s="46" t="s">
        <v>282</v>
      </c>
      <c r="D31" s="47" t="s">
        <v>294</v>
      </c>
      <c r="E31" s="46" t="s">
        <v>304</v>
      </c>
      <c r="F31" s="108" t="s">
        <v>506</v>
      </c>
      <c r="G31" s="49" t="s">
        <v>76</v>
      </c>
      <c r="H31" s="59">
        <v>0.6</v>
      </c>
      <c r="I31" s="62" t="s">
        <v>295</v>
      </c>
      <c r="J31" s="46"/>
      <c r="K31" s="46"/>
      <c r="L31" s="46"/>
      <c r="M31" s="50">
        <v>0.66666666666666663</v>
      </c>
      <c r="N31" s="51">
        <v>2.3333333333333335</v>
      </c>
      <c r="O31" s="52">
        <f>H31*4186.8*10^(-9)*10^(-3)</f>
        <v>2.5120799999999999E-9</v>
      </c>
      <c r="P31" s="52" t="s">
        <v>296</v>
      </c>
      <c r="Q31" s="47">
        <v>9600</v>
      </c>
      <c r="R31" s="47" t="s">
        <v>68</v>
      </c>
      <c r="S31" s="47" t="s">
        <v>286</v>
      </c>
      <c r="T31" s="53">
        <f t="shared" si="0"/>
        <v>2.4115968E-5</v>
      </c>
      <c r="U31" s="54" t="s">
        <v>297</v>
      </c>
      <c r="V31" s="55">
        <v>0.66666666666666663</v>
      </c>
      <c r="W31" s="56">
        <v>2.3333333333333335</v>
      </c>
      <c r="X31" s="57" t="s">
        <v>288</v>
      </c>
      <c r="Y31" s="58" t="s">
        <v>289</v>
      </c>
      <c r="Z31" s="46"/>
    </row>
    <row r="32" spans="2:26" ht="35" x14ac:dyDescent="0.4">
      <c r="B32" s="46" t="s">
        <v>281</v>
      </c>
      <c r="C32" s="46" t="s">
        <v>282</v>
      </c>
      <c r="D32" s="47" t="s">
        <v>283</v>
      </c>
      <c r="E32" s="106" t="s">
        <v>501</v>
      </c>
      <c r="F32" s="48" t="s">
        <v>101</v>
      </c>
      <c r="G32" s="49" t="s">
        <v>66</v>
      </c>
      <c r="H32" s="49">
        <v>1</v>
      </c>
      <c r="I32" s="49" t="s">
        <v>284</v>
      </c>
      <c r="J32" s="46"/>
      <c r="K32" s="46"/>
      <c r="L32" s="46"/>
      <c r="M32" s="50">
        <v>0.7</v>
      </c>
      <c r="N32" s="51">
        <v>2</v>
      </c>
      <c r="O32" s="52">
        <f>H32*4186.8*10^(-9)*10^(-3)</f>
        <v>4.1868000000000005E-9</v>
      </c>
      <c r="P32" s="52" t="s">
        <v>285</v>
      </c>
      <c r="Q32" s="47">
        <v>7000</v>
      </c>
      <c r="R32" s="47" t="s">
        <v>59</v>
      </c>
      <c r="S32" s="47" t="s">
        <v>286</v>
      </c>
      <c r="T32" s="53">
        <f t="shared" si="0"/>
        <v>2.9307600000000004E-5</v>
      </c>
      <c r="U32" s="54" t="s">
        <v>305</v>
      </c>
      <c r="V32" s="55">
        <v>0.7</v>
      </c>
      <c r="W32" s="56">
        <v>2</v>
      </c>
      <c r="X32" s="57" t="s">
        <v>288</v>
      </c>
      <c r="Y32" s="58" t="s">
        <v>289</v>
      </c>
      <c r="Z32" s="46"/>
    </row>
    <row r="33" spans="2:26" ht="35" x14ac:dyDescent="0.4">
      <c r="B33" s="46" t="s">
        <v>281</v>
      </c>
      <c r="C33" s="46" t="s">
        <v>282</v>
      </c>
      <c r="D33" s="47" t="s">
        <v>290</v>
      </c>
      <c r="E33" s="46" t="s">
        <v>101</v>
      </c>
      <c r="F33" s="48" t="s">
        <v>101</v>
      </c>
      <c r="G33" s="49" t="s">
        <v>66</v>
      </c>
      <c r="H33" s="59">
        <v>29.2</v>
      </c>
      <c r="I33" s="60" t="s">
        <v>58</v>
      </c>
      <c r="J33" s="60">
        <v>1</v>
      </c>
      <c r="K33" s="63">
        <v>107000</v>
      </c>
      <c r="L33" s="60" t="s">
        <v>291</v>
      </c>
      <c r="M33" s="50">
        <v>0.10560747663551402</v>
      </c>
      <c r="N33" s="51">
        <v>0.11214953271028037</v>
      </c>
      <c r="O33" s="52">
        <f>K33*(4186.8*10^(-9)*10^(-3))</f>
        <v>4.4798760000000005E-4</v>
      </c>
      <c r="P33" s="52" t="s">
        <v>292</v>
      </c>
      <c r="Q33" s="47">
        <v>7000</v>
      </c>
      <c r="R33" s="47" t="s">
        <v>59</v>
      </c>
      <c r="S33" s="47" t="s">
        <v>286</v>
      </c>
      <c r="T33" s="53">
        <f t="shared" si="0"/>
        <v>3.1359132000000005</v>
      </c>
      <c r="U33" s="54" t="s">
        <v>306</v>
      </c>
      <c r="V33" s="55">
        <v>0.10560747663551402</v>
      </c>
      <c r="W33" s="56">
        <v>0.11214953271028037</v>
      </c>
      <c r="X33" s="57" t="s">
        <v>288</v>
      </c>
      <c r="Y33" s="58" t="s">
        <v>289</v>
      </c>
      <c r="Z33" s="46"/>
    </row>
    <row r="34" spans="2:26" ht="35" x14ac:dyDescent="0.4">
      <c r="B34" s="46" t="s">
        <v>281</v>
      </c>
      <c r="C34" s="46" t="s">
        <v>282</v>
      </c>
      <c r="D34" s="47" t="s">
        <v>294</v>
      </c>
      <c r="E34" s="46" t="s">
        <v>101</v>
      </c>
      <c r="F34" s="48" t="s">
        <v>101</v>
      </c>
      <c r="G34" s="49" t="s">
        <v>66</v>
      </c>
      <c r="H34" s="59">
        <v>1.5</v>
      </c>
      <c r="I34" s="62" t="s">
        <v>295</v>
      </c>
      <c r="J34" s="46"/>
      <c r="K34" s="46"/>
      <c r="L34" s="46"/>
      <c r="M34" s="50">
        <v>0.66666666666666663</v>
      </c>
      <c r="N34" s="51">
        <v>2.3333333333333335</v>
      </c>
      <c r="O34" s="52">
        <f>H34*4186.8*10^(-9)*10^(-3)</f>
        <v>6.2802000000000015E-9</v>
      </c>
      <c r="P34" s="52" t="s">
        <v>296</v>
      </c>
      <c r="Q34" s="47">
        <v>7000</v>
      </c>
      <c r="R34" s="47" t="s">
        <v>59</v>
      </c>
      <c r="S34" s="47" t="s">
        <v>286</v>
      </c>
      <c r="T34" s="53">
        <f t="shared" si="0"/>
        <v>4.3961400000000009E-5</v>
      </c>
      <c r="U34" s="54" t="s">
        <v>307</v>
      </c>
      <c r="V34" s="55">
        <v>0.66666666666666663</v>
      </c>
      <c r="W34" s="56">
        <v>2.3333333333333335</v>
      </c>
      <c r="X34" s="57" t="s">
        <v>288</v>
      </c>
      <c r="Y34" s="58" t="s">
        <v>289</v>
      </c>
      <c r="Z34" s="46"/>
    </row>
    <row r="35" spans="2:26" ht="17.5" x14ac:dyDescent="0.4">
      <c r="B35" s="46" t="s">
        <v>281</v>
      </c>
      <c r="C35" s="46" t="s">
        <v>282</v>
      </c>
      <c r="D35" s="47" t="s">
        <v>283</v>
      </c>
      <c r="E35" s="106" t="s">
        <v>504</v>
      </c>
      <c r="F35" s="48" t="s">
        <v>102</v>
      </c>
      <c r="G35" s="49" t="s">
        <v>67</v>
      </c>
      <c r="H35" s="49">
        <v>3</v>
      </c>
      <c r="I35" s="49" t="s">
        <v>284</v>
      </c>
      <c r="J35" s="46"/>
      <c r="K35" s="46"/>
      <c r="L35" s="46"/>
      <c r="M35" s="50">
        <v>0.66666666666666663</v>
      </c>
      <c r="N35" s="51">
        <v>2.3333333333333335</v>
      </c>
      <c r="O35" s="52">
        <f>H35*4186.8*10^(-9)*10^(-3)</f>
        <v>1.2560400000000003E-8</v>
      </c>
      <c r="P35" s="52" t="s">
        <v>285</v>
      </c>
      <c r="Q35" s="47">
        <v>8200</v>
      </c>
      <c r="R35" s="47" t="s">
        <v>59</v>
      </c>
      <c r="S35" s="47" t="s">
        <v>286</v>
      </c>
      <c r="T35" s="53">
        <f t="shared" si="0"/>
        <v>1.0299528000000002E-4</v>
      </c>
      <c r="U35" s="54" t="s">
        <v>305</v>
      </c>
      <c r="V35" s="55">
        <v>0.66666666666666663</v>
      </c>
      <c r="W35" s="56">
        <v>2.3333333333333335</v>
      </c>
      <c r="X35" s="57" t="s">
        <v>288</v>
      </c>
      <c r="Y35" s="58" t="s">
        <v>289</v>
      </c>
      <c r="Z35" s="46"/>
    </row>
    <row r="36" spans="2:26" ht="17.5" x14ac:dyDescent="0.4">
      <c r="B36" s="46" t="s">
        <v>281</v>
      </c>
      <c r="C36" s="46" t="s">
        <v>282</v>
      </c>
      <c r="D36" s="47" t="s">
        <v>290</v>
      </c>
      <c r="E36" s="46" t="s">
        <v>102</v>
      </c>
      <c r="F36" s="48" t="s">
        <v>102</v>
      </c>
      <c r="G36" s="49" t="s">
        <v>67</v>
      </c>
      <c r="H36" s="59">
        <v>26.6</v>
      </c>
      <c r="I36" s="60" t="s">
        <v>58</v>
      </c>
      <c r="J36" s="60">
        <v>1</v>
      </c>
      <c r="K36" s="61">
        <v>97500</v>
      </c>
      <c r="L36" s="60" t="s">
        <v>291</v>
      </c>
      <c r="M36" s="50">
        <v>0.14974358974358976</v>
      </c>
      <c r="N36" s="51">
        <v>0.17948717948717949</v>
      </c>
      <c r="O36" s="52">
        <f>K36*(4186.8*10^(-9)*10^(-3))</f>
        <v>4.0821300000000004E-4</v>
      </c>
      <c r="P36" s="52" t="s">
        <v>292</v>
      </c>
      <c r="Q36" s="47">
        <v>8200</v>
      </c>
      <c r="R36" s="47" t="s">
        <v>59</v>
      </c>
      <c r="S36" s="47" t="s">
        <v>286</v>
      </c>
      <c r="T36" s="53">
        <f t="shared" si="0"/>
        <v>3.3473466000000003</v>
      </c>
      <c r="U36" s="54" t="s">
        <v>306</v>
      </c>
      <c r="V36" s="55">
        <v>0.14974358974358976</v>
      </c>
      <c r="W36" s="56">
        <v>0.17948717948717949</v>
      </c>
      <c r="X36" s="57" t="s">
        <v>288</v>
      </c>
      <c r="Y36" s="58" t="s">
        <v>289</v>
      </c>
      <c r="Z36" s="46"/>
    </row>
    <row r="37" spans="2:26" ht="17.5" x14ac:dyDescent="0.4">
      <c r="B37" s="46" t="s">
        <v>281</v>
      </c>
      <c r="C37" s="46" t="s">
        <v>282</v>
      </c>
      <c r="D37" s="47" t="s">
        <v>294</v>
      </c>
      <c r="E37" s="46" t="s">
        <v>102</v>
      </c>
      <c r="F37" s="48" t="s">
        <v>102</v>
      </c>
      <c r="G37" s="49" t="s">
        <v>67</v>
      </c>
      <c r="H37" s="59">
        <v>0.6</v>
      </c>
      <c r="I37" s="62" t="s">
        <v>295</v>
      </c>
      <c r="J37" s="46"/>
      <c r="K37" s="46"/>
      <c r="L37" s="46"/>
      <c r="M37" s="50">
        <v>0.66666666666666663</v>
      </c>
      <c r="N37" s="51">
        <v>2.3333333333333335</v>
      </c>
      <c r="O37" s="52">
        <f>H37*4186.8*10^(-9)*10^(-3)</f>
        <v>2.5120799999999999E-9</v>
      </c>
      <c r="P37" s="52" t="s">
        <v>296</v>
      </c>
      <c r="Q37" s="47">
        <v>8200</v>
      </c>
      <c r="R37" s="47" t="s">
        <v>59</v>
      </c>
      <c r="S37" s="47" t="s">
        <v>286</v>
      </c>
      <c r="T37" s="53">
        <f t="shared" si="0"/>
        <v>2.0599056E-5</v>
      </c>
      <c r="U37" s="54" t="s">
        <v>307</v>
      </c>
      <c r="V37" s="55">
        <v>0.66666666666666663</v>
      </c>
      <c r="W37" s="56">
        <v>2.3333333333333335</v>
      </c>
      <c r="X37" s="57" t="s">
        <v>288</v>
      </c>
      <c r="Y37" s="58" t="s">
        <v>289</v>
      </c>
      <c r="Z37" s="46"/>
    </row>
    <row r="38" spans="2:26" ht="17.5" x14ac:dyDescent="0.4">
      <c r="B38" s="46" t="s">
        <v>281</v>
      </c>
      <c r="C38" s="46" t="s">
        <v>282</v>
      </c>
      <c r="D38" s="47" t="s">
        <v>283</v>
      </c>
      <c r="E38" s="106" t="s">
        <v>505</v>
      </c>
      <c r="F38" s="48" t="s">
        <v>109</v>
      </c>
      <c r="G38" s="49" t="s">
        <v>75</v>
      </c>
      <c r="H38" s="49">
        <v>3</v>
      </c>
      <c r="I38" s="49" t="s">
        <v>284</v>
      </c>
      <c r="J38" s="46"/>
      <c r="K38" s="46"/>
      <c r="L38" s="46"/>
      <c r="M38" s="50">
        <v>0.66666666666666663</v>
      </c>
      <c r="N38" s="51">
        <v>2.3333333333333335</v>
      </c>
      <c r="O38" s="52">
        <f>H38*4186.8*10^(-9)*10^(-3)</f>
        <v>1.2560400000000003E-8</v>
      </c>
      <c r="P38" s="52" t="s">
        <v>285</v>
      </c>
      <c r="Q38" s="47">
        <v>7800</v>
      </c>
      <c r="R38" s="47" t="s">
        <v>68</v>
      </c>
      <c r="S38" s="47" t="s">
        <v>286</v>
      </c>
      <c r="T38" s="53">
        <f t="shared" si="0"/>
        <v>9.7971120000000023E-5</v>
      </c>
      <c r="U38" s="54" t="s">
        <v>287</v>
      </c>
      <c r="V38" s="55">
        <v>0.66666666666666663</v>
      </c>
      <c r="W38" s="56">
        <v>2.3333333333333335</v>
      </c>
      <c r="X38" s="57" t="s">
        <v>288</v>
      </c>
      <c r="Y38" s="58" t="s">
        <v>289</v>
      </c>
      <c r="Z38" s="46"/>
    </row>
    <row r="39" spans="2:26" ht="17.5" x14ac:dyDescent="0.4">
      <c r="B39" s="46" t="s">
        <v>281</v>
      </c>
      <c r="C39" s="46" t="s">
        <v>282</v>
      </c>
      <c r="D39" s="47" t="s">
        <v>290</v>
      </c>
      <c r="E39" s="46" t="s">
        <v>308</v>
      </c>
      <c r="F39" s="48" t="s">
        <v>109</v>
      </c>
      <c r="G39" s="49" t="s">
        <v>75</v>
      </c>
      <c r="H39" s="59">
        <v>18.899999999999999</v>
      </c>
      <c r="I39" s="60" t="s">
        <v>58</v>
      </c>
      <c r="J39" s="60">
        <v>1</v>
      </c>
      <c r="K39" s="61">
        <v>69300</v>
      </c>
      <c r="L39" s="60" t="s">
        <v>291</v>
      </c>
      <c r="M39" s="50">
        <v>2.5974025974025976E-2</v>
      </c>
      <c r="N39" s="51">
        <v>5.3391053391053392E-2</v>
      </c>
      <c r="O39" s="52">
        <f>K39*(4186.8*10^(-9)*10^(-3))</f>
        <v>2.9014524000000002E-4</v>
      </c>
      <c r="P39" s="52" t="s">
        <v>292</v>
      </c>
      <c r="Q39" s="47">
        <v>7800</v>
      </c>
      <c r="R39" s="47" t="s">
        <v>68</v>
      </c>
      <c r="S39" s="47" t="s">
        <v>286</v>
      </c>
      <c r="T39" s="53">
        <f t="shared" si="0"/>
        <v>2.2631328720000004</v>
      </c>
      <c r="U39" s="54" t="s">
        <v>293</v>
      </c>
      <c r="V39" s="55">
        <v>2.5974025974025976E-2</v>
      </c>
      <c r="W39" s="56">
        <v>5.3391053391053392E-2</v>
      </c>
      <c r="X39" s="57" t="s">
        <v>288</v>
      </c>
      <c r="Y39" s="58" t="s">
        <v>289</v>
      </c>
      <c r="Z39" s="46"/>
    </row>
    <row r="40" spans="2:26" ht="17.5" x14ac:dyDescent="0.4">
      <c r="B40" s="46" t="s">
        <v>281</v>
      </c>
      <c r="C40" s="46" t="s">
        <v>282</v>
      </c>
      <c r="D40" s="47" t="s">
        <v>294</v>
      </c>
      <c r="E40" s="46" t="s">
        <v>308</v>
      </c>
      <c r="F40" s="48" t="s">
        <v>109</v>
      </c>
      <c r="G40" s="49" t="s">
        <v>75</v>
      </c>
      <c r="H40" s="59">
        <v>0.6</v>
      </c>
      <c r="I40" s="62" t="s">
        <v>295</v>
      </c>
      <c r="J40" s="46"/>
      <c r="K40" s="46"/>
      <c r="L40" s="46"/>
      <c r="M40" s="50">
        <v>0.66666666666666663</v>
      </c>
      <c r="N40" s="51">
        <v>2.3333333333333335</v>
      </c>
      <c r="O40" s="52">
        <f>H40*4186.8*10^(-9)*10^(-3)</f>
        <v>2.5120799999999999E-9</v>
      </c>
      <c r="P40" s="52" t="s">
        <v>296</v>
      </c>
      <c r="Q40" s="47">
        <v>7800</v>
      </c>
      <c r="R40" s="47" t="s">
        <v>68</v>
      </c>
      <c r="S40" s="47" t="s">
        <v>286</v>
      </c>
      <c r="T40" s="53">
        <f t="shared" si="0"/>
        <v>1.9594223999999998E-5</v>
      </c>
      <c r="U40" s="54" t="s">
        <v>297</v>
      </c>
      <c r="V40" s="55">
        <v>0.66666666666666663</v>
      </c>
      <c r="W40" s="56">
        <v>2.3333333333333335</v>
      </c>
      <c r="X40" s="57" t="s">
        <v>288</v>
      </c>
      <c r="Y40" s="58" t="s">
        <v>289</v>
      </c>
      <c r="Z40" s="46"/>
    </row>
    <row r="41" spans="2:26" ht="17.5" x14ac:dyDescent="0.4">
      <c r="B41" s="46" t="s">
        <v>281</v>
      </c>
      <c r="C41" s="46" t="s">
        <v>282</v>
      </c>
      <c r="D41" s="47" t="s">
        <v>283</v>
      </c>
      <c r="E41" s="46" t="s">
        <v>309</v>
      </c>
      <c r="F41" s="48" t="s">
        <v>109</v>
      </c>
      <c r="G41" s="49" t="s">
        <v>75</v>
      </c>
      <c r="H41" s="49">
        <v>3</v>
      </c>
      <c r="I41" s="49" t="s">
        <v>284</v>
      </c>
      <c r="J41" s="46"/>
      <c r="K41" s="46"/>
      <c r="L41" s="46"/>
      <c r="M41" s="50">
        <v>0.66666666666666663</v>
      </c>
      <c r="N41" s="51">
        <v>2.3333333333333335</v>
      </c>
      <c r="O41" s="52">
        <f>H41*4186.8*10^(-9)*10^(-3)</f>
        <v>1.2560400000000003E-8</v>
      </c>
      <c r="P41" s="52" t="s">
        <v>285</v>
      </c>
      <c r="Q41" s="47">
        <v>7800</v>
      </c>
      <c r="R41" s="47" t="s">
        <v>68</v>
      </c>
      <c r="S41" s="47" t="s">
        <v>286</v>
      </c>
      <c r="T41" s="53">
        <f t="shared" si="0"/>
        <v>9.7971120000000023E-5</v>
      </c>
      <c r="U41" s="54" t="s">
        <v>287</v>
      </c>
      <c r="V41" s="55">
        <v>0.66666666666666663</v>
      </c>
      <c r="W41" s="56">
        <v>2.3333333333333335</v>
      </c>
      <c r="X41" s="57" t="s">
        <v>288</v>
      </c>
      <c r="Y41" s="58" t="s">
        <v>289</v>
      </c>
      <c r="Z41" s="46"/>
    </row>
    <row r="42" spans="2:26" ht="17.5" x14ac:dyDescent="0.4">
      <c r="B42" s="46" t="s">
        <v>281</v>
      </c>
      <c r="C42" s="46" t="s">
        <v>282</v>
      </c>
      <c r="D42" s="47" t="s">
        <v>290</v>
      </c>
      <c r="E42" s="46" t="s">
        <v>309</v>
      </c>
      <c r="F42" s="48" t="s">
        <v>109</v>
      </c>
      <c r="G42" s="49" t="s">
        <v>75</v>
      </c>
      <c r="H42" s="59">
        <v>18.899999999999999</v>
      </c>
      <c r="I42" s="60" t="s">
        <v>58</v>
      </c>
      <c r="J42" s="60">
        <v>1</v>
      </c>
      <c r="K42" s="61">
        <v>69300</v>
      </c>
      <c r="L42" s="60" t="s">
        <v>291</v>
      </c>
      <c r="M42" s="50">
        <v>2.5974025974025976E-2</v>
      </c>
      <c r="N42" s="51">
        <v>5.3391053391053392E-2</v>
      </c>
      <c r="O42" s="52">
        <f>K42*(4186.8*10^(-9)*10^(-3))</f>
        <v>2.9014524000000002E-4</v>
      </c>
      <c r="P42" s="52" t="s">
        <v>292</v>
      </c>
      <c r="Q42" s="47">
        <v>7800</v>
      </c>
      <c r="R42" s="47" t="s">
        <v>68</v>
      </c>
      <c r="S42" s="47" t="s">
        <v>286</v>
      </c>
      <c r="T42" s="53">
        <f t="shared" si="0"/>
        <v>2.2631328720000004</v>
      </c>
      <c r="U42" s="54" t="s">
        <v>293</v>
      </c>
      <c r="V42" s="55">
        <v>2.5974025974025976E-2</v>
      </c>
      <c r="W42" s="56">
        <v>5.3391053391053392E-2</v>
      </c>
      <c r="X42" s="57" t="s">
        <v>288</v>
      </c>
      <c r="Y42" s="58" t="s">
        <v>289</v>
      </c>
      <c r="Z42" s="46"/>
    </row>
    <row r="43" spans="2:26" ht="17.5" x14ac:dyDescent="0.4">
      <c r="B43" s="46" t="s">
        <v>281</v>
      </c>
      <c r="C43" s="46" t="s">
        <v>282</v>
      </c>
      <c r="D43" s="47" t="s">
        <v>294</v>
      </c>
      <c r="E43" s="46" t="s">
        <v>309</v>
      </c>
      <c r="F43" s="48" t="s">
        <v>109</v>
      </c>
      <c r="G43" s="49" t="s">
        <v>75</v>
      </c>
      <c r="H43" s="59">
        <v>0.6</v>
      </c>
      <c r="I43" s="62" t="s">
        <v>295</v>
      </c>
      <c r="J43" s="46"/>
      <c r="K43" s="46"/>
      <c r="L43" s="46"/>
      <c r="M43" s="50">
        <v>0.66666666666666663</v>
      </c>
      <c r="N43" s="51">
        <v>2.3333333333333335</v>
      </c>
      <c r="O43" s="52">
        <f>H43*4186.8*10^(-9)*10^(-3)</f>
        <v>2.5120799999999999E-9</v>
      </c>
      <c r="P43" s="52" t="s">
        <v>296</v>
      </c>
      <c r="Q43" s="47">
        <v>7800</v>
      </c>
      <c r="R43" s="47" t="s">
        <v>68</v>
      </c>
      <c r="S43" s="47" t="s">
        <v>286</v>
      </c>
      <c r="T43" s="53">
        <f t="shared" si="0"/>
        <v>1.9594223999999998E-5</v>
      </c>
      <c r="U43" s="54" t="s">
        <v>297</v>
      </c>
      <c r="V43" s="55">
        <v>0.66666666666666663</v>
      </c>
      <c r="W43" s="56">
        <v>2.3333333333333335</v>
      </c>
      <c r="X43" s="57" t="s">
        <v>288</v>
      </c>
      <c r="Y43" s="58" t="s">
        <v>289</v>
      </c>
      <c r="Z43" s="46"/>
    </row>
    <row r="44" spans="2:26" ht="17.5" x14ac:dyDescent="0.4">
      <c r="B44" s="46" t="s">
        <v>281</v>
      </c>
      <c r="C44" s="46" t="s">
        <v>282</v>
      </c>
      <c r="D44" s="47" t="s">
        <v>283</v>
      </c>
      <c r="E44" s="46" t="s">
        <v>310</v>
      </c>
      <c r="F44" s="48" t="s">
        <v>109</v>
      </c>
      <c r="G44" s="49" t="s">
        <v>75</v>
      </c>
      <c r="H44" s="49">
        <v>3</v>
      </c>
      <c r="I44" s="49" t="s">
        <v>284</v>
      </c>
      <c r="J44" s="46"/>
      <c r="K44" s="46"/>
      <c r="L44" s="46"/>
      <c r="M44" s="50">
        <v>0.66666666666666663</v>
      </c>
      <c r="N44" s="51">
        <v>2.3333333333333335</v>
      </c>
      <c r="O44" s="52">
        <f>H44*4186.8*10^(-9)*10^(-3)</f>
        <v>1.2560400000000003E-8</v>
      </c>
      <c r="P44" s="52" t="s">
        <v>285</v>
      </c>
      <c r="Q44" s="47">
        <v>7800</v>
      </c>
      <c r="R44" s="47" t="s">
        <v>68</v>
      </c>
      <c r="S44" s="47" t="s">
        <v>286</v>
      </c>
      <c r="T44" s="53">
        <f t="shared" si="0"/>
        <v>9.7971120000000023E-5</v>
      </c>
      <c r="U44" s="54" t="s">
        <v>287</v>
      </c>
      <c r="V44" s="55">
        <v>0.66666666666666663</v>
      </c>
      <c r="W44" s="56">
        <v>2.3333333333333335</v>
      </c>
      <c r="X44" s="57" t="s">
        <v>288</v>
      </c>
      <c r="Y44" s="58" t="s">
        <v>289</v>
      </c>
      <c r="Z44" s="46"/>
    </row>
    <row r="45" spans="2:26" ht="17.5" x14ac:dyDescent="0.4">
      <c r="B45" s="46" t="s">
        <v>281</v>
      </c>
      <c r="C45" s="46" t="s">
        <v>282</v>
      </c>
      <c r="D45" s="47" t="s">
        <v>290</v>
      </c>
      <c r="E45" s="46" t="s">
        <v>310</v>
      </c>
      <c r="F45" s="48" t="s">
        <v>109</v>
      </c>
      <c r="G45" s="49" t="s">
        <v>75</v>
      </c>
      <c r="H45" s="59">
        <v>18.899999999999999</v>
      </c>
      <c r="I45" s="60" t="s">
        <v>58</v>
      </c>
      <c r="J45" s="60">
        <v>1</v>
      </c>
      <c r="K45" s="61">
        <v>69300</v>
      </c>
      <c r="L45" s="60" t="s">
        <v>291</v>
      </c>
      <c r="M45" s="50">
        <v>2.5974025974025976E-2</v>
      </c>
      <c r="N45" s="51">
        <v>5.3391053391053392E-2</v>
      </c>
      <c r="O45" s="52">
        <f>K45*(4186.8*10^(-9)*10^(-3))</f>
        <v>2.9014524000000002E-4</v>
      </c>
      <c r="P45" s="52" t="s">
        <v>292</v>
      </c>
      <c r="Q45" s="47">
        <v>7800</v>
      </c>
      <c r="R45" s="47" t="s">
        <v>68</v>
      </c>
      <c r="S45" s="47" t="s">
        <v>286</v>
      </c>
      <c r="T45" s="53">
        <f t="shared" si="0"/>
        <v>2.2631328720000004</v>
      </c>
      <c r="U45" s="54" t="s">
        <v>293</v>
      </c>
      <c r="V45" s="55">
        <v>2.5974025974025976E-2</v>
      </c>
      <c r="W45" s="56">
        <v>5.3391053391053392E-2</v>
      </c>
      <c r="X45" s="57" t="s">
        <v>288</v>
      </c>
      <c r="Y45" s="58" t="s">
        <v>289</v>
      </c>
      <c r="Z45" s="46"/>
    </row>
    <row r="46" spans="2:26" ht="17.5" x14ac:dyDescent="0.4">
      <c r="B46" s="46" t="s">
        <v>281</v>
      </c>
      <c r="C46" s="46" t="s">
        <v>282</v>
      </c>
      <c r="D46" s="47" t="s">
        <v>294</v>
      </c>
      <c r="E46" s="46" t="s">
        <v>310</v>
      </c>
      <c r="F46" s="48" t="s">
        <v>109</v>
      </c>
      <c r="G46" s="49" t="s">
        <v>75</v>
      </c>
      <c r="H46" s="59">
        <v>0.6</v>
      </c>
      <c r="I46" s="62" t="s">
        <v>295</v>
      </c>
      <c r="J46" s="46"/>
      <c r="K46" s="46"/>
      <c r="L46" s="46"/>
      <c r="M46" s="50">
        <v>0.66666666666666663</v>
      </c>
      <c r="N46" s="51">
        <v>2.3333333333333335</v>
      </c>
      <c r="O46" s="52">
        <f>H46*4186.8*10^(-9)*10^(-3)</f>
        <v>2.5120799999999999E-9</v>
      </c>
      <c r="P46" s="52" t="s">
        <v>296</v>
      </c>
      <c r="Q46" s="47">
        <v>7800</v>
      </c>
      <c r="R46" s="47" t="s">
        <v>68</v>
      </c>
      <c r="S46" s="47" t="s">
        <v>286</v>
      </c>
      <c r="T46" s="53">
        <f t="shared" si="0"/>
        <v>1.9594223999999998E-5</v>
      </c>
      <c r="U46" s="54" t="s">
        <v>297</v>
      </c>
      <c r="V46" s="55">
        <v>0.66666666666666663</v>
      </c>
      <c r="W46" s="56">
        <v>2.3333333333333335</v>
      </c>
      <c r="X46" s="57" t="s">
        <v>288</v>
      </c>
      <c r="Y46" s="58" t="s">
        <v>289</v>
      </c>
      <c r="Z46" s="46"/>
    </row>
    <row r="47" spans="2:26" ht="17.5" x14ac:dyDescent="0.4">
      <c r="B47" s="46" t="s">
        <v>281</v>
      </c>
      <c r="C47" s="46" t="s">
        <v>282</v>
      </c>
      <c r="D47" s="47" t="s">
        <v>283</v>
      </c>
      <c r="E47" s="46" t="s">
        <v>311</v>
      </c>
      <c r="F47" s="48" t="s">
        <v>109</v>
      </c>
      <c r="G47" s="49" t="s">
        <v>75</v>
      </c>
      <c r="H47" s="49">
        <v>3</v>
      </c>
      <c r="I47" s="49" t="s">
        <v>284</v>
      </c>
      <c r="J47" s="46"/>
      <c r="K47" s="46"/>
      <c r="L47" s="46"/>
      <c r="M47" s="50">
        <v>0.66666666666666663</v>
      </c>
      <c r="N47" s="51">
        <v>2.3333333333333335</v>
      </c>
      <c r="O47" s="52">
        <f>H47*4186.8*10^(-9)*10^(-3)</f>
        <v>1.2560400000000003E-8</v>
      </c>
      <c r="P47" s="52" t="s">
        <v>285</v>
      </c>
      <c r="Q47" s="47">
        <v>7800</v>
      </c>
      <c r="R47" s="47" t="s">
        <v>68</v>
      </c>
      <c r="S47" s="47" t="s">
        <v>286</v>
      </c>
      <c r="T47" s="53">
        <f t="shared" si="0"/>
        <v>9.7971120000000023E-5</v>
      </c>
      <c r="U47" s="54" t="s">
        <v>287</v>
      </c>
      <c r="V47" s="55">
        <v>0.66666666666666663</v>
      </c>
      <c r="W47" s="56">
        <v>2.3333333333333335</v>
      </c>
      <c r="X47" s="57" t="s">
        <v>288</v>
      </c>
      <c r="Y47" s="58" t="s">
        <v>289</v>
      </c>
      <c r="Z47" s="46"/>
    </row>
    <row r="48" spans="2:26" ht="17.5" x14ac:dyDescent="0.4">
      <c r="B48" s="46" t="s">
        <v>281</v>
      </c>
      <c r="C48" s="46" t="s">
        <v>282</v>
      </c>
      <c r="D48" s="47" t="s">
        <v>290</v>
      </c>
      <c r="E48" s="46" t="s">
        <v>311</v>
      </c>
      <c r="F48" s="48" t="s">
        <v>109</v>
      </c>
      <c r="G48" s="49" t="s">
        <v>75</v>
      </c>
      <c r="H48" s="59">
        <v>18.899999999999999</v>
      </c>
      <c r="I48" s="60" t="s">
        <v>58</v>
      </c>
      <c r="J48" s="60">
        <v>1</v>
      </c>
      <c r="K48" s="61">
        <v>69300</v>
      </c>
      <c r="L48" s="60" t="s">
        <v>291</v>
      </c>
      <c r="M48" s="50">
        <v>2.5974025974025976E-2</v>
      </c>
      <c r="N48" s="51">
        <v>5.3391053391053392E-2</v>
      </c>
      <c r="O48" s="52">
        <f>K48*(4186.8*10^(-9)*10^(-3))</f>
        <v>2.9014524000000002E-4</v>
      </c>
      <c r="P48" s="52" t="s">
        <v>292</v>
      </c>
      <c r="Q48" s="47">
        <v>7800</v>
      </c>
      <c r="R48" s="47" t="s">
        <v>68</v>
      </c>
      <c r="S48" s="47" t="s">
        <v>286</v>
      </c>
      <c r="T48" s="53">
        <f t="shared" si="0"/>
        <v>2.2631328720000004</v>
      </c>
      <c r="U48" s="54" t="s">
        <v>293</v>
      </c>
      <c r="V48" s="55">
        <v>2.5974025974025976E-2</v>
      </c>
      <c r="W48" s="56">
        <v>5.3391053391053392E-2</v>
      </c>
      <c r="X48" s="57" t="s">
        <v>288</v>
      </c>
      <c r="Y48" s="58" t="s">
        <v>289</v>
      </c>
      <c r="Z48" s="46"/>
    </row>
    <row r="49" spans="2:26" ht="17.5" x14ac:dyDescent="0.4">
      <c r="B49" s="46" t="s">
        <v>281</v>
      </c>
      <c r="C49" s="46" t="s">
        <v>282</v>
      </c>
      <c r="D49" s="47" t="s">
        <v>294</v>
      </c>
      <c r="E49" s="46" t="s">
        <v>311</v>
      </c>
      <c r="F49" s="48" t="s">
        <v>109</v>
      </c>
      <c r="G49" s="49" t="s">
        <v>75</v>
      </c>
      <c r="H49" s="59">
        <v>0.6</v>
      </c>
      <c r="I49" s="62" t="s">
        <v>295</v>
      </c>
      <c r="J49" s="46"/>
      <c r="K49" s="46"/>
      <c r="L49" s="46"/>
      <c r="M49" s="50">
        <v>0.66666666666666663</v>
      </c>
      <c r="N49" s="51">
        <v>2.3333333333333335</v>
      </c>
      <c r="O49" s="52">
        <f>H49*4186.8*10^(-9)*10^(-3)</f>
        <v>2.5120799999999999E-9</v>
      </c>
      <c r="P49" s="52" t="s">
        <v>296</v>
      </c>
      <c r="Q49" s="47">
        <v>7800</v>
      </c>
      <c r="R49" s="47" t="s">
        <v>68</v>
      </c>
      <c r="S49" s="47" t="s">
        <v>286</v>
      </c>
      <c r="T49" s="53">
        <f t="shared" si="0"/>
        <v>1.9594223999999998E-5</v>
      </c>
      <c r="U49" s="54" t="s">
        <v>297</v>
      </c>
      <c r="V49" s="55">
        <v>0.66666666666666663</v>
      </c>
      <c r="W49" s="56">
        <v>2.3333333333333335</v>
      </c>
      <c r="X49" s="57" t="s">
        <v>288</v>
      </c>
      <c r="Y49" s="58" t="s">
        <v>289</v>
      </c>
      <c r="Z49" s="46"/>
    </row>
    <row r="50" spans="2:26" ht="17.5" x14ac:dyDescent="0.4">
      <c r="B50" s="46" t="s">
        <v>281</v>
      </c>
      <c r="C50" s="46" t="s">
        <v>282</v>
      </c>
      <c r="D50" s="47" t="s">
        <v>283</v>
      </c>
      <c r="E50" s="46" t="s">
        <v>312</v>
      </c>
      <c r="F50" s="48" t="s">
        <v>111</v>
      </c>
      <c r="G50" s="49" t="s">
        <v>77</v>
      </c>
      <c r="H50" s="49">
        <v>3</v>
      </c>
      <c r="I50" s="49" t="s">
        <v>284</v>
      </c>
      <c r="J50" s="46"/>
      <c r="K50" s="46"/>
      <c r="L50" s="46"/>
      <c r="M50" s="50">
        <v>0.66666666666666663</v>
      </c>
      <c r="N50" s="51">
        <v>2.3333333333333335</v>
      </c>
      <c r="O50" s="52">
        <f>H50*4186.8*10^(-9)*10^(-3)</f>
        <v>1.2560400000000003E-8</v>
      </c>
      <c r="P50" s="52" t="s">
        <v>285</v>
      </c>
      <c r="Q50" s="47">
        <v>7800</v>
      </c>
      <c r="R50" s="47" t="s">
        <v>68</v>
      </c>
      <c r="S50" s="47" t="s">
        <v>286</v>
      </c>
      <c r="T50" s="53">
        <f t="shared" si="0"/>
        <v>9.7971120000000023E-5</v>
      </c>
      <c r="U50" s="54" t="s">
        <v>287</v>
      </c>
      <c r="V50" s="55">
        <v>0.66666666666666663</v>
      </c>
      <c r="W50" s="56">
        <v>2.3333333333333335</v>
      </c>
      <c r="X50" s="57" t="s">
        <v>288</v>
      </c>
      <c r="Y50" s="58" t="s">
        <v>289</v>
      </c>
      <c r="Z50" s="46"/>
    </row>
    <row r="51" spans="2:26" ht="17.5" x14ac:dyDescent="0.4">
      <c r="B51" s="46" t="s">
        <v>281</v>
      </c>
      <c r="C51" s="46" t="s">
        <v>282</v>
      </c>
      <c r="D51" s="47" t="s">
        <v>290</v>
      </c>
      <c r="E51" s="46" t="s">
        <v>312</v>
      </c>
      <c r="F51" s="48" t="s">
        <v>111</v>
      </c>
      <c r="G51" s="49" t="s">
        <v>77</v>
      </c>
      <c r="H51" s="59">
        <v>20</v>
      </c>
      <c r="I51" s="60" t="s">
        <v>58</v>
      </c>
      <c r="J51" s="60">
        <v>1</v>
      </c>
      <c r="K51" s="61">
        <v>73300</v>
      </c>
      <c r="L51" s="60" t="s">
        <v>291</v>
      </c>
      <c r="M51" s="50">
        <v>5.4570259208731244E-2</v>
      </c>
      <c r="N51" s="51">
        <v>4.0927694406548434E-2</v>
      </c>
      <c r="O51" s="52">
        <f>K51*(4186.8*10^(-9)*10^(-3))</f>
        <v>3.0689244000000005E-4</v>
      </c>
      <c r="P51" s="52" t="s">
        <v>292</v>
      </c>
      <c r="Q51" s="47">
        <v>7800</v>
      </c>
      <c r="R51" s="47" t="s">
        <v>68</v>
      </c>
      <c r="S51" s="47" t="s">
        <v>286</v>
      </c>
      <c r="T51" s="53">
        <f t="shared" si="0"/>
        <v>2.3937610320000005</v>
      </c>
      <c r="U51" s="54" t="s">
        <v>293</v>
      </c>
      <c r="V51" s="55">
        <v>5.4570259208731244E-2</v>
      </c>
      <c r="W51" s="56">
        <v>4.0927694406548434E-2</v>
      </c>
      <c r="X51" s="57" t="s">
        <v>288</v>
      </c>
      <c r="Y51" s="58" t="s">
        <v>289</v>
      </c>
      <c r="Z51" s="46"/>
    </row>
    <row r="52" spans="2:26" ht="17.5" x14ac:dyDescent="0.4">
      <c r="B52" s="46" t="s">
        <v>281</v>
      </c>
      <c r="C52" s="46" t="s">
        <v>282</v>
      </c>
      <c r="D52" s="47" t="s">
        <v>294</v>
      </c>
      <c r="E52" s="46" t="s">
        <v>312</v>
      </c>
      <c r="F52" s="48" t="s">
        <v>111</v>
      </c>
      <c r="G52" s="49" t="s">
        <v>77</v>
      </c>
      <c r="H52" s="59">
        <v>0.6</v>
      </c>
      <c r="I52" s="62" t="s">
        <v>295</v>
      </c>
      <c r="J52" s="46"/>
      <c r="K52" s="46"/>
      <c r="L52" s="46"/>
      <c r="M52" s="50">
        <v>0.66666666666666663</v>
      </c>
      <c r="N52" s="51">
        <v>2.3333333333333335</v>
      </c>
      <c r="O52" s="52">
        <f>H52*4186.8*10^(-9)*10^(-3)</f>
        <v>2.5120799999999999E-9</v>
      </c>
      <c r="P52" s="52" t="s">
        <v>296</v>
      </c>
      <c r="Q52" s="47">
        <v>7800</v>
      </c>
      <c r="R52" s="47" t="s">
        <v>68</v>
      </c>
      <c r="S52" s="47" t="s">
        <v>286</v>
      </c>
      <c r="T52" s="53">
        <f t="shared" si="0"/>
        <v>1.9594223999999998E-5</v>
      </c>
      <c r="U52" s="54" t="s">
        <v>297</v>
      </c>
      <c r="V52" s="55">
        <v>0.66666666666666663</v>
      </c>
      <c r="W52" s="56">
        <v>2.3333333333333335</v>
      </c>
      <c r="X52" s="57" t="s">
        <v>288</v>
      </c>
      <c r="Y52" s="58" t="s">
        <v>289</v>
      </c>
      <c r="Z52" s="46"/>
    </row>
    <row r="53" spans="2:26" ht="17.5" x14ac:dyDescent="0.4">
      <c r="B53" s="46" t="s">
        <v>281</v>
      </c>
      <c r="C53" s="46" t="s">
        <v>282</v>
      </c>
      <c r="D53" s="47" t="s">
        <v>283</v>
      </c>
      <c r="E53" s="46" t="s">
        <v>313</v>
      </c>
      <c r="F53" s="48" t="s">
        <v>109</v>
      </c>
      <c r="G53" s="49" t="s">
        <v>75</v>
      </c>
      <c r="H53" s="49">
        <v>3</v>
      </c>
      <c r="I53" s="49" t="s">
        <v>284</v>
      </c>
      <c r="J53" s="46"/>
      <c r="K53" s="46"/>
      <c r="L53" s="46"/>
      <c r="M53" s="50">
        <v>0.66666666666666663</v>
      </c>
      <c r="N53" s="51">
        <v>2.3333333333333335</v>
      </c>
      <c r="O53" s="52">
        <f>H53*4186.8*10^(-9)*10^(-3)</f>
        <v>1.2560400000000003E-8</v>
      </c>
      <c r="P53" s="52" t="s">
        <v>285</v>
      </c>
      <c r="Q53" s="47">
        <v>7800</v>
      </c>
      <c r="R53" s="47" t="s">
        <v>68</v>
      </c>
      <c r="S53" s="47" t="s">
        <v>286</v>
      </c>
      <c r="T53" s="53">
        <f t="shared" si="0"/>
        <v>9.7971120000000023E-5</v>
      </c>
      <c r="U53" s="54" t="s">
        <v>287</v>
      </c>
      <c r="V53" s="55">
        <v>0.66666666666666663</v>
      </c>
      <c r="W53" s="56">
        <v>2.3333333333333335</v>
      </c>
      <c r="X53" s="57" t="s">
        <v>288</v>
      </c>
      <c r="Y53" s="58" t="s">
        <v>289</v>
      </c>
      <c r="Z53" s="46"/>
    </row>
    <row r="54" spans="2:26" ht="17.5" x14ac:dyDescent="0.4">
      <c r="B54" s="46" t="s">
        <v>281</v>
      </c>
      <c r="C54" s="46" t="s">
        <v>282</v>
      </c>
      <c r="D54" s="47" t="s">
        <v>290</v>
      </c>
      <c r="E54" s="46" t="s">
        <v>313</v>
      </c>
      <c r="F54" s="48" t="s">
        <v>109</v>
      </c>
      <c r="G54" s="49" t="s">
        <v>75</v>
      </c>
      <c r="H54" s="59">
        <v>18.899999999999999</v>
      </c>
      <c r="I54" s="60" t="s">
        <v>58</v>
      </c>
      <c r="J54" s="60">
        <v>1</v>
      </c>
      <c r="K54" s="61">
        <v>69300</v>
      </c>
      <c r="L54" s="60" t="s">
        <v>291</v>
      </c>
      <c r="M54" s="50">
        <v>2.5974025974025976E-2</v>
      </c>
      <c r="N54" s="51">
        <v>5.3391053391053392E-2</v>
      </c>
      <c r="O54" s="52">
        <f>K54*(4186.8*10^(-9)*10^(-3))</f>
        <v>2.9014524000000002E-4</v>
      </c>
      <c r="P54" s="52" t="s">
        <v>292</v>
      </c>
      <c r="Q54" s="47">
        <v>7800</v>
      </c>
      <c r="R54" s="47" t="s">
        <v>68</v>
      </c>
      <c r="S54" s="47" t="s">
        <v>286</v>
      </c>
      <c r="T54" s="53">
        <f t="shared" si="0"/>
        <v>2.2631328720000004</v>
      </c>
      <c r="U54" s="54" t="s">
        <v>293</v>
      </c>
      <c r="V54" s="55">
        <v>2.5974025974025976E-2</v>
      </c>
      <c r="W54" s="56">
        <v>5.3391053391053392E-2</v>
      </c>
      <c r="X54" s="57" t="s">
        <v>288</v>
      </c>
      <c r="Y54" s="58" t="s">
        <v>289</v>
      </c>
      <c r="Z54" s="46"/>
    </row>
    <row r="55" spans="2:26" ht="17.5" x14ac:dyDescent="0.4">
      <c r="B55" s="46" t="s">
        <v>281</v>
      </c>
      <c r="C55" s="46" t="s">
        <v>282</v>
      </c>
      <c r="D55" s="47" t="s">
        <v>294</v>
      </c>
      <c r="E55" s="46" t="s">
        <v>313</v>
      </c>
      <c r="F55" s="48" t="s">
        <v>109</v>
      </c>
      <c r="G55" s="49" t="s">
        <v>75</v>
      </c>
      <c r="H55" s="59">
        <v>0.6</v>
      </c>
      <c r="I55" s="62" t="s">
        <v>295</v>
      </c>
      <c r="J55" s="46"/>
      <c r="K55" s="46"/>
      <c r="L55" s="46"/>
      <c r="M55" s="50">
        <v>0.66666666666666663</v>
      </c>
      <c r="N55" s="51">
        <v>2.3333333333333335</v>
      </c>
      <c r="O55" s="52">
        <f>H55*4186.8*10^(-9)*10^(-3)</f>
        <v>2.5120799999999999E-9</v>
      </c>
      <c r="P55" s="52" t="s">
        <v>296</v>
      </c>
      <c r="Q55" s="47">
        <v>7800</v>
      </c>
      <c r="R55" s="47" t="s">
        <v>68</v>
      </c>
      <c r="S55" s="47" t="s">
        <v>286</v>
      </c>
      <c r="T55" s="53">
        <f t="shared" si="0"/>
        <v>1.9594223999999998E-5</v>
      </c>
      <c r="U55" s="54" t="s">
        <v>297</v>
      </c>
      <c r="V55" s="55">
        <v>0.66666666666666663</v>
      </c>
      <c r="W55" s="56">
        <v>2.3333333333333335</v>
      </c>
      <c r="X55" s="57" t="s">
        <v>288</v>
      </c>
      <c r="Y55" s="58" t="s">
        <v>289</v>
      </c>
      <c r="Z55" s="46"/>
    </row>
    <row r="56" spans="2:26" ht="17.5" x14ac:dyDescent="0.4">
      <c r="B56" s="46" t="s">
        <v>281</v>
      </c>
      <c r="C56" s="46" t="s">
        <v>282</v>
      </c>
      <c r="D56" s="47" t="s">
        <v>283</v>
      </c>
      <c r="E56" s="46" t="s">
        <v>314</v>
      </c>
      <c r="F56" s="48" t="s">
        <v>100</v>
      </c>
      <c r="G56" s="49" t="s">
        <v>65</v>
      </c>
      <c r="H56" s="49">
        <v>1</v>
      </c>
      <c r="I56" s="49" t="s">
        <v>284</v>
      </c>
      <c r="J56" s="46"/>
      <c r="K56" s="46"/>
      <c r="L56" s="46"/>
      <c r="M56" s="50">
        <v>0.7</v>
      </c>
      <c r="N56" s="51">
        <v>2</v>
      </c>
      <c r="O56" s="52">
        <f>H56*4186.8*10^(-9)*10^(-3)</f>
        <v>4.1868000000000005E-9</v>
      </c>
      <c r="P56" s="52" t="s">
        <v>285</v>
      </c>
      <c r="Q56" s="47">
        <v>3800</v>
      </c>
      <c r="R56" s="47" t="s">
        <v>59</v>
      </c>
      <c r="S56" s="47" t="s">
        <v>286</v>
      </c>
      <c r="T56" s="53">
        <f t="shared" si="0"/>
        <v>1.5909840000000001E-5</v>
      </c>
      <c r="U56" s="54" t="s">
        <v>305</v>
      </c>
      <c r="V56" s="55">
        <v>0.7</v>
      </c>
      <c r="W56" s="56">
        <v>2</v>
      </c>
      <c r="X56" s="57" t="s">
        <v>288</v>
      </c>
      <c r="Y56" s="58" t="s">
        <v>289</v>
      </c>
      <c r="Z56" s="46"/>
    </row>
    <row r="57" spans="2:26" ht="17.5" x14ac:dyDescent="0.4">
      <c r="B57" s="46" t="s">
        <v>281</v>
      </c>
      <c r="C57" s="46" t="s">
        <v>282</v>
      </c>
      <c r="D57" s="47" t="s">
        <v>290</v>
      </c>
      <c r="E57" s="46" t="s">
        <v>314</v>
      </c>
      <c r="F57" s="109" t="s">
        <v>510</v>
      </c>
      <c r="G57" s="49" t="s">
        <v>65</v>
      </c>
      <c r="H57" s="59">
        <v>26.6</v>
      </c>
      <c r="I57" s="60" t="s">
        <v>58</v>
      </c>
      <c r="J57" s="60">
        <v>1</v>
      </c>
      <c r="K57" s="63">
        <v>97500</v>
      </c>
      <c r="L57" s="60" t="s">
        <v>291</v>
      </c>
      <c r="M57" s="50">
        <v>0.10461538461538461</v>
      </c>
      <c r="N57" s="51">
        <v>0.11794871794871795</v>
      </c>
      <c r="O57" s="52">
        <f>K57*(4186.8*10^(-9)*10^(-3))</f>
        <v>4.0821300000000004E-4</v>
      </c>
      <c r="P57" s="52" t="s">
        <v>292</v>
      </c>
      <c r="Q57" s="47">
        <v>3800</v>
      </c>
      <c r="R57" s="47" t="s">
        <v>59</v>
      </c>
      <c r="S57" s="47" t="s">
        <v>286</v>
      </c>
      <c r="T57" s="53">
        <f t="shared" si="0"/>
        <v>1.5512094000000001</v>
      </c>
      <c r="U57" s="54" t="s">
        <v>306</v>
      </c>
      <c r="V57" s="55">
        <v>0.10461538461538461</v>
      </c>
      <c r="W57" s="56">
        <v>0.11794871794871795</v>
      </c>
      <c r="X57" s="57" t="s">
        <v>288</v>
      </c>
      <c r="Y57" s="58" t="s">
        <v>289</v>
      </c>
      <c r="Z57" s="46"/>
    </row>
    <row r="58" spans="2:26" ht="17.5" x14ac:dyDescent="0.4">
      <c r="B58" s="46" t="s">
        <v>281</v>
      </c>
      <c r="C58" s="46" t="s">
        <v>282</v>
      </c>
      <c r="D58" s="47" t="s">
        <v>294</v>
      </c>
      <c r="E58" s="46" t="s">
        <v>314</v>
      </c>
      <c r="F58" s="48" t="s">
        <v>100</v>
      </c>
      <c r="G58" s="49" t="s">
        <v>65</v>
      </c>
      <c r="H58" s="59">
        <v>1.5</v>
      </c>
      <c r="I58" s="62" t="s">
        <v>295</v>
      </c>
      <c r="J58" s="46"/>
      <c r="K58" s="46"/>
      <c r="L58" s="46"/>
      <c r="M58" s="50">
        <v>0.66666666666666663</v>
      </c>
      <c r="N58" s="51">
        <v>2.3333333333333335</v>
      </c>
      <c r="O58" s="52">
        <f>H58*4186.8*10^(-9)*10^(-3)</f>
        <v>6.2802000000000015E-9</v>
      </c>
      <c r="P58" s="52" t="s">
        <v>296</v>
      </c>
      <c r="Q58" s="47">
        <v>3800</v>
      </c>
      <c r="R58" s="47" t="s">
        <v>59</v>
      </c>
      <c r="S58" s="47" t="s">
        <v>286</v>
      </c>
      <c r="T58" s="53">
        <f t="shared" si="0"/>
        <v>2.3864760000000006E-5</v>
      </c>
      <c r="U58" s="54" t="s">
        <v>307</v>
      </c>
      <c r="V58" s="55">
        <v>0.66666666666666663</v>
      </c>
      <c r="W58" s="56">
        <v>2.3333333333333335</v>
      </c>
      <c r="X58" s="57" t="s">
        <v>288</v>
      </c>
      <c r="Y58" s="58" t="s">
        <v>289</v>
      </c>
      <c r="Z58" s="46"/>
    </row>
    <row r="59" spans="2:26" ht="17.5" x14ac:dyDescent="0.4">
      <c r="B59" s="46" t="s">
        <v>281</v>
      </c>
      <c r="C59" s="46" t="s">
        <v>282</v>
      </c>
      <c r="D59" s="47" t="s">
        <v>283</v>
      </c>
      <c r="E59" s="46" t="s">
        <v>315</v>
      </c>
      <c r="F59" s="48" t="s">
        <v>109</v>
      </c>
      <c r="G59" s="49" t="s">
        <v>75</v>
      </c>
      <c r="H59" s="49">
        <v>3</v>
      </c>
      <c r="I59" s="49" t="s">
        <v>284</v>
      </c>
      <c r="J59" s="46"/>
      <c r="K59" s="46"/>
      <c r="L59" s="46"/>
      <c r="M59" s="50">
        <v>0.66666666666666663</v>
      </c>
      <c r="N59" s="51">
        <v>2.3333333333333335</v>
      </c>
      <c r="O59" s="52">
        <f>H59*4186.8*10^(-9)*10^(-3)</f>
        <v>1.2560400000000003E-8</v>
      </c>
      <c r="P59" s="52" t="s">
        <v>285</v>
      </c>
      <c r="Q59" s="47">
        <v>7800</v>
      </c>
      <c r="R59" s="47" t="s">
        <v>68</v>
      </c>
      <c r="S59" s="47" t="s">
        <v>286</v>
      </c>
      <c r="T59" s="53">
        <f t="shared" si="0"/>
        <v>9.7971120000000023E-5</v>
      </c>
      <c r="U59" s="54" t="s">
        <v>287</v>
      </c>
      <c r="V59" s="55">
        <v>0.66666666666666663</v>
      </c>
      <c r="W59" s="56">
        <v>2.3333333333333335</v>
      </c>
      <c r="X59" s="57" t="s">
        <v>288</v>
      </c>
      <c r="Y59" s="58" t="s">
        <v>289</v>
      </c>
      <c r="Z59" s="46"/>
    </row>
    <row r="60" spans="2:26" ht="17.5" x14ac:dyDescent="0.4">
      <c r="B60" s="46" t="s">
        <v>281</v>
      </c>
      <c r="C60" s="46" t="s">
        <v>282</v>
      </c>
      <c r="D60" s="47" t="s">
        <v>290</v>
      </c>
      <c r="E60" s="46" t="s">
        <v>315</v>
      </c>
      <c r="F60" s="48" t="s">
        <v>109</v>
      </c>
      <c r="G60" s="49" t="s">
        <v>75</v>
      </c>
      <c r="H60" s="59">
        <v>18.899999999999999</v>
      </c>
      <c r="I60" s="60" t="s">
        <v>58</v>
      </c>
      <c r="J60" s="60">
        <v>1</v>
      </c>
      <c r="K60" s="61">
        <v>69300</v>
      </c>
      <c r="L60" s="60" t="s">
        <v>291</v>
      </c>
      <c r="M60" s="50">
        <v>2.5974025974025976E-2</v>
      </c>
      <c r="N60" s="51">
        <v>5.3391053391053392E-2</v>
      </c>
      <c r="O60" s="52">
        <f>K60*(4186.8*10^(-9)*10^(-3))</f>
        <v>2.9014524000000002E-4</v>
      </c>
      <c r="P60" s="52" t="s">
        <v>292</v>
      </c>
      <c r="Q60" s="47">
        <v>7800</v>
      </c>
      <c r="R60" s="47" t="s">
        <v>68</v>
      </c>
      <c r="S60" s="47" t="s">
        <v>286</v>
      </c>
      <c r="T60" s="53">
        <f t="shared" si="0"/>
        <v>2.2631328720000004</v>
      </c>
      <c r="U60" s="54" t="s">
        <v>293</v>
      </c>
      <c r="V60" s="55">
        <v>2.5974025974025976E-2</v>
      </c>
      <c r="W60" s="56">
        <v>5.3391053391053392E-2</v>
      </c>
      <c r="X60" s="57" t="s">
        <v>288</v>
      </c>
      <c r="Y60" s="58" t="s">
        <v>289</v>
      </c>
      <c r="Z60" s="46"/>
    </row>
    <row r="61" spans="2:26" ht="17.5" x14ac:dyDescent="0.4">
      <c r="B61" s="46" t="s">
        <v>281</v>
      </c>
      <c r="C61" s="46" t="s">
        <v>282</v>
      </c>
      <c r="D61" s="47" t="s">
        <v>294</v>
      </c>
      <c r="E61" s="46" t="s">
        <v>315</v>
      </c>
      <c r="F61" s="48" t="s">
        <v>109</v>
      </c>
      <c r="G61" s="49" t="s">
        <v>75</v>
      </c>
      <c r="H61" s="59">
        <v>0.6</v>
      </c>
      <c r="I61" s="62" t="s">
        <v>295</v>
      </c>
      <c r="J61" s="46"/>
      <c r="K61" s="46"/>
      <c r="L61" s="46"/>
      <c r="M61" s="50">
        <v>0.66666666666666663</v>
      </c>
      <c r="N61" s="51">
        <v>2.3333333333333335</v>
      </c>
      <c r="O61" s="52">
        <f>H61*4186.8*10^(-9)*10^(-3)</f>
        <v>2.5120799999999999E-9</v>
      </c>
      <c r="P61" s="52" t="s">
        <v>296</v>
      </c>
      <c r="Q61" s="47">
        <v>7800</v>
      </c>
      <c r="R61" s="47" t="s">
        <v>68</v>
      </c>
      <c r="S61" s="47" t="s">
        <v>286</v>
      </c>
      <c r="T61" s="53">
        <f t="shared" si="0"/>
        <v>1.9594223999999998E-5</v>
      </c>
      <c r="U61" s="54" t="s">
        <v>297</v>
      </c>
      <c r="V61" s="55">
        <v>0.66666666666666663</v>
      </c>
      <c r="W61" s="56">
        <v>2.3333333333333335</v>
      </c>
      <c r="X61" s="57" t="s">
        <v>288</v>
      </c>
      <c r="Y61" s="58" t="s">
        <v>289</v>
      </c>
      <c r="Z61" s="46"/>
    </row>
    <row r="62" spans="2:26" ht="17.5" x14ac:dyDescent="0.4">
      <c r="B62" s="46" t="s">
        <v>281</v>
      </c>
      <c r="C62" s="46" t="s">
        <v>282</v>
      </c>
      <c r="D62" s="47" t="s">
        <v>283</v>
      </c>
      <c r="E62" s="46" t="s">
        <v>120</v>
      </c>
      <c r="F62" s="46" t="s">
        <v>88</v>
      </c>
      <c r="G62" s="46">
        <v>0</v>
      </c>
      <c r="H62" s="46" t="s">
        <v>316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64"/>
      <c r="U62" s="46"/>
      <c r="V62" s="46"/>
      <c r="W62" s="46"/>
      <c r="X62" s="65"/>
      <c r="Y62" s="65"/>
      <c r="Z62" s="46"/>
    </row>
    <row r="63" spans="2:26" ht="17.5" x14ac:dyDescent="0.4">
      <c r="B63" s="46" t="s">
        <v>281</v>
      </c>
      <c r="C63" s="46" t="s">
        <v>282</v>
      </c>
      <c r="D63" s="47" t="s">
        <v>290</v>
      </c>
      <c r="E63" s="46" t="s">
        <v>120</v>
      </c>
      <c r="F63" s="46" t="s">
        <v>88</v>
      </c>
      <c r="G63" s="46">
        <v>0</v>
      </c>
      <c r="H63" s="46" t="s">
        <v>316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64"/>
      <c r="U63" s="46"/>
      <c r="V63" s="46"/>
      <c r="W63" s="46"/>
      <c r="X63" s="65"/>
      <c r="Y63" s="65"/>
      <c r="Z63" s="46"/>
    </row>
    <row r="64" spans="2:26" ht="17.5" x14ac:dyDescent="0.4">
      <c r="B64" s="46" t="s">
        <v>281</v>
      </c>
      <c r="C64" s="46" t="s">
        <v>282</v>
      </c>
      <c r="D64" s="47" t="s">
        <v>294</v>
      </c>
      <c r="E64" s="46" t="s">
        <v>120</v>
      </c>
      <c r="F64" s="46" t="s">
        <v>88</v>
      </c>
      <c r="G64" s="46">
        <v>0</v>
      </c>
      <c r="H64" s="46" t="s">
        <v>316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64"/>
      <c r="U64" s="46"/>
      <c r="V64" s="46"/>
      <c r="W64" s="46"/>
      <c r="X64" s="65"/>
      <c r="Y64" s="65"/>
      <c r="Z64" s="46"/>
    </row>
    <row r="65" spans="2:26" ht="17.5" x14ac:dyDescent="0.4">
      <c r="B65" s="46" t="s">
        <v>281</v>
      </c>
      <c r="C65" s="46" t="s">
        <v>282</v>
      </c>
      <c r="D65" s="47" t="s">
        <v>283</v>
      </c>
      <c r="E65" s="46" t="s">
        <v>115</v>
      </c>
      <c r="F65" s="48" t="s">
        <v>115</v>
      </c>
      <c r="G65" s="49" t="s">
        <v>81</v>
      </c>
      <c r="H65" s="49">
        <v>1</v>
      </c>
      <c r="I65" s="49" t="s">
        <v>284</v>
      </c>
      <c r="J65" s="46"/>
      <c r="K65" s="46"/>
      <c r="L65" s="46"/>
      <c r="M65" s="50">
        <v>0.7</v>
      </c>
      <c r="N65" s="51">
        <v>2</v>
      </c>
      <c r="O65" s="52">
        <f>H65*4186.8*10^(-9)*10^(-3)</f>
        <v>4.1868000000000005E-9</v>
      </c>
      <c r="P65" s="52" t="s">
        <v>285</v>
      </c>
      <c r="Q65" s="47">
        <v>11090</v>
      </c>
      <c r="R65" s="47" t="s">
        <v>68</v>
      </c>
      <c r="S65" s="47" t="s">
        <v>317</v>
      </c>
      <c r="T65" s="53">
        <f t="shared" ref="T65:T115" si="1">O65*Q65</f>
        <v>4.6431612000000004E-5</v>
      </c>
      <c r="U65" s="54" t="s">
        <v>287</v>
      </c>
      <c r="V65" s="55">
        <v>0.7</v>
      </c>
      <c r="W65" s="56">
        <v>2</v>
      </c>
      <c r="X65" s="58" t="s">
        <v>289</v>
      </c>
      <c r="Y65" s="58" t="s">
        <v>289</v>
      </c>
      <c r="Z65" s="46"/>
    </row>
    <row r="66" spans="2:26" ht="17.5" x14ac:dyDescent="0.4">
      <c r="B66" s="46" t="s">
        <v>281</v>
      </c>
      <c r="C66" s="46" t="s">
        <v>282</v>
      </c>
      <c r="D66" s="47" t="s">
        <v>290</v>
      </c>
      <c r="E66" s="46" t="s">
        <v>115</v>
      </c>
      <c r="F66" s="109" t="s">
        <v>511</v>
      </c>
      <c r="G66" s="49" t="s">
        <v>81</v>
      </c>
      <c r="H66" s="59">
        <v>16.8</v>
      </c>
      <c r="I66" s="60" t="s">
        <v>58</v>
      </c>
      <c r="J66" s="60">
        <v>1</v>
      </c>
      <c r="K66" s="61">
        <v>61600</v>
      </c>
      <c r="L66" s="60" t="s">
        <v>291</v>
      </c>
      <c r="M66" s="50">
        <v>8.2792207792207792E-2</v>
      </c>
      <c r="N66" s="51">
        <v>0.11363636363636363</v>
      </c>
      <c r="O66" s="52">
        <f>K66*(4186.8*10^(-9)*10^(-3))</f>
        <v>2.5790688000000003E-4</v>
      </c>
      <c r="P66" s="52" t="s">
        <v>292</v>
      </c>
      <c r="Q66" s="47">
        <v>11090</v>
      </c>
      <c r="R66" s="47" t="s">
        <v>68</v>
      </c>
      <c r="S66" s="47" t="s">
        <v>317</v>
      </c>
      <c r="T66" s="53">
        <f t="shared" si="1"/>
        <v>2.8601872992000001</v>
      </c>
      <c r="U66" s="54" t="s">
        <v>293</v>
      </c>
      <c r="V66" s="55">
        <v>8.2792207792207792E-2</v>
      </c>
      <c r="W66" s="56">
        <v>0.11363636363636363</v>
      </c>
      <c r="X66" s="58" t="s">
        <v>289</v>
      </c>
      <c r="Y66" s="58" t="s">
        <v>289</v>
      </c>
      <c r="Z66" s="46"/>
    </row>
    <row r="67" spans="2:26" ht="17.5" x14ac:dyDescent="0.4">
      <c r="B67" s="46" t="s">
        <v>281</v>
      </c>
      <c r="C67" s="46" t="s">
        <v>282</v>
      </c>
      <c r="D67" s="47" t="s">
        <v>294</v>
      </c>
      <c r="E67" s="46" t="s">
        <v>115</v>
      </c>
      <c r="F67" s="48" t="s">
        <v>115</v>
      </c>
      <c r="G67" s="49" t="s">
        <v>81</v>
      </c>
      <c r="H67" s="59">
        <v>0.1</v>
      </c>
      <c r="I67" s="62" t="s">
        <v>295</v>
      </c>
      <c r="J67" s="46"/>
      <c r="K67" s="46"/>
      <c r="L67" s="46"/>
      <c r="M67" s="50">
        <v>0.7</v>
      </c>
      <c r="N67" s="51">
        <v>2</v>
      </c>
      <c r="O67" s="52">
        <f>H67*4186.8*10^(-9)*10^(-3)</f>
        <v>4.186800000000001E-10</v>
      </c>
      <c r="P67" s="52" t="s">
        <v>296</v>
      </c>
      <c r="Q67" s="47">
        <v>11090</v>
      </c>
      <c r="R67" s="47" t="s">
        <v>68</v>
      </c>
      <c r="S67" s="47" t="s">
        <v>317</v>
      </c>
      <c r="T67" s="53">
        <f t="shared" si="1"/>
        <v>4.6431612000000014E-6</v>
      </c>
      <c r="U67" s="54" t="s">
        <v>297</v>
      </c>
      <c r="V67" s="55">
        <v>0.7</v>
      </c>
      <c r="W67" s="56">
        <v>2</v>
      </c>
      <c r="X67" s="58" t="s">
        <v>289</v>
      </c>
      <c r="Y67" s="58" t="s">
        <v>289</v>
      </c>
      <c r="Z67" s="46"/>
    </row>
    <row r="68" spans="2:26" ht="35" x14ac:dyDescent="0.4">
      <c r="B68" s="46" t="s">
        <v>281</v>
      </c>
      <c r="C68" s="46" t="s">
        <v>282</v>
      </c>
      <c r="D68" s="47" t="s">
        <v>283</v>
      </c>
      <c r="E68" s="46" t="s">
        <v>110</v>
      </c>
      <c r="F68" s="48" t="s">
        <v>318</v>
      </c>
      <c r="G68" s="49" t="s">
        <v>128</v>
      </c>
      <c r="H68" s="49">
        <v>1</v>
      </c>
      <c r="I68" s="49" t="s">
        <v>284</v>
      </c>
      <c r="J68" s="46"/>
      <c r="K68" s="46"/>
      <c r="L68" s="46"/>
      <c r="M68" s="50">
        <v>0.7</v>
      </c>
      <c r="N68" s="51">
        <v>2</v>
      </c>
      <c r="O68" s="52">
        <f>H68*4186.8*10^(-9)*10^(-3)</f>
        <v>4.1868000000000005E-9</v>
      </c>
      <c r="P68" s="52" t="s">
        <v>285</v>
      </c>
      <c r="Q68" s="47">
        <v>6635</v>
      </c>
      <c r="R68" s="47" t="s">
        <v>68</v>
      </c>
      <c r="S68" s="47" t="s">
        <v>286</v>
      </c>
      <c r="T68" s="53">
        <f t="shared" si="1"/>
        <v>2.7779418000000003E-5</v>
      </c>
      <c r="U68" s="54" t="s">
        <v>287</v>
      </c>
      <c r="V68" s="55">
        <v>0.7</v>
      </c>
      <c r="W68" s="56">
        <v>2</v>
      </c>
      <c r="X68" s="57" t="s">
        <v>288</v>
      </c>
      <c r="Y68" s="58" t="s">
        <v>289</v>
      </c>
      <c r="Z68" s="46"/>
    </row>
    <row r="69" spans="2:26" ht="35" x14ac:dyDescent="0.4">
      <c r="B69" s="46" t="s">
        <v>281</v>
      </c>
      <c r="C69" s="46" t="s">
        <v>282</v>
      </c>
      <c r="D69" s="47" t="s">
        <v>290</v>
      </c>
      <c r="E69" s="46" t="s">
        <v>110</v>
      </c>
      <c r="F69" s="108" t="s">
        <v>512</v>
      </c>
      <c r="G69" s="49" t="s">
        <v>128</v>
      </c>
      <c r="H69" s="59">
        <v>17.2</v>
      </c>
      <c r="I69" s="60" t="s">
        <v>58</v>
      </c>
      <c r="J69" s="60">
        <v>1</v>
      </c>
      <c r="K69" s="61">
        <v>63100</v>
      </c>
      <c r="L69" s="60" t="s">
        <v>291</v>
      </c>
      <c r="M69" s="50">
        <v>2.3771790808240888E-2</v>
      </c>
      <c r="N69" s="51">
        <v>3.9619651347068144E-2</v>
      </c>
      <c r="O69" s="52">
        <f>K69*(4186.8*10^(-9)*10^(-3))</f>
        <v>2.6418708000000004E-4</v>
      </c>
      <c r="P69" s="52" t="s">
        <v>292</v>
      </c>
      <c r="Q69" s="47">
        <v>6635</v>
      </c>
      <c r="R69" s="47" t="s">
        <v>68</v>
      </c>
      <c r="S69" s="47" t="s">
        <v>286</v>
      </c>
      <c r="T69" s="53">
        <f t="shared" si="1"/>
        <v>1.7528812758000003</v>
      </c>
      <c r="U69" s="54" t="s">
        <v>293</v>
      </c>
      <c r="V69" s="55">
        <v>2.3771790808240888E-2</v>
      </c>
      <c r="W69" s="56">
        <v>3.9619651347068144E-2</v>
      </c>
      <c r="X69" s="57" t="s">
        <v>288</v>
      </c>
      <c r="Y69" s="58" t="s">
        <v>289</v>
      </c>
      <c r="Z69" s="46"/>
    </row>
    <row r="70" spans="2:26" ht="35" x14ac:dyDescent="0.4">
      <c r="B70" s="46" t="s">
        <v>281</v>
      </c>
      <c r="C70" s="46" t="s">
        <v>282</v>
      </c>
      <c r="D70" s="47" t="s">
        <v>294</v>
      </c>
      <c r="E70" s="46" t="s">
        <v>110</v>
      </c>
      <c r="F70" s="48" t="s">
        <v>318</v>
      </c>
      <c r="G70" s="49" t="s">
        <v>128</v>
      </c>
      <c r="H70" s="59">
        <v>0.1</v>
      </c>
      <c r="I70" s="62" t="s">
        <v>295</v>
      </c>
      <c r="J70" s="46"/>
      <c r="K70" s="46"/>
      <c r="L70" s="46"/>
      <c r="M70" s="50">
        <v>0.7</v>
      </c>
      <c r="N70" s="51">
        <v>2</v>
      </c>
      <c r="O70" s="52">
        <f>H70*4186.8*10^(-9)*10^(-3)</f>
        <v>4.186800000000001E-10</v>
      </c>
      <c r="P70" s="52" t="s">
        <v>296</v>
      </c>
      <c r="Q70" s="47">
        <v>6635</v>
      </c>
      <c r="R70" s="47" t="s">
        <v>68</v>
      </c>
      <c r="S70" s="47" t="s">
        <v>286</v>
      </c>
      <c r="T70" s="53">
        <f t="shared" si="1"/>
        <v>2.7779418000000006E-6</v>
      </c>
      <c r="U70" s="54" t="s">
        <v>297</v>
      </c>
      <c r="V70" s="55">
        <v>0.7</v>
      </c>
      <c r="W70" s="56">
        <v>2</v>
      </c>
      <c r="X70" s="57" t="s">
        <v>288</v>
      </c>
      <c r="Y70" s="58" t="s">
        <v>289</v>
      </c>
      <c r="Z70" s="46"/>
    </row>
    <row r="71" spans="2:26" ht="19.5" x14ac:dyDescent="0.4">
      <c r="B71" s="46" t="s">
        <v>281</v>
      </c>
      <c r="C71" s="46" t="s">
        <v>282</v>
      </c>
      <c r="D71" s="47" t="s">
        <v>283</v>
      </c>
      <c r="E71" s="46" t="s">
        <v>319</v>
      </c>
      <c r="F71" s="109" t="s">
        <v>514</v>
      </c>
      <c r="G71" s="49" t="s">
        <v>84</v>
      </c>
      <c r="H71" s="49">
        <v>1</v>
      </c>
      <c r="I71" s="49" t="s">
        <v>284</v>
      </c>
      <c r="J71" s="46"/>
      <c r="K71" s="46"/>
      <c r="L71" s="46"/>
      <c r="M71" s="50">
        <v>0.7</v>
      </c>
      <c r="N71" s="51">
        <v>2</v>
      </c>
      <c r="O71" s="52">
        <f>H71*4186.8*10^(-9)*10^(-3)</f>
        <v>4.1868000000000005E-9</v>
      </c>
      <c r="P71" s="52" t="s">
        <v>285</v>
      </c>
      <c r="Q71" s="47">
        <v>4200</v>
      </c>
      <c r="R71" s="47" t="s">
        <v>320</v>
      </c>
      <c r="S71" s="47" t="s">
        <v>286</v>
      </c>
      <c r="T71" s="53">
        <f t="shared" si="1"/>
        <v>1.7584560000000002E-5</v>
      </c>
      <c r="U71" s="54" t="s">
        <v>321</v>
      </c>
      <c r="V71" s="55">
        <v>0.7</v>
      </c>
      <c r="W71" s="56">
        <v>2</v>
      </c>
      <c r="X71" s="57" t="s">
        <v>288</v>
      </c>
      <c r="Y71" s="58" t="s">
        <v>289</v>
      </c>
      <c r="Z71" s="46"/>
    </row>
    <row r="72" spans="2:26" ht="19.5" x14ac:dyDescent="0.4">
      <c r="B72" s="46" t="s">
        <v>281</v>
      </c>
      <c r="C72" s="46" t="s">
        <v>282</v>
      </c>
      <c r="D72" s="47" t="s">
        <v>290</v>
      </c>
      <c r="E72" s="46" t="s">
        <v>319</v>
      </c>
      <c r="F72" s="48" t="s">
        <v>118</v>
      </c>
      <c r="G72" s="49" t="s">
        <v>84</v>
      </c>
      <c r="H72" s="59">
        <v>12.1</v>
      </c>
      <c r="I72" s="60" t="s">
        <v>58</v>
      </c>
      <c r="J72" s="60">
        <v>1</v>
      </c>
      <c r="K72" s="61">
        <v>44400</v>
      </c>
      <c r="L72" s="60" t="s">
        <v>291</v>
      </c>
      <c r="M72" s="50">
        <v>0.15990990990990991</v>
      </c>
      <c r="N72" s="51">
        <v>0.21846846846846846</v>
      </c>
      <c r="O72" s="52">
        <f>K72*(4186.8*10^(-9)*10^(-3))</f>
        <v>1.8589392000000003E-4</v>
      </c>
      <c r="P72" s="52" t="s">
        <v>292</v>
      </c>
      <c r="Q72" s="47">
        <v>4200</v>
      </c>
      <c r="R72" s="47" t="s">
        <v>320</v>
      </c>
      <c r="S72" s="47" t="s">
        <v>286</v>
      </c>
      <c r="T72" s="53">
        <f t="shared" si="1"/>
        <v>0.78075446400000015</v>
      </c>
      <c r="U72" s="54" t="s">
        <v>322</v>
      </c>
      <c r="V72" s="55">
        <v>0.15990990990990991</v>
      </c>
      <c r="W72" s="56">
        <v>0.21846846846846846</v>
      </c>
      <c r="X72" s="57" t="s">
        <v>288</v>
      </c>
      <c r="Y72" s="58" t="s">
        <v>289</v>
      </c>
      <c r="Z72" s="46"/>
    </row>
    <row r="73" spans="2:26" ht="19.5" x14ac:dyDescent="0.4">
      <c r="B73" s="46" t="s">
        <v>281</v>
      </c>
      <c r="C73" s="46" t="s">
        <v>282</v>
      </c>
      <c r="D73" s="47" t="s">
        <v>294</v>
      </c>
      <c r="E73" s="46" t="s">
        <v>319</v>
      </c>
      <c r="F73" s="48" t="s">
        <v>118</v>
      </c>
      <c r="G73" s="49" t="s">
        <v>84</v>
      </c>
      <c r="H73" s="59">
        <v>0.1</v>
      </c>
      <c r="I73" s="62" t="s">
        <v>295</v>
      </c>
      <c r="J73" s="46"/>
      <c r="K73" s="46"/>
      <c r="L73" s="46"/>
      <c r="M73" s="50">
        <v>0.7</v>
      </c>
      <c r="N73" s="51">
        <v>2</v>
      </c>
      <c r="O73" s="52">
        <f>H73*4186.8*10^(-9)*10^(-3)</f>
        <v>4.186800000000001E-10</v>
      </c>
      <c r="P73" s="52" t="s">
        <v>296</v>
      </c>
      <c r="Q73" s="47">
        <v>4200</v>
      </c>
      <c r="R73" s="47" t="s">
        <v>320</v>
      </c>
      <c r="S73" s="47" t="s">
        <v>286</v>
      </c>
      <c r="T73" s="53">
        <f t="shared" si="1"/>
        <v>1.7584560000000005E-6</v>
      </c>
      <c r="U73" s="54" t="s">
        <v>323</v>
      </c>
      <c r="V73" s="55">
        <v>0.7</v>
      </c>
      <c r="W73" s="56">
        <v>2</v>
      </c>
      <c r="X73" s="57" t="s">
        <v>288</v>
      </c>
      <c r="Y73" s="58" t="s">
        <v>289</v>
      </c>
      <c r="Z73" s="46"/>
    </row>
    <row r="74" spans="2:26" ht="19.5" x14ac:dyDescent="0.4">
      <c r="B74" s="46" t="s">
        <v>281</v>
      </c>
      <c r="C74" s="46" t="s">
        <v>282</v>
      </c>
      <c r="D74" s="47" t="s">
        <v>283</v>
      </c>
      <c r="E74" s="46" t="s">
        <v>324</v>
      </c>
      <c r="F74" s="109" t="s">
        <v>517</v>
      </c>
      <c r="G74" s="49" t="s">
        <v>83</v>
      </c>
      <c r="H74" s="49">
        <v>1</v>
      </c>
      <c r="I74" s="49" t="s">
        <v>284</v>
      </c>
      <c r="J74" s="46"/>
      <c r="K74" s="46"/>
      <c r="L74" s="46"/>
      <c r="M74" s="50">
        <v>0.7</v>
      </c>
      <c r="N74" s="51">
        <v>2</v>
      </c>
      <c r="O74" s="52">
        <f>H74*4186.8*10^(-9)*10^(-3)</f>
        <v>4.1868000000000005E-9</v>
      </c>
      <c r="P74" s="52" t="s">
        <v>285</v>
      </c>
      <c r="Q74" s="47">
        <v>9000</v>
      </c>
      <c r="R74" s="47" t="s">
        <v>320</v>
      </c>
      <c r="S74" s="47" t="s">
        <v>286</v>
      </c>
      <c r="T74" s="53">
        <f t="shared" si="1"/>
        <v>3.7681200000000001E-5</v>
      </c>
      <c r="U74" s="54" t="s">
        <v>321</v>
      </c>
      <c r="V74" s="55">
        <v>0.7</v>
      </c>
      <c r="W74" s="56">
        <v>2</v>
      </c>
      <c r="X74" s="57" t="s">
        <v>288</v>
      </c>
      <c r="Y74" s="58" t="s">
        <v>289</v>
      </c>
      <c r="Z74" s="46"/>
    </row>
    <row r="75" spans="2:26" ht="19.5" x14ac:dyDescent="0.4">
      <c r="B75" s="46" t="s">
        <v>281</v>
      </c>
      <c r="C75" s="46" t="s">
        <v>282</v>
      </c>
      <c r="D75" s="47" t="s">
        <v>290</v>
      </c>
      <c r="E75" s="46" t="s">
        <v>324</v>
      </c>
      <c r="F75" s="48" t="s">
        <v>117</v>
      </c>
      <c r="G75" s="49" t="s">
        <v>83</v>
      </c>
      <c r="H75" s="59">
        <v>15.7</v>
      </c>
      <c r="I75" s="60" t="s">
        <v>58</v>
      </c>
      <c r="J75" s="60">
        <v>1</v>
      </c>
      <c r="K75" s="61">
        <v>57600</v>
      </c>
      <c r="L75" s="60" t="s">
        <v>291</v>
      </c>
      <c r="M75" s="50">
        <v>0.16319444444444445</v>
      </c>
      <c r="N75" s="51">
        <v>0.19791666666666666</v>
      </c>
      <c r="O75" s="52">
        <f>K75*(4186.8*10^(-9)*10^(-3))</f>
        <v>2.4115968000000003E-4</v>
      </c>
      <c r="P75" s="52" t="s">
        <v>292</v>
      </c>
      <c r="Q75" s="47">
        <v>9000</v>
      </c>
      <c r="R75" s="47" t="s">
        <v>320</v>
      </c>
      <c r="S75" s="47" t="s">
        <v>286</v>
      </c>
      <c r="T75" s="53">
        <f t="shared" si="1"/>
        <v>2.1704371200000003</v>
      </c>
      <c r="U75" s="54" t="s">
        <v>322</v>
      </c>
      <c r="V75" s="55">
        <v>0.16319444444444445</v>
      </c>
      <c r="W75" s="56">
        <v>0.19791666666666666</v>
      </c>
      <c r="X75" s="57" t="s">
        <v>288</v>
      </c>
      <c r="Y75" s="58" t="s">
        <v>289</v>
      </c>
      <c r="Z75" s="46"/>
    </row>
    <row r="76" spans="2:26" ht="19.5" x14ac:dyDescent="0.4">
      <c r="B76" s="46" t="s">
        <v>281</v>
      </c>
      <c r="C76" s="46" t="s">
        <v>282</v>
      </c>
      <c r="D76" s="47" t="s">
        <v>294</v>
      </c>
      <c r="E76" s="46" t="s">
        <v>324</v>
      </c>
      <c r="F76" s="48" t="s">
        <v>117</v>
      </c>
      <c r="G76" s="49" t="s">
        <v>83</v>
      </c>
      <c r="H76" s="59">
        <v>0.1</v>
      </c>
      <c r="I76" s="62" t="s">
        <v>295</v>
      </c>
      <c r="J76" s="46"/>
      <c r="K76" s="46"/>
      <c r="L76" s="46"/>
      <c r="M76" s="50">
        <v>0.7</v>
      </c>
      <c r="N76" s="51">
        <v>2</v>
      </c>
      <c r="O76" s="52">
        <f>H76*4186.8*10^(-9)*10^(-3)</f>
        <v>4.186800000000001E-10</v>
      </c>
      <c r="P76" s="52" t="s">
        <v>296</v>
      </c>
      <c r="Q76" s="47">
        <v>9000</v>
      </c>
      <c r="R76" s="47" t="s">
        <v>320</v>
      </c>
      <c r="S76" s="47" t="s">
        <v>286</v>
      </c>
      <c r="T76" s="53">
        <f t="shared" si="1"/>
        <v>3.7681200000000009E-6</v>
      </c>
      <c r="U76" s="54" t="s">
        <v>323</v>
      </c>
      <c r="V76" s="55">
        <v>0.7</v>
      </c>
      <c r="W76" s="56">
        <v>2</v>
      </c>
      <c r="X76" s="57" t="s">
        <v>288</v>
      </c>
      <c r="Y76" s="58" t="s">
        <v>289</v>
      </c>
      <c r="Z76" s="46"/>
    </row>
    <row r="77" spans="2:26" ht="19.5" x14ac:dyDescent="0.4">
      <c r="B77" s="46" t="s">
        <v>281</v>
      </c>
      <c r="C77" s="46" t="s">
        <v>282</v>
      </c>
      <c r="D77" s="47" t="s">
        <v>283</v>
      </c>
      <c r="E77" s="46" t="s">
        <v>119</v>
      </c>
      <c r="F77" s="48" t="s">
        <v>119</v>
      </c>
      <c r="G77" s="49" t="s">
        <v>85</v>
      </c>
      <c r="H77" s="49">
        <v>1</v>
      </c>
      <c r="I77" s="49" t="s">
        <v>284</v>
      </c>
      <c r="J77" s="46"/>
      <c r="K77" s="46"/>
      <c r="L77" s="46"/>
      <c r="M77" s="50">
        <v>0.7</v>
      </c>
      <c r="N77" s="51">
        <v>2</v>
      </c>
      <c r="O77" s="52">
        <f>H77*4186.8*10^(-9)*10^(-3)</f>
        <v>4.1868000000000005E-9</v>
      </c>
      <c r="P77" s="52" t="s">
        <v>285</v>
      </c>
      <c r="Q77" s="47">
        <v>777</v>
      </c>
      <c r="R77" s="47" t="s">
        <v>320</v>
      </c>
      <c r="S77" s="47" t="s">
        <v>286</v>
      </c>
      <c r="T77" s="53">
        <f t="shared" si="1"/>
        <v>3.2531436000000004E-6</v>
      </c>
      <c r="U77" s="54" t="s">
        <v>321</v>
      </c>
      <c r="V77" s="55">
        <v>0.7</v>
      </c>
      <c r="W77" s="56">
        <v>2</v>
      </c>
      <c r="X77" s="57" t="s">
        <v>288</v>
      </c>
      <c r="Y77" s="58" t="s">
        <v>289</v>
      </c>
      <c r="Z77" s="46"/>
    </row>
    <row r="78" spans="2:26" ht="19.5" x14ac:dyDescent="0.4">
      <c r="B78" s="46" t="s">
        <v>281</v>
      </c>
      <c r="C78" s="46" t="s">
        <v>282</v>
      </c>
      <c r="D78" s="47" t="s">
        <v>290</v>
      </c>
      <c r="E78" s="46" t="s">
        <v>119</v>
      </c>
      <c r="F78" s="109" t="s">
        <v>518</v>
      </c>
      <c r="G78" s="49" t="s">
        <v>85</v>
      </c>
      <c r="H78" s="59">
        <v>70.8</v>
      </c>
      <c r="I78" s="60" t="s">
        <v>58</v>
      </c>
      <c r="J78" s="60">
        <v>1</v>
      </c>
      <c r="K78" s="61">
        <v>260000</v>
      </c>
      <c r="L78" s="60" t="s">
        <v>291</v>
      </c>
      <c r="M78" s="50">
        <v>0.15769230769230769</v>
      </c>
      <c r="N78" s="51">
        <v>0.18461538461538463</v>
      </c>
      <c r="O78" s="52">
        <f>K78*(4186.8*10^(-9)*10^(-3))</f>
        <v>1.088568E-3</v>
      </c>
      <c r="P78" s="52" t="s">
        <v>292</v>
      </c>
      <c r="Q78" s="47">
        <v>777</v>
      </c>
      <c r="R78" s="47" t="s">
        <v>320</v>
      </c>
      <c r="S78" s="47" t="s">
        <v>286</v>
      </c>
      <c r="T78" s="53">
        <f t="shared" si="1"/>
        <v>0.84581733600000009</v>
      </c>
      <c r="U78" s="54" t="s">
        <v>322</v>
      </c>
      <c r="V78" s="55">
        <v>0.15769230769230769</v>
      </c>
      <c r="W78" s="56">
        <v>0.18461538461538463</v>
      </c>
      <c r="X78" s="57" t="s">
        <v>288</v>
      </c>
      <c r="Y78" s="58" t="s">
        <v>289</v>
      </c>
      <c r="Z78" s="46"/>
    </row>
    <row r="79" spans="2:26" ht="19.5" x14ac:dyDescent="0.4">
      <c r="B79" s="46" t="s">
        <v>281</v>
      </c>
      <c r="C79" s="46" t="s">
        <v>282</v>
      </c>
      <c r="D79" s="47" t="s">
        <v>294</v>
      </c>
      <c r="E79" s="46" t="s">
        <v>119</v>
      </c>
      <c r="F79" s="48" t="s">
        <v>119</v>
      </c>
      <c r="G79" s="49" t="s">
        <v>85</v>
      </c>
      <c r="H79" s="59">
        <v>0.1</v>
      </c>
      <c r="I79" s="62" t="s">
        <v>295</v>
      </c>
      <c r="J79" s="46"/>
      <c r="K79" s="46"/>
      <c r="L79" s="46"/>
      <c r="M79" s="50">
        <v>0.7</v>
      </c>
      <c r="N79" s="51">
        <v>2</v>
      </c>
      <c r="O79" s="52">
        <f>H79*4186.8*10^(-9)*10^(-3)</f>
        <v>4.186800000000001E-10</v>
      </c>
      <c r="P79" s="52" t="s">
        <v>296</v>
      </c>
      <c r="Q79" s="47">
        <v>777</v>
      </c>
      <c r="R79" s="47" t="s">
        <v>320</v>
      </c>
      <c r="S79" s="47" t="s">
        <v>286</v>
      </c>
      <c r="T79" s="53">
        <f t="shared" si="1"/>
        <v>3.2531436000000009E-7</v>
      </c>
      <c r="U79" s="54" t="s">
        <v>323</v>
      </c>
      <c r="V79" s="55">
        <v>0.7</v>
      </c>
      <c r="W79" s="56">
        <v>2</v>
      </c>
      <c r="X79" s="57" t="s">
        <v>288</v>
      </c>
      <c r="Y79" s="58" t="s">
        <v>289</v>
      </c>
      <c r="Z79" s="46"/>
    </row>
    <row r="80" spans="2:26" ht="17.5" x14ac:dyDescent="0.4">
      <c r="B80" s="46" t="s">
        <v>281</v>
      </c>
      <c r="C80" s="46" t="s">
        <v>282</v>
      </c>
      <c r="D80" s="47" t="s">
        <v>283</v>
      </c>
      <c r="E80" s="46" t="s">
        <v>104</v>
      </c>
      <c r="F80" s="48" t="s">
        <v>104</v>
      </c>
      <c r="G80" s="49" t="s">
        <v>70</v>
      </c>
      <c r="H80" s="49">
        <v>3</v>
      </c>
      <c r="I80" s="49" t="s">
        <v>284</v>
      </c>
      <c r="J80" s="46"/>
      <c r="K80" s="46"/>
      <c r="L80" s="46"/>
      <c r="M80" s="50">
        <v>0.66666666666666663</v>
      </c>
      <c r="N80" s="51">
        <v>2.3333333333333335</v>
      </c>
      <c r="O80" s="52">
        <f>H80*4186.8*10^(-9)*10^(-3)</f>
        <v>1.2560400000000003E-8</v>
      </c>
      <c r="P80" s="52" t="s">
        <v>285</v>
      </c>
      <c r="Q80" s="47">
        <v>9000</v>
      </c>
      <c r="R80" s="47" t="s">
        <v>68</v>
      </c>
      <c r="S80" s="47" t="s">
        <v>286</v>
      </c>
      <c r="T80" s="53">
        <f t="shared" si="1"/>
        <v>1.1304360000000002E-4</v>
      </c>
      <c r="U80" s="54" t="s">
        <v>287</v>
      </c>
      <c r="V80" s="55">
        <v>0.66666666666666663</v>
      </c>
      <c r="W80" s="56">
        <v>2.3333333333333335</v>
      </c>
      <c r="X80" s="57" t="s">
        <v>288</v>
      </c>
      <c r="Y80" s="58" t="s">
        <v>289</v>
      </c>
      <c r="Z80" s="46"/>
    </row>
    <row r="81" spans="2:26" ht="17.5" x14ac:dyDescent="0.4">
      <c r="B81" s="46" t="s">
        <v>281</v>
      </c>
      <c r="C81" s="46" t="s">
        <v>282</v>
      </c>
      <c r="D81" s="47" t="s">
        <v>290</v>
      </c>
      <c r="E81" s="46" t="s">
        <v>104</v>
      </c>
      <c r="F81" s="109" t="s">
        <v>519</v>
      </c>
      <c r="G81" s="49" t="s">
        <v>70</v>
      </c>
      <c r="H81" s="59">
        <v>20</v>
      </c>
      <c r="I81" s="60" t="s">
        <v>58</v>
      </c>
      <c r="J81" s="60">
        <v>1</v>
      </c>
      <c r="K81" s="61">
        <v>73300</v>
      </c>
      <c r="L81" s="60" t="s">
        <v>291</v>
      </c>
      <c r="M81" s="50">
        <v>3.0013642564802184E-2</v>
      </c>
      <c r="N81" s="51">
        <v>3.0013642564802184E-2</v>
      </c>
      <c r="O81" s="52">
        <f>K81*(4186.8*10^(-9)*10^(-3))</f>
        <v>3.0689244000000005E-4</v>
      </c>
      <c r="P81" s="52" t="s">
        <v>292</v>
      </c>
      <c r="Q81" s="47">
        <v>9000</v>
      </c>
      <c r="R81" s="47" t="s">
        <v>68</v>
      </c>
      <c r="S81" s="47" t="s">
        <v>286</v>
      </c>
      <c r="T81" s="53">
        <f t="shared" si="1"/>
        <v>2.7620319600000003</v>
      </c>
      <c r="U81" s="54" t="s">
        <v>293</v>
      </c>
      <c r="V81" s="55">
        <v>3.0013642564802184E-2</v>
      </c>
      <c r="W81" s="56">
        <v>3.0013642564802184E-2</v>
      </c>
      <c r="X81" s="57" t="s">
        <v>288</v>
      </c>
      <c r="Y81" s="58" t="s">
        <v>289</v>
      </c>
      <c r="Z81" s="46"/>
    </row>
    <row r="82" spans="2:26" ht="17.5" x14ac:dyDescent="0.4">
      <c r="B82" s="46" t="s">
        <v>281</v>
      </c>
      <c r="C82" s="46" t="s">
        <v>282</v>
      </c>
      <c r="D82" s="47" t="s">
        <v>294</v>
      </c>
      <c r="E82" s="46" t="s">
        <v>104</v>
      </c>
      <c r="F82" s="48" t="s">
        <v>104</v>
      </c>
      <c r="G82" s="49" t="s">
        <v>70</v>
      </c>
      <c r="H82" s="59">
        <v>0.6</v>
      </c>
      <c r="I82" s="62" t="s">
        <v>295</v>
      </c>
      <c r="J82" s="46"/>
      <c r="K82" s="46"/>
      <c r="L82" s="46"/>
      <c r="M82" s="50">
        <v>0.66666666666666663</v>
      </c>
      <c r="N82" s="51">
        <v>2.3333333333333335</v>
      </c>
      <c r="O82" s="52">
        <f>H82*4186.8*10^(-9)*10^(-3)</f>
        <v>2.5120799999999999E-9</v>
      </c>
      <c r="P82" s="52" t="s">
        <v>296</v>
      </c>
      <c r="Q82" s="47">
        <v>9000</v>
      </c>
      <c r="R82" s="47" t="s">
        <v>68</v>
      </c>
      <c r="S82" s="47" t="s">
        <v>286</v>
      </c>
      <c r="T82" s="53">
        <f t="shared" si="1"/>
        <v>2.2608719999999997E-5</v>
      </c>
      <c r="U82" s="54" t="s">
        <v>297</v>
      </c>
      <c r="V82" s="55">
        <v>0.66666666666666663</v>
      </c>
      <c r="W82" s="56">
        <v>2.3333333333333335</v>
      </c>
      <c r="X82" s="57" t="s">
        <v>288</v>
      </c>
      <c r="Y82" s="58" t="s">
        <v>289</v>
      </c>
      <c r="Z82" s="46"/>
    </row>
    <row r="83" spans="2:26" ht="19.5" x14ac:dyDescent="0.4">
      <c r="B83" s="46" t="s">
        <v>281</v>
      </c>
      <c r="C83" s="46" t="s">
        <v>282</v>
      </c>
      <c r="D83" s="47" t="s">
        <v>283</v>
      </c>
      <c r="E83" s="46" t="s">
        <v>116</v>
      </c>
      <c r="F83" s="48" t="s">
        <v>116</v>
      </c>
      <c r="G83" s="49" t="s">
        <v>82</v>
      </c>
      <c r="H83" s="49">
        <v>1</v>
      </c>
      <c r="I83" s="49" t="s">
        <v>284</v>
      </c>
      <c r="J83" s="46"/>
      <c r="K83" s="46"/>
      <c r="L83" s="46"/>
      <c r="M83" s="50">
        <v>0.7</v>
      </c>
      <c r="N83" s="51">
        <v>2</v>
      </c>
      <c r="O83" s="52">
        <f>H83*4186.8*10^(-9)*10^(-3)</f>
        <v>4.1868000000000005E-9</v>
      </c>
      <c r="P83" s="52" t="s">
        <v>285</v>
      </c>
      <c r="Q83" s="47">
        <v>8000</v>
      </c>
      <c r="R83" s="47" t="s">
        <v>320</v>
      </c>
      <c r="S83" s="47" t="s">
        <v>286</v>
      </c>
      <c r="T83" s="53">
        <f t="shared" si="1"/>
        <v>3.3494400000000002E-5</v>
      </c>
      <c r="U83" s="54" t="s">
        <v>321</v>
      </c>
      <c r="V83" s="55">
        <v>0.7</v>
      </c>
      <c r="W83" s="56">
        <v>2</v>
      </c>
      <c r="X83" s="57" t="s">
        <v>288</v>
      </c>
      <c r="Y83" s="58" t="s">
        <v>289</v>
      </c>
      <c r="Z83" s="46" t="s">
        <v>325</v>
      </c>
    </row>
    <row r="84" spans="2:26" ht="19.5" x14ac:dyDescent="0.4">
      <c r="B84" s="46" t="s">
        <v>281</v>
      </c>
      <c r="C84" s="46" t="s">
        <v>282</v>
      </c>
      <c r="D84" s="47" t="s">
        <v>290</v>
      </c>
      <c r="E84" s="46" t="s">
        <v>116</v>
      </c>
      <c r="F84" s="109" t="s">
        <v>520</v>
      </c>
      <c r="G84" s="49" t="s">
        <v>82</v>
      </c>
      <c r="H84" s="59">
        <v>15.3</v>
      </c>
      <c r="I84" s="60" t="s">
        <v>58</v>
      </c>
      <c r="J84" s="60">
        <v>1</v>
      </c>
      <c r="K84" s="61">
        <v>56100</v>
      </c>
      <c r="L84" s="60" t="s">
        <v>291</v>
      </c>
      <c r="M84" s="50">
        <v>3.2085561497326207E-2</v>
      </c>
      <c r="N84" s="51">
        <v>3.9215686274509803E-2</v>
      </c>
      <c r="O84" s="52">
        <f>K84*(4186.8*10^(-9)*10^(-3))</f>
        <v>2.3487948000000002E-4</v>
      </c>
      <c r="P84" s="52" t="s">
        <v>292</v>
      </c>
      <c r="Q84" s="47">
        <v>8000</v>
      </c>
      <c r="R84" s="47" t="s">
        <v>320</v>
      </c>
      <c r="S84" s="47" t="s">
        <v>286</v>
      </c>
      <c r="T84" s="53">
        <f t="shared" si="1"/>
        <v>1.8790358400000002</v>
      </c>
      <c r="U84" s="54" t="s">
        <v>322</v>
      </c>
      <c r="V84" s="55">
        <v>3.2085561497326207E-2</v>
      </c>
      <c r="W84" s="56">
        <v>3.9215686274509803E-2</v>
      </c>
      <c r="X84" s="57" t="s">
        <v>288</v>
      </c>
      <c r="Y84" s="58" t="s">
        <v>289</v>
      </c>
      <c r="Z84" s="46" t="s">
        <v>325</v>
      </c>
    </row>
    <row r="85" spans="2:26" ht="19.5" x14ac:dyDescent="0.4">
      <c r="B85" s="46" t="s">
        <v>281</v>
      </c>
      <c r="C85" s="46" t="s">
        <v>282</v>
      </c>
      <c r="D85" s="47" t="s">
        <v>294</v>
      </c>
      <c r="E85" s="46" t="s">
        <v>116</v>
      </c>
      <c r="F85" s="48" t="s">
        <v>116</v>
      </c>
      <c r="G85" s="49" t="s">
        <v>82</v>
      </c>
      <c r="H85" s="59">
        <v>0.1</v>
      </c>
      <c r="I85" s="62" t="s">
        <v>295</v>
      </c>
      <c r="J85" s="46"/>
      <c r="K85" s="46"/>
      <c r="L85" s="46"/>
      <c r="M85" s="50">
        <v>0.7</v>
      </c>
      <c r="N85" s="51">
        <v>2</v>
      </c>
      <c r="O85" s="52">
        <f>H85*4186.8*10^(-9)*10^(-3)</f>
        <v>4.186800000000001E-10</v>
      </c>
      <c r="P85" s="52" t="s">
        <v>296</v>
      </c>
      <c r="Q85" s="47">
        <v>8000</v>
      </c>
      <c r="R85" s="47" t="s">
        <v>320</v>
      </c>
      <c r="S85" s="47" t="s">
        <v>286</v>
      </c>
      <c r="T85" s="53">
        <f t="shared" si="1"/>
        <v>3.3494400000000007E-6</v>
      </c>
      <c r="U85" s="54" t="s">
        <v>323</v>
      </c>
      <c r="V85" s="55">
        <v>0.7</v>
      </c>
      <c r="W85" s="56">
        <v>2</v>
      </c>
      <c r="X85" s="57" t="s">
        <v>288</v>
      </c>
      <c r="Y85" s="58" t="s">
        <v>289</v>
      </c>
      <c r="Z85" s="46" t="s">
        <v>325</v>
      </c>
    </row>
    <row r="86" spans="2:26" ht="30.5" x14ac:dyDescent="0.4">
      <c r="B86" s="46" t="s">
        <v>281</v>
      </c>
      <c r="C86" s="46" t="s">
        <v>282</v>
      </c>
      <c r="D86" s="47" t="s">
        <v>283</v>
      </c>
      <c r="E86" s="46" t="s">
        <v>125</v>
      </c>
      <c r="F86" s="48" t="s">
        <v>326</v>
      </c>
      <c r="G86" s="49" t="s">
        <v>127</v>
      </c>
      <c r="H86" s="49">
        <v>3</v>
      </c>
      <c r="I86" s="49" t="s">
        <v>284</v>
      </c>
      <c r="J86" s="46"/>
      <c r="K86" s="46"/>
      <c r="L86" s="46"/>
      <c r="M86" s="50">
        <v>0.66666666666666663</v>
      </c>
      <c r="N86" s="51">
        <v>2.3333333333333335</v>
      </c>
      <c r="O86" s="52">
        <f>H86*4186.8*10^(-9)*10^(-3)</f>
        <v>1.2560400000000003E-8</v>
      </c>
      <c r="P86" s="52" t="s">
        <v>285</v>
      </c>
      <c r="Q86" s="47">
        <v>10564</v>
      </c>
      <c r="R86" s="47" t="s">
        <v>320</v>
      </c>
      <c r="S86" s="47" t="s">
        <v>286</v>
      </c>
      <c r="T86" s="53">
        <f t="shared" si="1"/>
        <v>1.3268806560000004E-4</v>
      </c>
      <c r="U86" s="54" t="s">
        <v>321</v>
      </c>
      <c r="V86" s="55">
        <v>0.66666666666666663</v>
      </c>
      <c r="W86" s="56">
        <v>2.3333333333333335</v>
      </c>
      <c r="X86" s="57" t="s">
        <v>288</v>
      </c>
      <c r="Y86" s="58" t="s">
        <v>289</v>
      </c>
      <c r="Z86" s="46"/>
    </row>
    <row r="87" spans="2:26" ht="30.5" x14ac:dyDescent="0.4">
      <c r="B87" s="46" t="s">
        <v>281</v>
      </c>
      <c r="C87" s="46" t="s">
        <v>282</v>
      </c>
      <c r="D87" s="47" t="s">
        <v>290</v>
      </c>
      <c r="E87" s="46" t="s">
        <v>125</v>
      </c>
      <c r="F87" s="108" t="s">
        <v>521</v>
      </c>
      <c r="G87" s="49" t="s">
        <v>127</v>
      </c>
      <c r="H87" s="59">
        <v>17.5</v>
      </c>
      <c r="I87" s="60" t="s">
        <v>58</v>
      </c>
      <c r="J87" s="60">
        <v>1</v>
      </c>
      <c r="K87" s="61">
        <v>64200</v>
      </c>
      <c r="L87" s="60" t="s">
        <v>291</v>
      </c>
      <c r="M87" s="50">
        <v>9.1900311526479747E-2</v>
      </c>
      <c r="N87" s="51">
        <v>9.657320872274143E-2</v>
      </c>
      <c r="O87" s="52">
        <f>K87*(4186.8*10^(-9)*10^(-3))</f>
        <v>2.6879256000000005E-4</v>
      </c>
      <c r="P87" s="52" t="s">
        <v>292</v>
      </c>
      <c r="Q87" s="47">
        <v>10564</v>
      </c>
      <c r="R87" s="47" t="s">
        <v>320</v>
      </c>
      <c r="S87" s="47" t="s">
        <v>317</v>
      </c>
      <c r="T87" s="53">
        <f t="shared" si="1"/>
        <v>2.8395246038400006</v>
      </c>
      <c r="U87" s="54" t="s">
        <v>322</v>
      </c>
      <c r="V87" s="55">
        <v>9.1900311526479747E-2</v>
      </c>
      <c r="W87" s="56">
        <v>9.657320872274143E-2</v>
      </c>
      <c r="X87" s="58" t="s">
        <v>289</v>
      </c>
      <c r="Y87" s="58" t="s">
        <v>289</v>
      </c>
      <c r="Z87" s="46"/>
    </row>
    <row r="88" spans="2:26" ht="30.5" x14ac:dyDescent="0.4">
      <c r="B88" s="46" t="s">
        <v>281</v>
      </c>
      <c r="C88" s="46" t="s">
        <v>282</v>
      </c>
      <c r="D88" s="47" t="s">
        <v>294</v>
      </c>
      <c r="E88" s="46" t="s">
        <v>125</v>
      </c>
      <c r="F88" s="48" t="s">
        <v>326</v>
      </c>
      <c r="G88" s="49" t="s">
        <v>127</v>
      </c>
      <c r="H88" s="59">
        <v>0.6</v>
      </c>
      <c r="I88" s="62" t="s">
        <v>295</v>
      </c>
      <c r="J88" s="46"/>
      <c r="K88" s="46"/>
      <c r="L88" s="46"/>
      <c r="M88" s="50">
        <v>0.66666666666666663</v>
      </c>
      <c r="N88" s="51">
        <v>2.3333333333333335</v>
      </c>
      <c r="O88" s="52">
        <f>H88*4186.8*10^(-9)*10^(-3)</f>
        <v>2.5120799999999999E-9</v>
      </c>
      <c r="P88" s="52" t="s">
        <v>296</v>
      </c>
      <c r="Q88" s="47">
        <v>10564</v>
      </c>
      <c r="R88" s="47" t="s">
        <v>320</v>
      </c>
      <c r="S88" s="47" t="s">
        <v>286</v>
      </c>
      <c r="T88" s="53">
        <f t="shared" si="1"/>
        <v>2.6537613119999998E-5</v>
      </c>
      <c r="U88" s="54" t="s">
        <v>323</v>
      </c>
      <c r="V88" s="55">
        <v>0.66666666666666663</v>
      </c>
      <c r="W88" s="56">
        <v>2.3333333333333335</v>
      </c>
      <c r="X88" s="57" t="s">
        <v>288</v>
      </c>
      <c r="Y88" s="58" t="s">
        <v>289</v>
      </c>
      <c r="Z88" s="46"/>
    </row>
    <row r="89" spans="2:26" ht="17.5" x14ac:dyDescent="0.4">
      <c r="B89" s="46" t="s">
        <v>281</v>
      </c>
      <c r="C89" s="46" t="s">
        <v>282</v>
      </c>
      <c r="D89" s="47" t="s">
        <v>283</v>
      </c>
      <c r="E89" s="46" t="s">
        <v>99</v>
      </c>
      <c r="F89" s="48" t="s">
        <v>99</v>
      </c>
      <c r="G89" s="49" t="s">
        <v>64</v>
      </c>
      <c r="H89" s="49">
        <v>1</v>
      </c>
      <c r="I89" s="49" t="s">
        <v>284</v>
      </c>
      <c r="J89" s="46"/>
      <c r="K89" s="46"/>
      <c r="L89" s="46"/>
      <c r="M89" s="50">
        <v>0.7</v>
      </c>
      <c r="N89" s="51">
        <v>2</v>
      </c>
      <c r="O89" s="52">
        <f>H89*4186.8*10^(-9)*10^(-3)</f>
        <v>4.1868000000000005E-9</v>
      </c>
      <c r="P89" s="52" t="s">
        <v>285</v>
      </c>
      <c r="Q89" s="47">
        <v>2333</v>
      </c>
      <c r="R89" s="47" t="s">
        <v>59</v>
      </c>
      <c r="S89" s="47" t="s">
        <v>317</v>
      </c>
      <c r="T89" s="53">
        <f t="shared" si="1"/>
        <v>9.7678044000000006E-6</v>
      </c>
      <c r="U89" s="54" t="s">
        <v>305</v>
      </c>
      <c r="V89" s="55">
        <v>0.7</v>
      </c>
      <c r="W89" s="56">
        <v>2</v>
      </c>
      <c r="X89" s="58" t="s">
        <v>289</v>
      </c>
      <c r="Y89" s="58" t="s">
        <v>289</v>
      </c>
      <c r="Z89" s="46"/>
    </row>
    <row r="90" spans="2:26" ht="17.5" x14ac:dyDescent="0.4">
      <c r="B90" s="46" t="s">
        <v>281</v>
      </c>
      <c r="C90" s="46" t="s">
        <v>282</v>
      </c>
      <c r="D90" s="47" t="s">
        <v>290</v>
      </c>
      <c r="E90" s="46" t="s">
        <v>99</v>
      </c>
      <c r="F90" s="109" t="s">
        <v>523</v>
      </c>
      <c r="G90" s="49" t="s">
        <v>64</v>
      </c>
      <c r="H90" s="59">
        <v>28.9</v>
      </c>
      <c r="I90" s="60" t="s">
        <v>58</v>
      </c>
      <c r="J90" s="60">
        <v>1</v>
      </c>
      <c r="K90" s="63">
        <v>106000</v>
      </c>
      <c r="L90" s="60" t="s">
        <v>291</v>
      </c>
      <c r="M90" s="50">
        <v>5.6603773584905662E-2</v>
      </c>
      <c r="N90" s="51">
        <v>1.8867924528301886E-2</v>
      </c>
      <c r="O90" s="52">
        <f>K90*(4186.8*10^(-9)*10^(-3))</f>
        <v>4.4380080000000006E-4</v>
      </c>
      <c r="P90" s="52" t="s">
        <v>292</v>
      </c>
      <c r="Q90" s="47">
        <v>2333</v>
      </c>
      <c r="R90" s="47" t="s">
        <v>59</v>
      </c>
      <c r="S90" s="47" t="s">
        <v>317</v>
      </c>
      <c r="T90" s="53">
        <f t="shared" si="1"/>
        <v>1.0353872664000001</v>
      </c>
      <c r="U90" s="54" t="s">
        <v>306</v>
      </c>
      <c r="V90" s="55">
        <v>5.6603773584905662E-2</v>
      </c>
      <c r="W90" s="56">
        <v>1.8867924528301886E-2</v>
      </c>
      <c r="X90" s="58" t="s">
        <v>289</v>
      </c>
      <c r="Y90" s="58" t="s">
        <v>289</v>
      </c>
      <c r="Z90" s="46"/>
    </row>
    <row r="91" spans="2:26" ht="17.5" x14ac:dyDescent="0.4">
      <c r="B91" s="46" t="s">
        <v>281</v>
      </c>
      <c r="C91" s="46" t="s">
        <v>282</v>
      </c>
      <c r="D91" s="47" t="s">
        <v>294</v>
      </c>
      <c r="E91" s="46" t="s">
        <v>99</v>
      </c>
      <c r="F91" s="48" t="s">
        <v>99</v>
      </c>
      <c r="G91" s="49" t="s">
        <v>64</v>
      </c>
      <c r="H91" s="59">
        <v>1.5</v>
      </c>
      <c r="I91" s="62" t="s">
        <v>295</v>
      </c>
      <c r="J91" s="46"/>
      <c r="K91" s="46"/>
      <c r="L91" s="46"/>
      <c r="M91" s="50">
        <v>0.66666666666666663</v>
      </c>
      <c r="N91" s="51">
        <v>2.3333333333333335</v>
      </c>
      <c r="O91" s="52">
        <f>H91*4186.8*10^(-9)*10^(-3)</f>
        <v>6.2802000000000015E-9</v>
      </c>
      <c r="P91" s="52" t="s">
        <v>296</v>
      </c>
      <c r="Q91" s="47">
        <v>2333</v>
      </c>
      <c r="R91" s="47" t="s">
        <v>59</v>
      </c>
      <c r="S91" s="47" t="s">
        <v>317</v>
      </c>
      <c r="T91" s="53">
        <f t="shared" si="1"/>
        <v>1.4651706600000003E-5</v>
      </c>
      <c r="U91" s="54" t="s">
        <v>307</v>
      </c>
      <c r="V91" s="55">
        <v>0.66666666666666663</v>
      </c>
      <c r="W91" s="56">
        <v>2.3333333333333335</v>
      </c>
      <c r="X91" s="58" t="s">
        <v>289</v>
      </c>
      <c r="Y91" s="58" t="s">
        <v>289</v>
      </c>
      <c r="Z91" s="46"/>
    </row>
    <row r="92" spans="2:26" ht="17.5" x14ac:dyDescent="0.4">
      <c r="B92" s="46" t="s">
        <v>281</v>
      </c>
      <c r="C92" s="46" t="s">
        <v>282</v>
      </c>
      <c r="D92" s="47" t="s">
        <v>283</v>
      </c>
      <c r="E92" s="46" t="s">
        <v>97</v>
      </c>
      <c r="F92" s="48" t="s">
        <v>97</v>
      </c>
      <c r="G92" s="49" t="s">
        <v>62</v>
      </c>
      <c r="H92" s="49">
        <v>1</v>
      </c>
      <c r="I92" s="49" t="s">
        <v>284</v>
      </c>
      <c r="J92" s="46"/>
      <c r="K92" s="46"/>
      <c r="L92" s="46"/>
      <c r="M92" s="50">
        <v>0.7</v>
      </c>
      <c r="N92" s="51">
        <v>2</v>
      </c>
      <c r="O92" s="52">
        <f>H92*4186.8*10^(-9)*10^(-3)</f>
        <v>4.1868000000000005E-9</v>
      </c>
      <c r="P92" s="52" t="s">
        <v>285</v>
      </c>
      <c r="Q92" s="47">
        <v>2844</v>
      </c>
      <c r="R92" s="47" t="s">
        <v>59</v>
      </c>
      <c r="S92" s="47" t="s">
        <v>317</v>
      </c>
      <c r="T92" s="53">
        <f t="shared" si="1"/>
        <v>1.1907259200000001E-5</v>
      </c>
      <c r="U92" s="54" t="s">
        <v>305</v>
      </c>
      <c r="V92" s="55">
        <v>0.7</v>
      </c>
      <c r="W92" s="56">
        <v>2</v>
      </c>
      <c r="X92" s="58" t="s">
        <v>289</v>
      </c>
      <c r="Y92" s="58" t="s">
        <v>289</v>
      </c>
      <c r="Z92" s="46"/>
    </row>
    <row r="93" spans="2:26" ht="17.5" x14ac:dyDescent="0.4">
      <c r="B93" s="46" t="s">
        <v>281</v>
      </c>
      <c r="C93" s="46" t="s">
        <v>282</v>
      </c>
      <c r="D93" s="47" t="s">
        <v>290</v>
      </c>
      <c r="E93" s="46" t="s">
        <v>97</v>
      </c>
      <c r="F93" s="109" t="s">
        <v>524</v>
      </c>
      <c r="G93" s="49" t="s">
        <v>62</v>
      </c>
      <c r="H93" s="59">
        <v>27.6</v>
      </c>
      <c r="I93" s="60" t="s">
        <v>58</v>
      </c>
      <c r="J93" s="60">
        <v>1</v>
      </c>
      <c r="K93" s="63">
        <v>101000</v>
      </c>
      <c r="L93" s="60" t="s">
        <v>291</v>
      </c>
      <c r="M93" s="50">
        <v>0.1</v>
      </c>
      <c r="N93" s="51">
        <v>0.13861386138613863</v>
      </c>
      <c r="O93" s="52">
        <f>K93*(4186.8*10^(-9)*10^(-3))</f>
        <v>4.2286680000000004E-4</v>
      </c>
      <c r="P93" s="52" t="s">
        <v>292</v>
      </c>
      <c r="Q93" s="47">
        <v>2844</v>
      </c>
      <c r="R93" s="47" t="s">
        <v>59</v>
      </c>
      <c r="S93" s="47" t="s">
        <v>317</v>
      </c>
      <c r="T93" s="53">
        <f t="shared" si="1"/>
        <v>1.2026331792</v>
      </c>
      <c r="U93" s="54" t="s">
        <v>306</v>
      </c>
      <c r="V93" s="55">
        <v>0.1</v>
      </c>
      <c r="W93" s="56">
        <v>0.13861386138613863</v>
      </c>
      <c r="X93" s="58" t="s">
        <v>289</v>
      </c>
      <c r="Y93" s="58" t="s">
        <v>289</v>
      </c>
      <c r="Z93" s="46"/>
    </row>
    <row r="94" spans="2:26" ht="17.5" x14ac:dyDescent="0.4">
      <c r="B94" s="46" t="s">
        <v>281</v>
      </c>
      <c r="C94" s="46" t="s">
        <v>282</v>
      </c>
      <c r="D94" s="47" t="s">
        <v>294</v>
      </c>
      <c r="E94" s="46" t="s">
        <v>97</v>
      </c>
      <c r="F94" s="48" t="s">
        <v>97</v>
      </c>
      <c r="G94" s="49" t="s">
        <v>62</v>
      </c>
      <c r="H94" s="59">
        <v>1.5</v>
      </c>
      <c r="I94" s="62" t="s">
        <v>295</v>
      </c>
      <c r="J94" s="46"/>
      <c r="K94" s="46"/>
      <c r="L94" s="46"/>
      <c r="M94" s="50">
        <v>0.66666666666666663</v>
      </c>
      <c r="N94" s="51">
        <v>2.3333333333333335</v>
      </c>
      <c r="O94" s="52">
        <f>H94*4186.8*10^(-9)*10^(-3)</f>
        <v>6.2802000000000015E-9</v>
      </c>
      <c r="P94" s="52" t="s">
        <v>296</v>
      </c>
      <c r="Q94" s="47">
        <v>2844</v>
      </c>
      <c r="R94" s="47" t="s">
        <v>59</v>
      </c>
      <c r="S94" s="47" t="s">
        <v>317</v>
      </c>
      <c r="T94" s="53">
        <f t="shared" si="1"/>
        <v>1.7860888800000004E-5</v>
      </c>
      <c r="U94" s="54" t="s">
        <v>307</v>
      </c>
      <c r="V94" s="55">
        <v>0.66666666666666663</v>
      </c>
      <c r="W94" s="56">
        <v>2.3333333333333335</v>
      </c>
      <c r="X94" s="58" t="s">
        <v>289</v>
      </c>
      <c r="Y94" s="58" t="s">
        <v>289</v>
      </c>
      <c r="Z94" s="46"/>
    </row>
    <row r="95" spans="2:26" ht="35" x14ac:dyDescent="0.4">
      <c r="B95" s="46" t="s">
        <v>281</v>
      </c>
      <c r="C95" s="46" t="s">
        <v>282</v>
      </c>
      <c r="D95" s="47" t="s">
        <v>283</v>
      </c>
      <c r="E95" s="46" t="s">
        <v>96</v>
      </c>
      <c r="F95" s="48" t="s">
        <v>96</v>
      </c>
      <c r="G95" s="49" t="s">
        <v>57</v>
      </c>
      <c r="H95" s="49">
        <v>1</v>
      </c>
      <c r="I95" s="49" t="s">
        <v>284</v>
      </c>
      <c r="J95" s="46"/>
      <c r="K95" s="46"/>
      <c r="L95" s="46"/>
      <c r="M95" s="50">
        <v>0.7</v>
      </c>
      <c r="N95" s="51">
        <v>2</v>
      </c>
      <c r="O95" s="52">
        <f>H95*4186.8*10^(-9)*10^(-3)</f>
        <v>4.1868000000000005E-9</v>
      </c>
      <c r="P95" s="52" t="s">
        <v>285</v>
      </c>
      <c r="Q95" s="66">
        <v>6080</v>
      </c>
      <c r="R95" s="47" t="s">
        <v>59</v>
      </c>
      <c r="S95" s="47" t="s">
        <v>286</v>
      </c>
      <c r="T95" s="53">
        <f t="shared" si="1"/>
        <v>2.5455744000000001E-5</v>
      </c>
      <c r="U95" s="54" t="s">
        <v>305</v>
      </c>
      <c r="V95" s="55">
        <v>0.7</v>
      </c>
      <c r="W95" s="56">
        <v>2</v>
      </c>
      <c r="X95" s="57" t="s">
        <v>288</v>
      </c>
      <c r="Y95" s="58" t="s">
        <v>289</v>
      </c>
      <c r="Z95" s="46"/>
    </row>
    <row r="96" spans="2:26" ht="35" x14ac:dyDescent="0.4">
      <c r="B96" s="46" t="s">
        <v>281</v>
      </c>
      <c r="C96" s="46" t="s">
        <v>282</v>
      </c>
      <c r="D96" s="47" t="s">
        <v>290</v>
      </c>
      <c r="E96" s="46" t="s">
        <v>96</v>
      </c>
      <c r="F96" s="109" t="s">
        <v>525</v>
      </c>
      <c r="G96" s="49" t="s">
        <v>57</v>
      </c>
      <c r="H96" s="59">
        <v>25.8</v>
      </c>
      <c r="I96" s="60" t="s">
        <v>58</v>
      </c>
      <c r="J96" s="60">
        <v>1</v>
      </c>
      <c r="K96" s="63">
        <v>94600</v>
      </c>
      <c r="L96" s="60" t="s">
        <v>291</v>
      </c>
      <c r="M96" s="50">
        <v>5.3911205073995772E-2</v>
      </c>
      <c r="N96" s="51">
        <v>5.3911205073995772E-2</v>
      </c>
      <c r="O96" s="52">
        <f>K96*(4186.8*10^(-9)*10^(-3))</f>
        <v>3.9607128000000003E-4</v>
      </c>
      <c r="P96" s="52" t="s">
        <v>292</v>
      </c>
      <c r="Q96" s="66">
        <v>6080</v>
      </c>
      <c r="R96" s="47" t="s">
        <v>59</v>
      </c>
      <c r="S96" s="47" t="s">
        <v>286</v>
      </c>
      <c r="T96" s="53">
        <f t="shared" si="1"/>
        <v>2.4081133824000003</v>
      </c>
      <c r="U96" s="54" t="s">
        <v>306</v>
      </c>
      <c r="V96" s="55">
        <v>5.3911205073995772E-2</v>
      </c>
      <c r="W96" s="56">
        <v>5.3911205073995772E-2</v>
      </c>
      <c r="X96" s="57" t="s">
        <v>288</v>
      </c>
      <c r="Y96" s="58" t="s">
        <v>289</v>
      </c>
      <c r="Z96" s="46"/>
    </row>
    <row r="97" spans="2:26" ht="35" x14ac:dyDescent="0.4">
      <c r="B97" s="46" t="s">
        <v>281</v>
      </c>
      <c r="C97" s="46" t="s">
        <v>282</v>
      </c>
      <c r="D97" s="47" t="s">
        <v>294</v>
      </c>
      <c r="E97" s="46" t="s">
        <v>96</v>
      </c>
      <c r="F97" s="48" t="s">
        <v>96</v>
      </c>
      <c r="G97" s="49" t="s">
        <v>57</v>
      </c>
      <c r="H97" s="59">
        <v>1.5</v>
      </c>
      <c r="I97" s="62" t="s">
        <v>295</v>
      </c>
      <c r="J97" s="46"/>
      <c r="K97" s="46"/>
      <c r="L97" s="46"/>
      <c r="M97" s="50">
        <v>0.66666666666666663</v>
      </c>
      <c r="N97" s="51">
        <v>2.3333333333333335</v>
      </c>
      <c r="O97" s="52">
        <f>H97*4186.8*10^(-9)*10^(-3)</f>
        <v>6.2802000000000015E-9</v>
      </c>
      <c r="P97" s="52" t="s">
        <v>296</v>
      </c>
      <c r="Q97" s="66">
        <v>6080</v>
      </c>
      <c r="R97" s="47" t="s">
        <v>59</v>
      </c>
      <c r="S97" s="47" t="s">
        <v>286</v>
      </c>
      <c r="T97" s="53">
        <f t="shared" si="1"/>
        <v>3.8183616000000009E-5</v>
      </c>
      <c r="U97" s="54" t="s">
        <v>307</v>
      </c>
      <c r="V97" s="55">
        <v>0.66666666666666663</v>
      </c>
      <c r="W97" s="56">
        <v>2.3333333333333335</v>
      </c>
      <c r="X97" s="57" t="s">
        <v>288</v>
      </c>
      <c r="Y97" s="58" t="s">
        <v>289</v>
      </c>
      <c r="Z97" s="46"/>
    </row>
    <row r="98" spans="2:26" ht="35" x14ac:dyDescent="0.4">
      <c r="B98" s="46" t="s">
        <v>281</v>
      </c>
      <c r="C98" s="46" t="s">
        <v>282</v>
      </c>
      <c r="D98" s="47" t="s">
        <v>283</v>
      </c>
      <c r="E98" s="46" t="s">
        <v>327</v>
      </c>
      <c r="F98" s="48" t="s">
        <v>328</v>
      </c>
      <c r="G98" s="49" t="s">
        <v>61</v>
      </c>
      <c r="H98" s="49">
        <v>1</v>
      </c>
      <c r="I98" s="49" t="s">
        <v>284</v>
      </c>
      <c r="J98" s="46"/>
      <c r="K98" s="46"/>
      <c r="L98" s="46"/>
      <c r="M98" s="50">
        <v>0.7</v>
      </c>
      <c r="N98" s="51">
        <v>2</v>
      </c>
      <c r="O98" s="52">
        <f>H98*4186.8*10^(-9)*10^(-3)</f>
        <v>4.1868000000000005E-9</v>
      </c>
      <c r="P98" s="52" t="s">
        <v>285</v>
      </c>
      <c r="Q98" s="66">
        <v>5600</v>
      </c>
      <c r="R98" s="47" t="s">
        <v>59</v>
      </c>
      <c r="S98" s="47" t="s">
        <v>286</v>
      </c>
      <c r="T98" s="53">
        <f t="shared" si="1"/>
        <v>2.3446080000000001E-5</v>
      </c>
      <c r="U98" s="54" t="s">
        <v>305</v>
      </c>
      <c r="V98" s="55">
        <v>0.7</v>
      </c>
      <c r="W98" s="56">
        <v>2</v>
      </c>
      <c r="X98" s="57" t="s">
        <v>288</v>
      </c>
      <c r="Y98" s="58" t="s">
        <v>289</v>
      </c>
      <c r="Z98" s="46"/>
    </row>
    <row r="99" spans="2:26" ht="35" x14ac:dyDescent="0.4">
      <c r="B99" s="46" t="s">
        <v>281</v>
      </c>
      <c r="C99" s="46" t="s">
        <v>282</v>
      </c>
      <c r="D99" s="47" t="s">
        <v>290</v>
      </c>
      <c r="E99" s="46" t="s">
        <v>327</v>
      </c>
      <c r="F99" s="110" t="s">
        <v>526</v>
      </c>
      <c r="G99" s="49" t="s">
        <v>61</v>
      </c>
      <c r="H99" s="59">
        <v>26.2</v>
      </c>
      <c r="I99" s="60" t="s">
        <v>58</v>
      </c>
      <c r="J99" s="60">
        <v>1</v>
      </c>
      <c r="K99" s="63">
        <v>96100</v>
      </c>
      <c r="L99" s="60" t="s">
        <v>291</v>
      </c>
      <c r="M99" s="50">
        <v>3.4339229968782518E-2</v>
      </c>
      <c r="N99" s="51">
        <v>4.0582726326742979E-2</v>
      </c>
      <c r="O99" s="52">
        <f>K99*(4186.8*10^(-9)*10^(-3))</f>
        <v>4.0235148000000004E-4</v>
      </c>
      <c r="P99" s="52" t="s">
        <v>292</v>
      </c>
      <c r="Q99" s="66">
        <v>5600</v>
      </c>
      <c r="R99" s="47" t="s">
        <v>59</v>
      </c>
      <c r="S99" s="47" t="s">
        <v>286</v>
      </c>
      <c r="T99" s="53">
        <f t="shared" si="1"/>
        <v>2.2531682880000004</v>
      </c>
      <c r="U99" s="54" t="s">
        <v>306</v>
      </c>
      <c r="V99" s="55">
        <v>3.4339229968782518E-2</v>
      </c>
      <c r="W99" s="56">
        <v>4.0582726326742979E-2</v>
      </c>
      <c r="X99" s="57" t="s">
        <v>288</v>
      </c>
      <c r="Y99" s="58" t="s">
        <v>289</v>
      </c>
      <c r="Z99" s="46"/>
    </row>
    <row r="100" spans="2:26" ht="35" x14ac:dyDescent="0.4">
      <c r="B100" s="46" t="s">
        <v>281</v>
      </c>
      <c r="C100" s="46" t="s">
        <v>282</v>
      </c>
      <c r="D100" s="47" t="s">
        <v>294</v>
      </c>
      <c r="E100" s="46" t="s">
        <v>327</v>
      </c>
      <c r="F100" s="48" t="s">
        <v>328</v>
      </c>
      <c r="G100" s="49" t="s">
        <v>61</v>
      </c>
      <c r="H100" s="59">
        <v>1.5</v>
      </c>
      <c r="I100" s="62" t="s">
        <v>295</v>
      </c>
      <c r="J100" s="46"/>
      <c r="K100" s="46"/>
      <c r="L100" s="46"/>
      <c r="M100" s="50">
        <v>0.66666666666666663</v>
      </c>
      <c r="N100" s="51">
        <v>2.3333333333333335</v>
      </c>
      <c r="O100" s="52">
        <f>H100*4186.8*10^(-9)*10^(-3)</f>
        <v>6.2802000000000015E-9</v>
      </c>
      <c r="P100" s="52" t="s">
        <v>296</v>
      </c>
      <c r="Q100" s="66">
        <v>5600</v>
      </c>
      <c r="R100" s="47" t="s">
        <v>59</v>
      </c>
      <c r="S100" s="47" t="s">
        <v>286</v>
      </c>
      <c r="T100" s="53">
        <f t="shared" si="1"/>
        <v>3.516912000000001E-5</v>
      </c>
      <c r="U100" s="54" t="s">
        <v>307</v>
      </c>
      <c r="V100" s="55">
        <v>0.66666666666666663</v>
      </c>
      <c r="W100" s="56">
        <v>2.3333333333333335</v>
      </c>
      <c r="X100" s="57" t="s">
        <v>288</v>
      </c>
      <c r="Y100" s="58" t="s">
        <v>289</v>
      </c>
      <c r="Z100" s="46"/>
    </row>
    <row r="101" spans="2:26" ht="17.5" x14ac:dyDescent="0.4">
      <c r="B101" s="46" t="s">
        <v>281</v>
      </c>
      <c r="C101" s="46" t="s">
        <v>282</v>
      </c>
      <c r="D101" s="47" t="s">
        <v>283</v>
      </c>
      <c r="E101" s="46" t="s">
        <v>95</v>
      </c>
      <c r="F101" s="48" t="s">
        <v>95</v>
      </c>
      <c r="G101" s="49" t="s">
        <v>60</v>
      </c>
      <c r="H101" s="49">
        <v>1</v>
      </c>
      <c r="I101" s="49" t="s">
        <v>284</v>
      </c>
      <c r="J101" s="46"/>
      <c r="K101" s="46"/>
      <c r="L101" s="46"/>
      <c r="M101" s="50">
        <v>0.7</v>
      </c>
      <c r="N101" s="51">
        <v>2</v>
      </c>
      <c r="O101" s="52">
        <f>H101*4186.8*10^(-9)*10^(-3)</f>
        <v>4.1868000000000005E-9</v>
      </c>
      <c r="P101" s="52" t="s">
        <v>285</v>
      </c>
      <c r="Q101" s="47">
        <v>7100</v>
      </c>
      <c r="R101" s="47" t="s">
        <v>59</v>
      </c>
      <c r="S101" s="47" t="s">
        <v>286</v>
      </c>
      <c r="T101" s="53">
        <f t="shared" si="1"/>
        <v>2.9726280000000002E-5</v>
      </c>
      <c r="U101" s="54" t="s">
        <v>305</v>
      </c>
      <c r="V101" s="55">
        <v>0.7</v>
      </c>
      <c r="W101" s="56">
        <v>2</v>
      </c>
      <c r="X101" s="57" t="s">
        <v>288</v>
      </c>
      <c r="Y101" s="58" t="s">
        <v>289</v>
      </c>
      <c r="Z101" s="46"/>
    </row>
    <row r="102" spans="2:26" ht="17.5" x14ac:dyDescent="0.4">
      <c r="B102" s="46" t="s">
        <v>281</v>
      </c>
      <c r="C102" s="46" t="s">
        <v>282</v>
      </c>
      <c r="D102" s="47" t="s">
        <v>290</v>
      </c>
      <c r="E102" s="46" t="s">
        <v>95</v>
      </c>
      <c r="F102" s="109" t="s">
        <v>527</v>
      </c>
      <c r="G102" s="49" t="s">
        <v>60</v>
      </c>
      <c r="H102" s="67">
        <v>26.8</v>
      </c>
      <c r="I102" s="60" t="s">
        <v>58</v>
      </c>
      <c r="J102" s="60">
        <v>1</v>
      </c>
      <c r="K102" s="61">
        <v>98300</v>
      </c>
      <c r="L102" s="60" t="s">
        <v>291</v>
      </c>
      <c r="M102" s="50">
        <v>3.7639877924720247E-2</v>
      </c>
      <c r="N102" s="51">
        <v>2.7466937945066123E-2</v>
      </c>
      <c r="O102" s="52">
        <f>K102*(4186.8*10^(-9)*10^(-3))</f>
        <v>4.1156244000000006E-4</v>
      </c>
      <c r="P102" s="52" t="s">
        <v>292</v>
      </c>
      <c r="Q102" s="47">
        <v>7100</v>
      </c>
      <c r="R102" s="47" t="s">
        <v>59</v>
      </c>
      <c r="S102" s="47" t="s">
        <v>286</v>
      </c>
      <c r="T102" s="53">
        <f t="shared" si="1"/>
        <v>2.9220933240000004</v>
      </c>
      <c r="U102" s="54" t="s">
        <v>306</v>
      </c>
      <c r="V102" s="55">
        <v>3.7639877924720247E-2</v>
      </c>
      <c r="W102" s="56">
        <v>2.7466937945066123E-2</v>
      </c>
      <c r="X102" s="57" t="s">
        <v>288</v>
      </c>
      <c r="Y102" s="58" t="s">
        <v>289</v>
      </c>
      <c r="Z102" s="46"/>
    </row>
    <row r="103" spans="2:26" ht="17.5" x14ac:dyDescent="0.4">
      <c r="B103" s="46" t="s">
        <v>281</v>
      </c>
      <c r="C103" s="46" t="s">
        <v>282</v>
      </c>
      <c r="D103" s="47" t="s">
        <v>294</v>
      </c>
      <c r="E103" s="46" t="s">
        <v>95</v>
      </c>
      <c r="F103" s="48" t="s">
        <v>95</v>
      </c>
      <c r="G103" s="49" t="s">
        <v>60</v>
      </c>
      <c r="H103" s="67">
        <v>1.5</v>
      </c>
      <c r="I103" s="62" t="s">
        <v>295</v>
      </c>
      <c r="J103" s="46"/>
      <c r="K103" s="46"/>
      <c r="L103" s="46"/>
      <c r="M103" s="50">
        <v>0.66666666666666663</v>
      </c>
      <c r="N103" s="51">
        <v>2.3333333333333335</v>
      </c>
      <c r="O103" s="52">
        <f>H103*4186.8*10^(-9)*10^(-3)</f>
        <v>6.2802000000000015E-9</v>
      </c>
      <c r="P103" s="52" t="s">
        <v>296</v>
      </c>
      <c r="Q103" s="47">
        <v>7100</v>
      </c>
      <c r="R103" s="47" t="s">
        <v>59</v>
      </c>
      <c r="S103" s="47" t="s">
        <v>286</v>
      </c>
      <c r="T103" s="53">
        <f t="shared" si="1"/>
        <v>4.4589420000000012E-5</v>
      </c>
      <c r="U103" s="54" t="s">
        <v>307</v>
      </c>
      <c r="V103" s="55">
        <v>0.66666666666666663</v>
      </c>
      <c r="W103" s="56">
        <v>2.3333333333333335</v>
      </c>
      <c r="X103" s="57" t="s">
        <v>288</v>
      </c>
      <c r="Y103" s="58" t="s">
        <v>289</v>
      </c>
      <c r="Z103" s="46"/>
    </row>
    <row r="104" spans="2:26" ht="17.5" x14ac:dyDescent="0.4">
      <c r="B104" s="46" t="s">
        <v>281</v>
      </c>
      <c r="C104" s="46" t="s">
        <v>282</v>
      </c>
      <c r="D104" s="47" t="s">
        <v>283</v>
      </c>
      <c r="E104" s="46" t="s">
        <v>329</v>
      </c>
      <c r="F104" s="48" t="s">
        <v>111</v>
      </c>
      <c r="G104" s="49" t="s">
        <v>77</v>
      </c>
      <c r="H104" s="49">
        <v>3</v>
      </c>
      <c r="I104" s="49" t="s">
        <v>284</v>
      </c>
      <c r="J104" s="46"/>
      <c r="K104" s="46"/>
      <c r="L104" s="46"/>
      <c r="M104" s="50">
        <v>0.66666666666666663</v>
      </c>
      <c r="N104" s="51">
        <v>2.3333333333333335</v>
      </c>
      <c r="O104" s="52">
        <f>H104*4186.8*10^(-9)*10^(-3)</f>
        <v>1.2560400000000003E-8</v>
      </c>
      <c r="P104" s="52" t="s">
        <v>285</v>
      </c>
      <c r="Q104" s="47">
        <v>7800</v>
      </c>
      <c r="R104" s="47" t="s">
        <v>68</v>
      </c>
      <c r="S104" s="47" t="s">
        <v>286</v>
      </c>
      <c r="T104" s="53">
        <f t="shared" si="1"/>
        <v>9.7971120000000023E-5</v>
      </c>
      <c r="U104" s="54" t="s">
        <v>287</v>
      </c>
      <c r="V104" s="55">
        <v>0.66666666666666663</v>
      </c>
      <c r="W104" s="56">
        <v>2.3333333333333335</v>
      </c>
      <c r="X104" s="57" t="s">
        <v>288</v>
      </c>
      <c r="Y104" s="58" t="s">
        <v>289</v>
      </c>
      <c r="Z104" s="46"/>
    </row>
    <row r="105" spans="2:26" ht="17.5" x14ac:dyDescent="0.4">
      <c r="B105" s="46" t="s">
        <v>281</v>
      </c>
      <c r="C105" s="46" t="s">
        <v>282</v>
      </c>
      <c r="D105" s="47" t="s">
        <v>290</v>
      </c>
      <c r="E105" s="46" t="s">
        <v>329</v>
      </c>
      <c r="F105" s="48" t="s">
        <v>111</v>
      </c>
      <c r="G105" s="49" t="s">
        <v>77</v>
      </c>
      <c r="H105" s="59">
        <v>20</v>
      </c>
      <c r="I105" s="60" t="s">
        <v>58</v>
      </c>
      <c r="J105" s="60">
        <v>1</v>
      </c>
      <c r="K105" s="61">
        <v>73300</v>
      </c>
      <c r="L105" s="60" t="s">
        <v>291</v>
      </c>
      <c r="M105" s="50">
        <v>5.4570259208731244E-2</v>
      </c>
      <c r="N105" s="51">
        <v>4.0927694406548434E-2</v>
      </c>
      <c r="O105" s="52">
        <f>K105*(4186.8*10^(-9)*10^(-3))</f>
        <v>3.0689244000000005E-4</v>
      </c>
      <c r="P105" s="52" t="s">
        <v>292</v>
      </c>
      <c r="Q105" s="47">
        <v>7800</v>
      </c>
      <c r="R105" s="47" t="s">
        <v>68</v>
      </c>
      <c r="S105" s="47" t="s">
        <v>286</v>
      </c>
      <c r="T105" s="53">
        <f t="shared" si="1"/>
        <v>2.3937610320000005</v>
      </c>
      <c r="U105" s="54" t="s">
        <v>293</v>
      </c>
      <c r="V105" s="55">
        <v>5.4570259208731244E-2</v>
      </c>
      <c r="W105" s="56">
        <v>4.0927694406548434E-2</v>
      </c>
      <c r="X105" s="57" t="s">
        <v>288</v>
      </c>
      <c r="Y105" s="58" t="s">
        <v>289</v>
      </c>
      <c r="Z105" s="46"/>
    </row>
    <row r="106" spans="2:26" ht="17.5" x14ac:dyDescent="0.4">
      <c r="B106" s="46" t="s">
        <v>281</v>
      </c>
      <c r="C106" s="46" t="s">
        <v>282</v>
      </c>
      <c r="D106" s="47" t="s">
        <v>294</v>
      </c>
      <c r="E106" s="46" t="s">
        <v>329</v>
      </c>
      <c r="F106" s="48" t="s">
        <v>111</v>
      </c>
      <c r="G106" s="49" t="s">
        <v>77</v>
      </c>
      <c r="H106" s="59">
        <v>0.6</v>
      </c>
      <c r="I106" s="62" t="s">
        <v>295</v>
      </c>
      <c r="J106" s="46"/>
      <c r="K106" s="46"/>
      <c r="L106" s="46"/>
      <c r="M106" s="50">
        <v>0.66666666666666663</v>
      </c>
      <c r="N106" s="51">
        <v>2.3333333333333335</v>
      </c>
      <c r="O106" s="52">
        <f>H106*4186.8*10^(-9)*10^(-3)</f>
        <v>2.5120799999999999E-9</v>
      </c>
      <c r="P106" s="52" t="s">
        <v>296</v>
      </c>
      <c r="Q106" s="47">
        <v>7800</v>
      </c>
      <c r="R106" s="47" t="s">
        <v>68</v>
      </c>
      <c r="S106" s="47" t="s">
        <v>286</v>
      </c>
      <c r="T106" s="53">
        <f t="shared" si="1"/>
        <v>1.9594223999999998E-5</v>
      </c>
      <c r="U106" s="54" t="s">
        <v>297</v>
      </c>
      <c r="V106" s="55">
        <v>0.66666666666666663</v>
      </c>
      <c r="W106" s="56">
        <v>2.3333333333333335</v>
      </c>
      <c r="X106" s="57" t="s">
        <v>288</v>
      </c>
      <c r="Y106" s="58" t="s">
        <v>289</v>
      </c>
      <c r="Z106" s="46"/>
    </row>
    <row r="107" spans="2:26" ht="35" x14ac:dyDescent="0.4">
      <c r="B107" s="46" t="s">
        <v>281</v>
      </c>
      <c r="C107" s="46" t="s">
        <v>282</v>
      </c>
      <c r="D107" s="47" t="s">
        <v>283</v>
      </c>
      <c r="E107" s="46" t="s">
        <v>330</v>
      </c>
      <c r="F107" s="48" t="s">
        <v>98</v>
      </c>
      <c r="G107" s="49" t="s">
        <v>63</v>
      </c>
      <c r="H107" s="49">
        <v>1</v>
      </c>
      <c r="I107" s="49" t="s">
        <v>284</v>
      </c>
      <c r="J107" s="46"/>
      <c r="K107" s="46"/>
      <c r="L107" s="46"/>
      <c r="M107" s="50">
        <v>0.7</v>
      </c>
      <c r="N107" s="51">
        <v>2</v>
      </c>
      <c r="O107" s="52">
        <f>H107*4186.8*10^(-9)*10^(-3)</f>
        <v>4.1868000000000005E-9</v>
      </c>
      <c r="P107" s="52" t="s">
        <v>285</v>
      </c>
      <c r="Q107" s="47">
        <v>2127</v>
      </c>
      <c r="R107" s="47" t="s">
        <v>59</v>
      </c>
      <c r="S107" s="47" t="s">
        <v>317</v>
      </c>
      <c r="T107" s="53">
        <f t="shared" si="1"/>
        <v>8.9053236000000002E-6</v>
      </c>
      <c r="U107" s="54" t="s">
        <v>305</v>
      </c>
      <c r="V107" s="55">
        <v>0.7</v>
      </c>
      <c r="W107" s="56">
        <v>2</v>
      </c>
      <c r="X107" s="58" t="s">
        <v>289</v>
      </c>
      <c r="Y107" s="58" t="s">
        <v>289</v>
      </c>
      <c r="Z107" s="46"/>
    </row>
    <row r="108" spans="2:26" ht="35" x14ac:dyDescent="0.4">
      <c r="B108" s="46" t="s">
        <v>281</v>
      </c>
      <c r="C108" s="46" t="s">
        <v>282</v>
      </c>
      <c r="D108" s="47" t="s">
        <v>290</v>
      </c>
      <c r="E108" s="46" t="s">
        <v>330</v>
      </c>
      <c r="F108" s="109" t="s">
        <v>528</v>
      </c>
      <c r="G108" s="49" t="s">
        <v>63</v>
      </c>
      <c r="H108" s="59">
        <v>29.1</v>
      </c>
      <c r="I108" s="60" t="s">
        <v>58</v>
      </c>
      <c r="J108" s="60">
        <v>1</v>
      </c>
      <c r="K108" s="63">
        <v>107000</v>
      </c>
      <c r="L108" s="60" t="s">
        <v>291</v>
      </c>
      <c r="M108" s="50">
        <v>0.15700934579439252</v>
      </c>
      <c r="N108" s="51">
        <v>0.16822429906542055</v>
      </c>
      <c r="O108" s="52">
        <f>K108*(4186.8*10^(-9)*10^(-3))</f>
        <v>4.4798760000000005E-4</v>
      </c>
      <c r="P108" s="52" t="s">
        <v>292</v>
      </c>
      <c r="Q108" s="47">
        <v>2127</v>
      </c>
      <c r="R108" s="47" t="s">
        <v>59</v>
      </c>
      <c r="S108" s="47" t="s">
        <v>317</v>
      </c>
      <c r="T108" s="53">
        <f t="shared" si="1"/>
        <v>0.95286962520000007</v>
      </c>
      <c r="U108" s="54" t="s">
        <v>306</v>
      </c>
      <c r="V108" s="55">
        <v>0.15700934579439252</v>
      </c>
      <c r="W108" s="56">
        <v>0.16822429906542055</v>
      </c>
      <c r="X108" s="58" t="s">
        <v>289</v>
      </c>
      <c r="Y108" s="58" t="s">
        <v>289</v>
      </c>
      <c r="Z108" s="46"/>
    </row>
    <row r="109" spans="2:26" ht="35" x14ac:dyDescent="0.4">
      <c r="B109" s="46" t="s">
        <v>281</v>
      </c>
      <c r="C109" s="46" t="s">
        <v>282</v>
      </c>
      <c r="D109" s="47" t="s">
        <v>294</v>
      </c>
      <c r="E109" s="46" t="s">
        <v>330</v>
      </c>
      <c r="F109" s="48" t="s">
        <v>98</v>
      </c>
      <c r="G109" s="49" t="s">
        <v>63</v>
      </c>
      <c r="H109" s="59">
        <v>1.5</v>
      </c>
      <c r="I109" s="62" t="s">
        <v>295</v>
      </c>
      <c r="J109" s="46"/>
      <c r="K109" s="46"/>
      <c r="L109" s="46"/>
      <c r="M109" s="50">
        <v>0.66666666666666663</v>
      </c>
      <c r="N109" s="51">
        <v>2.3333333333333335</v>
      </c>
      <c r="O109" s="52">
        <f>H109*4186.8*10^(-9)*10^(-3)</f>
        <v>6.2802000000000015E-9</v>
      </c>
      <c r="P109" s="52" t="s">
        <v>296</v>
      </c>
      <c r="Q109" s="47">
        <v>2127</v>
      </c>
      <c r="R109" s="47" t="s">
        <v>59</v>
      </c>
      <c r="S109" s="47" t="s">
        <v>317</v>
      </c>
      <c r="T109" s="53">
        <f t="shared" si="1"/>
        <v>1.3357985400000004E-5</v>
      </c>
      <c r="U109" s="54" t="s">
        <v>307</v>
      </c>
      <c r="V109" s="55">
        <v>0.66666666666666663</v>
      </c>
      <c r="W109" s="56">
        <v>2.3333333333333335</v>
      </c>
      <c r="X109" s="58" t="s">
        <v>289</v>
      </c>
      <c r="Y109" s="58" t="s">
        <v>289</v>
      </c>
      <c r="Z109" s="46"/>
    </row>
    <row r="110" spans="2:26" ht="35" x14ac:dyDescent="0.4">
      <c r="B110" s="46" t="s">
        <v>281</v>
      </c>
      <c r="C110" s="46" t="s">
        <v>282</v>
      </c>
      <c r="D110" s="47" t="s">
        <v>283</v>
      </c>
      <c r="E110" s="46" t="s">
        <v>331</v>
      </c>
      <c r="F110" s="47" t="s">
        <v>94</v>
      </c>
      <c r="G110" s="49" t="s">
        <v>57</v>
      </c>
      <c r="H110" s="49">
        <v>1</v>
      </c>
      <c r="I110" s="49" t="s">
        <v>284</v>
      </c>
      <c r="J110" s="46"/>
      <c r="K110" s="46"/>
      <c r="L110" s="46"/>
      <c r="M110" s="50">
        <v>0.7</v>
      </c>
      <c r="N110" s="51">
        <v>2</v>
      </c>
      <c r="O110" s="52">
        <f>H110*4186.8*10^(-9)*10^(-3)</f>
        <v>4.1868000000000005E-9</v>
      </c>
      <c r="P110" s="52" t="s">
        <v>285</v>
      </c>
      <c r="Q110" s="47">
        <v>6800</v>
      </c>
      <c r="R110" s="47" t="s">
        <v>59</v>
      </c>
      <c r="S110" s="47" t="s">
        <v>286</v>
      </c>
      <c r="T110" s="53">
        <f t="shared" si="1"/>
        <v>2.8470240000000003E-5</v>
      </c>
      <c r="U110" s="54" t="s">
        <v>305</v>
      </c>
      <c r="V110" s="55">
        <v>0.7</v>
      </c>
      <c r="W110" s="56">
        <v>2</v>
      </c>
      <c r="X110" s="57" t="s">
        <v>288</v>
      </c>
      <c r="Y110" s="58" t="s">
        <v>289</v>
      </c>
      <c r="Z110" s="46"/>
    </row>
    <row r="111" spans="2:26" ht="35" x14ac:dyDescent="0.4">
      <c r="B111" s="46" t="s">
        <v>281</v>
      </c>
      <c r="C111" s="46" t="s">
        <v>282</v>
      </c>
      <c r="D111" s="47" t="s">
        <v>290</v>
      </c>
      <c r="E111" s="46" t="s">
        <v>331</v>
      </c>
      <c r="F111" s="111" t="s">
        <v>529</v>
      </c>
      <c r="G111" s="49" t="s">
        <v>57</v>
      </c>
      <c r="H111" s="67">
        <v>25.8</v>
      </c>
      <c r="I111" s="60" t="s">
        <v>58</v>
      </c>
      <c r="J111" s="60">
        <v>1</v>
      </c>
      <c r="K111" s="61">
        <v>94600</v>
      </c>
      <c r="L111" s="60" t="s">
        <v>291</v>
      </c>
      <c r="M111" s="50">
        <v>7.7167019027484143E-2</v>
      </c>
      <c r="N111" s="51">
        <v>6.765327695560254E-2</v>
      </c>
      <c r="O111" s="52">
        <f>K111*(4186.8*10^(-9)*10^(-3))</f>
        <v>3.9607128000000003E-4</v>
      </c>
      <c r="P111" s="52" t="s">
        <v>292</v>
      </c>
      <c r="Q111" s="47">
        <v>6800</v>
      </c>
      <c r="R111" s="47" t="s">
        <v>59</v>
      </c>
      <c r="S111" s="47" t="s">
        <v>286</v>
      </c>
      <c r="T111" s="53">
        <f t="shared" si="1"/>
        <v>2.6932847040000003</v>
      </c>
      <c r="U111" s="54" t="s">
        <v>306</v>
      </c>
      <c r="V111" s="55">
        <v>7.7167019027484143E-2</v>
      </c>
      <c r="W111" s="56">
        <v>6.765327695560254E-2</v>
      </c>
      <c r="X111" s="57" t="s">
        <v>288</v>
      </c>
      <c r="Y111" s="58" t="s">
        <v>289</v>
      </c>
      <c r="Z111" s="46"/>
    </row>
    <row r="112" spans="2:26" ht="35" x14ac:dyDescent="0.4">
      <c r="B112" s="46" t="s">
        <v>281</v>
      </c>
      <c r="C112" s="46" t="s">
        <v>282</v>
      </c>
      <c r="D112" s="47" t="s">
        <v>294</v>
      </c>
      <c r="E112" s="46" t="s">
        <v>331</v>
      </c>
      <c r="F112" s="47" t="s">
        <v>94</v>
      </c>
      <c r="G112" s="49" t="s">
        <v>57</v>
      </c>
      <c r="H112" s="67">
        <v>1.5</v>
      </c>
      <c r="I112" s="62" t="s">
        <v>295</v>
      </c>
      <c r="J112" s="46"/>
      <c r="K112" s="46"/>
      <c r="L112" s="46"/>
      <c r="M112" s="50">
        <v>0.66666666666666663</v>
      </c>
      <c r="N112" s="51">
        <v>2.3333333333333335</v>
      </c>
      <c r="O112" s="52">
        <f>H112*4186.8*10^(-9)*10^(-3)</f>
        <v>6.2802000000000015E-9</v>
      </c>
      <c r="P112" s="52" t="s">
        <v>296</v>
      </c>
      <c r="Q112" s="47">
        <v>6800</v>
      </c>
      <c r="R112" s="47" t="s">
        <v>59</v>
      </c>
      <c r="S112" s="47" t="s">
        <v>286</v>
      </c>
      <c r="T112" s="53">
        <f t="shared" si="1"/>
        <v>4.270536000000001E-5</v>
      </c>
      <c r="U112" s="54" t="s">
        <v>307</v>
      </c>
      <c r="V112" s="55">
        <v>0.66666666666666663</v>
      </c>
      <c r="W112" s="56">
        <v>2.3333333333333335</v>
      </c>
      <c r="X112" s="57" t="s">
        <v>288</v>
      </c>
      <c r="Y112" s="58" t="s">
        <v>289</v>
      </c>
      <c r="Z112" s="46"/>
    </row>
    <row r="113" spans="2:26" ht="35" x14ac:dyDescent="0.4">
      <c r="B113" s="46" t="s">
        <v>281</v>
      </c>
      <c r="C113" s="46" t="s">
        <v>282</v>
      </c>
      <c r="D113" s="47" t="s">
        <v>283</v>
      </c>
      <c r="E113" s="46" t="s">
        <v>332</v>
      </c>
      <c r="F113" s="47" t="s">
        <v>93</v>
      </c>
      <c r="G113" s="49" t="s">
        <v>57</v>
      </c>
      <c r="H113" s="49">
        <v>1</v>
      </c>
      <c r="I113" s="49" t="s">
        <v>284</v>
      </c>
      <c r="J113" s="46"/>
      <c r="K113" s="46"/>
      <c r="L113" s="46"/>
      <c r="M113" s="50">
        <v>0.7</v>
      </c>
      <c r="N113" s="51">
        <v>2</v>
      </c>
      <c r="O113" s="52">
        <f>H113*4186.8*10^(-9)*10^(-3)</f>
        <v>4.1868000000000005E-9</v>
      </c>
      <c r="P113" s="52" t="s">
        <v>285</v>
      </c>
      <c r="Q113" s="66">
        <v>5890</v>
      </c>
      <c r="R113" s="47" t="s">
        <v>59</v>
      </c>
      <c r="S113" s="47" t="s">
        <v>286</v>
      </c>
      <c r="T113" s="53">
        <f t="shared" si="1"/>
        <v>2.4660252000000004E-5</v>
      </c>
      <c r="U113" s="54" t="s">
        <v>305</v>
      </c>
      <c r="V113" s="55">
        <v>0.7</v>
      </c>
      <c r="W113" s="56">
        <v>2</v>
      </c>
      <c r="X113" s="57" t="s">
        <v>288</v>
      </c>
      <c r="Y113" s="58" t="s">
        <v>289</v>
      </c>
      <c r="Z113" s="68"/>
    </row>
    <row r="114" spans="2:26" ht="35" x14ac:dyDescent="0.4">
      <c r="B114" s="46" t="s">
        <v>281</v>
      </c>
      <c r="C114" s="46" t="s">
        <v>282</v>
      </c>
      <c r="D114" s="47" t="s">
        <v>290</v>
      </c>
      <c r="E114" s="46" t="s">
        <v>332</v>
      </c>
      <c r="F114" s="111" t="s">
        <v>530</v>
      </c>
      <c r="G114" s="49" t="s">
        <v>57</v>
      </c>
      <c r="H114" s="67">
        <v>25.8</v>
      </c>
      <c r="I114" s="60" t="s">
        <v>58</v>
      </c>
      <c r="J114" s="60">
        <v>1</v>
      </c>
      <c r="K114" s="61">
        <v>94600</v>
      </c>
      <c r="L114" s="60" t="s">
        <v>291</v>
      </c>
      <c r="M114" s="50">
        <v>7.7167019027484143E-2</v>
      </c>
      <c r="N114" s="51">
        <v>6.765327695560254E-2</v>
      </c>
      <c r="O114" s="52">
        <f>K114*(4186.8*10^(-9)*10^(-3))</f>
        <v>3.9607128000000003E-4</v>
      </c>
      <c r="P114" s="52" t="s">
        <v>292</v>
      </c>
      <c r="Q114" s="66">
        <v>5890</v>
      </c>
      <c r="R114" s="47" t="s">
        <v>59</v>
      </c>
      <c r="S114" s="47" t="s">
        <v>286</v>
      </c>
      <c r="T114" s="53">
        <f t="shared" si="1"/>
        <v>2.3328598392000002</v>
      </c>
      <c r="U114" s="54" t="s">
        <v>306</v>
      </c>
      <c r="V114" s="55">
        <v>7.7167019027484143E-2</v>
      </c>
      <c r="W114" s="56">
        <v>6.765327695560254E-2</v>
      </c>
      <c r="X114" s="57" t="s">
        <v>288</v>
      </c>
      <c r="Y114" s="58" t="s">
        <v>289</v>
      </c>
      <c r="Z114" s="68"/>
    </row>
    <row r="115" spans="2:26" ht="35" x14ac:dyDescent="0.4">
      <c r="B115" s="46" t="s">
        <v>281</v>
      </c>
      <c r="C115" s="46" t="s">
        <v>282</v>
      </c>
      <c r="D115" s="47" t="s">
        <v>294</v>
      </c>
      <c r="E115" s="46" t="s">
        <v>332</v>
      </c>
      <c r="F115" s="47" t="s">
        <v>93</v>
      </c>
      <c r="G115" s="49" t="s">
        <v>57</v>
      </c>
      <c r="H115" s="67">
        <v>1.5</v>
      </c>
      <c r="I115" s="62" t="s">
        <v>295</v>
      </c>
      <c r="J115" s="46"/>
      <c r="K115" s="46"/>
      <c r="L115" s="46"/>
      <c r="M115" s="50">
        <v>0.66666666666666663</v>
      </c>
      <c r="N115" s="51">
        <v>2.3333333333333335</v>
      </c>
      <c r="O115" s="52">
        <f>H115*4186.8*10^(-9)*10^(-3)</f>
        <v>6.2802000000000015E-9</v>
      </c>
      <c r="P115" s="52" t="s">
        <v>296</v>
      </c>
      <c r="Q115" s="66">
        <v>5890</v>
      </c>
      <c r="R115" s="47" t="s">
        <v>59</v>
      </c>
      <c r="S115" s="47" t="s">
        <v>286</v>
      </c>
      <c r="T115" s="53">
        <f t="shared" si="1"/>
        <v>3.6990378000000011E-5</v>
      </c>
      <c r="U115" s="54" t="s">
        <v>307</v>
      </c>
      <c r="V115" s="55">
        <v>0.66666666666666663</v>
      </c>
      <c r="W115" s="56">
        <v>2.3333333333333335</v>
      </c>
      <c r="X115" s="57" t="s">
        <v>288</v>
      </c>
      <c r="Y115" s="58" t="s">
        <v>289</v>
      </c>
      <c r="Z115" s="68"/>
    </row>
    <row r="116" spans="2:26" ht="17.5" x14ac:dyDescent="0.4">
      <c r="B116" s="46" t="s">
        <v>281</v>
      </c>
      <c r="C116" s="46" t="s">
        <v>282</v>
      </c>
      <c r="D116" s="47" t="s">
        <v>283</v>
      </c>
      <c r="E116" s="46" t="s">
        <v>333</v>
      </c>
      <c r="F116" s="46" t="s">
        <v>88</v>
      </c>
      <c r="G116" s="46">
        <v>0</v>
      </c>
      <c r="H116" s="46" t="s">
        <v>334</v>
      </c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64"/>
      <c r="U116" s="46"/>
      <c r="V116" s="46"/>
      <c r="W116" s="46"/>
      <c r="X116" s="65"/>
      <c r="Y116" s="65"/>
      <c r="Z116" s="46"/>
    </row>
    <row r="117" spans="2:26" ht="17.5" x14ac:dyDescent="0.4">
      <c r="B117" s="46" t="s">
        <v>281</v>
      </c>
      <c r="C117" s="46" t="s">
        <v>282</v>
      </c>
      <c r="D117" s="47" t="s">
        <v>290</v>
      </c>
      <c r="E117" s="46" t="s">
        <v>333</v>
      </c>
      <c r="F117" s="46" t="s">
        <v>88</v>
      </c>
      <c r="G117" s="46">
        <v>0</v>
      </c>
      <c r="H117" s="46" t="s">
        <v>334</v>
      </c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64"/>
      <c r="U117" s="46"/>
      <c r="V117" s="46"/>
      <c r="W117" s="46"/>
      <c r="X117" s="65"/>
      <c r="Y117" s="65"/>
      <c r="Z117" s="46"/>
    </row>
    <row r="118" spans="2:26" ht="17.5" x14ac:dyDescent="0.4">
      <c r="B118" s="46" t="s">
        <v>281</v>
      </c>
      <c r="C118" s="46" t="s">
        <v>282</v>
      </c>
      <c r="D118" s="47" t="s">
        <v>294</v>
      </c>
      <c r="E118" s="46" t="s">
        <v>333</v>
      </c>
      <c r="F118" s="46" t="s">
        <v>88</v>
      </c>
      <c r="G118" s="46">
        <v>0</v>
      </c>
      <c r="H118" s="46" t="s">
        <v>334</v>
      </c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64"/>
      <c r="U118" s="46"/>
      <c r="V118" s="46"/>
      <c r="W118" s="46"/>
      <c r="X118" s="65"/>
      <c r="Y118" s="65"/>
      <c r="Z118" s="46"/>
    </row>
    <row r="119" spans="2:26" ht="17.5" x14ac:dyDescent="0.4">
      <c r="B119" s="46" t="s">
        <v>281</v>
      </c>
      <c r="C119" s="46" t="s">
        <v>282</v>
      </c>
      <c r="D119" s="47" t="s">
        <v>283</v>
      </c>
      <c r="E119" s="46" t="s">
        <v>335</v>
      </c>
      <c r="F119" s="48" t="s">
        <v>107</v>
      </c>
      <c r="G119" s="49" t="s">
        <v>73</v>
      </c>
      <c r="H119" s="49">
        <v>3</v>
      </c>
      <c r="I119" s="49" t="s">
        <v>284</v>
      </c>
      <c r="J119" s="46"/>
      <c r="K119" s="46"/>
      <c r="L119" s="46"/>
      <c r="M119" s="50">
        <v>0.66666666666666663</v>
      </c>
      <c r="N119" s="51">
        <v>2.3333333333333335</v>
      </c>
      <c r="O119" s="52">
        <f>H119*4186.8*10^(-9)*10^(-3)</f>
        <v>1.2560400000000003E-8</v>
      </c>
      <c r="P119" s="52" t="s">
        <v>285</v>
      </c>
      <c r="Q119" s="47">
        <v>8598</v>
      </c>
      <c r="R119" s="47" t="s">
        <v>59</v>
      </c>
      <c r="S119" s="47" t="s">
        <v>317</v>
      </c>
      <c r="T119" s="53">
        <f t="shared" ref="T119:T127" si="2">O119*Q119</f>
        <v>1.0799431920000003E-4</v>
      </c>
      <c r="U119" s="54" t="s">
        <v>305</v>
      </c>
      <c r="V119" s="55">
        <v>0.66666666666666663</v>
      </c>
      <c r="W119" s="56">
        <v>2.3333333333333335</v>
      </c>
      <c r="X119" s="58" t="s">
        <v>289</v>
      </c>
      <c r="Y119" s="58" t="s">
        <v>289</v>
      </c>
      <c r="Z119" s="46"/>
    </row>
    <row r="120" spans="2:26" ht="17.5" x14ac:dyDescent="0.4">
      <c r="B120" s="46" t="s">
        <v>281</v>
      </c>
      <c r="C120" s="46" t="s">
        <v>282</v>
      </c>
      <c r="D120" s="47" t="s">
        <v>290</v>
      </c>
      <c r="E120" s="46" t="s">
        <v>335</v>
      </c>
      <c r="F120" s="109" t="s">
        <v>531</v>
      </c>
      <c r="G120" s="49" t="s">
        <v>73</v>
      </c>
      <c r="H120" s="59">
        <v>20</v>
      </c>
      <c r="I120" s="60" t="s">
        <v>58</v>
      </c>
      <c r="J120" s="60">
        <v>1</v>
      </c>
      <c r="K120" s="61">
        <v>73300</v>
      </c>
      <c r="L120" s="60" t="s">
        <v>291</v>
      </c>
      <c r="M120" s="50">
        <v>7.5034106412005461E-2</v>
      </c>
      <c r="N120" s="51">
        <v>8.0491132332878579E-2</v>
      </c>
      <c r="O120" s="52">
        <f>K120*(4186.8*10^(-9)*10^(-3))</f>
        <v>3.0689244000000005E-4</v>
      </c>
      <c r="P120" s="52" t="s">
        <v>292</v>
      </c>
      <c r="Q120" s="47">
        <v>9106</v>
      </c>
      <c r="R120" s="47" t="s">
        <v>59</v>
      </c>
      <c r="S120" s="47" t="s">
        <v>317</v>
      </c>
      <c r="T120" s="53">
        <f t="shared" si="2"/>
        <v>2.7945625586400005</v>
      </c>
      <c r="U120" s="54" t="s">
        <v>306</v>
      </c>
      <c r="V120" s="55">
        <v>7.5034106412005461E-2</v>
      </c>
      <c r="W120" s="56">
        <v>8.0491132332878579E-2</v>
      </c>
      <c r="X120" s="58" t="s">
        <v>289</v>
      </c>
      <c r="Y120" s="58" t="s">
        <v>289</v>
      </c>
      <c r="Z120" s="46"/>
    </row>
    <row r="121" spans="2:26" ht="17.5" x14ac:dyDescent="0.4">
      <c r="B121" s="46" t="s">
        <v>281</v>
      </c>
      <c r="C121" s="46" t="s">
        <v>282</v>
      </c>
      <c r="D121" s="47" t="s">
        <v>294</v>
      </c>
      <c r="E121" s="46" t="s">
        <v>335</v>
      </c>
      <c r="F121" s="48" t="s">
        <v>107</v>
      </c>
      <c r="G121" s="49" t="s">
        <v>73</v>
      </c>
      <c r="H121" s="59">
        <v>0.6</v>
      </c>
      <c r="I121" s="62" t="s">
        <v>295</v>
      </c>
      <c r="J121" s="46"/>
      <c r="K121" s="46"/>
      <c r="L121" s="46"/>
      <c r="M121" s="50">
        <v>0.66666666666666663</v>
      </c>
      <c r="N121" s="51">
        <v>2.3333333333333335</v>
      </c>
      <c r="O121" s="52">
        <f>H121*4186.8*10^(-9)*10^(-3)</f>
        <v>2.5120799999999999E-9</v>
      </c>
      <c r="P121" s="52" t="s">
        <v>296</v>
      </c>
      <c r="Q121" s="47">
        <v>8598</v>
      </c>
      <c r="R121" s="47" t="s">
        <v>59</v>
      </c>
      <c r="S121" s="47" t="s">
        <v>317</v>
      </c>
      <c r="T121" s="53">
        <f t="shared" si="2"/>
        <v>2.1598863839999998E-5</v>
      </c>
      <c r="U121" s="54" t="s">
        <v>307</v>
      </c>
      <c r="V121" s="55">
        <v>0.66666666666666663</v>
      </c>
      <c r="W121" s="56">
        <v>2.3333333333333335</v>
      </c>
      <c r="X121" s="58" t="s">
        <v>289</v>
      </c>
      <c r="Y121" s="58" t="s">
        <v>289</v>
      </c>
      <c r="Z121" s="46"/>
    </row>
    <row r="122" spans="2:26" ht="17.5" x14ac:dyDescent="0.4">
      <c r="B122" s="46" t="s">
        <v>281</v>
      </c>
      <c r="C122" s="46" t="s">
        <v>282</v>
      </c>
      <c r="D122" s="47" t="s">
        <v>283</v>
      </c>
      <c r="E122" s="46" t="s">
        <v>336</v>
      </c>
      <c r="F122" s="48" t="s">
        <v>105</v>
      </c>
      <c r="G122" s="49" t="s">
        <v>71</v>
      </c>
      <c r="H122" s="49">
        <v>3</v>
      </c>
      <c r="I122" s="49" t="s">
        <v>284</v>
      </c>
      <c r="J122" s="46"/>
      <c r="K122" s="46"/>
      <c r="L122" s="46"/>
      <c r="M122" s="50">
        <v>0.66666666666666663</v>
      </c>
      <c r="N122" s="51">
        <v>2.3333333333333335</v>
      </c>
      <c r="O122" s="52">
        <f>H122*4186.8*10^(-9)*10^(-3)</f>
        <v>1.2560400000000003E-8</v>
      </c>
      <c r="P122" s="52" t="s">
        <v>285</v>
      </c>
      <c r="Q122" s="47">
        <v>6573</v>
      </c>
      <c r="R122" s="47" t="s">
        <v>59</v>
      </c>
      <c r="S122" s="47" t="s">
        <v>317</v>
      </c>
      <c r="T122" s="53">
        <f t="shared" si="2"/>
        <v>8.2559509200000016E-5</v>
      </c>
      <c r="U122" s="54" t="s">
        <v>305</v>
      </c>
      <c r="V122" s="55">
        <v>0.66666666666666663</v>
      </c>
      <c r="W122" s="56">
        <v>2.3333333333333335</v>
      </c>
      <c r="X122" s="58" t="s">
        <v>289</v>
      </c>
      <c r="Y122" s="58" t="s">
        <v>289</v>
      </c>
      <c r="Z122" s="46"/>
    </row>
    <row r="123" spans="2:26" ht="17.5" x14ac:dyDescent="0.4">
      <c r="B123" s="46" t="s">
        <v>281</v>
      </c>
      <c r="C123" s="46" t="s">
        <v>282</v>
      </c>
      <c r="D123" s="47" t="s">
        <v>290</v>
      </c>
      <c r="E123" s="46" t="s">
        <v>336</v>
      </c>
      <c r="F123" s="109" t="s">
        <v>532</v>
      </c>
      <c r="G123" s="49" t="s">
        <v>71</v>
      </c>
      <c r="H123" s="59">
        <v>21</v>
      </c>
      <c r="I123" s="60" t="s">
        <v>58</v>
      </c>
      <c r="J123" s="60">
        <v>1</v>
      </c>
      <c r="K123" s="61">
        <v>77000</v>
      </c>
      <c r="L123" s="60" t="s">
        <v>291</v>
      </c>
      <c r="M123" s="50">
        <v>0.1</v>
      </c>
      <c r="N123" s="51">
        <v>0.10909090909090909</v>
      </c>
      <c r="O123" s="52">
        <f>K123*(4186.8*10^(-9)*10^(-3))</f>
        <v>3.2238360000000002E-4</v>
      </c>
      <c r="P123" s="52" t="s">
        <v>292</v>
      </c>
      <c r="Q123" s="47">
        <v>6573</v>
      </c>
      <c r="R123" s="47" t="s">
        <v>59</v>
      </c>
      <c r="S123" s="47" t="s">
        <v>317</v>
      </c>
      <c r="T123" s="53">
        <f t="shared" si="2"/>
        <v>2.1190274028</v>
      </c>
      <c r="U123" s="54" t="s">
        <v>306</v>
      </c>
      <c r="V123" s="55">
        <v>0.1</v>
      </c>
      <c r="W123" s="56">
        <v>0.10909090909090909</v>
      </c>
      <c r="X123" s="58" t="s">
        <v>289</v>
      </c>
      <c r="Y123" s="58" t="s">
        <v>289</v>
      </c>
      <c r="Z123" s="46"/>
    </row>
    <row r="124" spans="2:26" ht="17.5" x14ac:dyDescent="0.4">
      <c r="B124" s="46" t="s">
        <v>281</v>
      </c>
      <c r="C124" s="46" t="s">
        <v>282</v>
      </c>
      <c r="D124" s="47" t="s">
        <v>294</v>
      </c>
      <c r="E124" s="46" t="s">
        <v>336</v>
      </c>
      <c r="F124" s="48" t="s">
        <v>105</v>
      </c>
      <c r="G124" s="49" t="s">
        <v>71</v>
      </c>
      <c r="H124" s="59">
        <v>0.6</v>
      </c>
      <c r="I124" s="62" t="s">
        <v>295</v>
      </c>
      <c r="J124" s="46"/>
      <c r="K124" s="46"/>
      <c r="L124" s="46"/>
      <c r="M124" s="50">
        <v>0.66666666666666663</v>
      </c>
      <c r="N124" s="51">
        <v>2.3333333333333335</v>
      </c>
      <c r="O124" s="52">
        <f>H124*4186.8*10^(-9)*10^(-3)</f>
        <v>2.5120799999999999E-9</v>
      </c>
      <c r="P124" s="52" t="s">
        <v>296</v>
      </c>
      <c r="Q124" s="47">
        <v>6573</v>
      </c>
      <c r="R124" s="47" t="s">
        <v>59</v>
      </c>
      <c r="S124" s="47" t="s">
        <v>317</v>
      </c>
      <c r="T124" s="53">
        <f t="shared" si="2"/>
        <v>1.6511901839999998E-5</v>
      </c>
      <c r="U124" s="54" t="s">
        <v>307</v>
      </c>
      <c r="V124" s="55">
        <v>0.66666666666666663</v>
      </c>
      <c r="W124" s="56">
        <v>2.3333333333333335</v>
      </c>
      <c r="X124" s="58" t="s">
        <v>289</v>
      </c>
      <c r="Y124" s="58" t="s">
        <v>289</v>
      </c>
      <c r="Z124" s="46"/>
    </row>
    <row r="125" spans="2:26" ht="35" x14ac:dyDescent="0.4">
      <c r="B125" s="46" t="s">
        <v>281</v>
      </c>
      <c r="C125" s="46" t="s">
        <v>282</v>
      </c>
      <c r="D125" s="47" t="s">
        <v>283</v>
      </c>
      <c r="E125" s="46" t="s">
        <v>114</v>
      </c>
      <c r="F125" s="48" t="s">
        <v>114</v>
      </c>
      <c r="G125" s="49" t="s">
        <v>80</v>
      </c>
      <c r="H125" s="49">
        <v>3</v>
      </c>
      <c r="I125" s="49" t="s">
        <v>284</v>
      </c>
      <c r="J125" s="46"/>
      <c r="K125" s="46"/>
      <c r="L125" s="46"/>
      <c r="M125" s="50">
        <v>0.66666666666666663</v>
      </c>
      <c r="N125" s="51">
        <v>2.3333333333333335</v>
      </c>
      <c r="O125" s="52">
        <f>H125*4186.8*10^(-9)*10^(-3)</f>
        <v>1.2560400000000003E-8</v>
      </c>
      <c r="P125" s="52" t="s">
        <v>285</v>
      </c>
      <c r="Q125" s="47">
        <v>9000</v>
      </c>
      <c r="R125" s="47" t="s">
        <v>68</v>
      </c>
      <c r="S125" s="47" t="s">
        <v>286</v>
      </c>
      <c r="T125" s="53">
        <f t="shared" si="2"/>
        <v>1.1304360000000002E-4</v>
      </c>
      <c r="U125" s="54" t="s">
        <v>287</v>
      </c>
      <c r="V125" s="55">
        <v>0.66666666666666663</v>
      </c>
      <c r="W125" s="56">
        <v>2.3333333333333335</v>
      </c>
      <c r="X125" s="57" t="s">
        <v>288</v>
      </c>
      <c r="Y125" s="58" t="s">
        <v>289</v>
      </c>
      <c r="Z125" s="46"/>
    </row>
    <row r="126" spans="2:26" ht="35" x14ac:dyDescent="0.4">
      <c r="B126" s="46" t="s">
        <v>281</v>
      </c>
      <c r="C126" s="46" t="s">
        <v>282</v>
      </c>
      <c r="D126" s="47" t="s">
        <v>290</v>
      </c>
      <c r="E126" s="46" t="s">
        <v>114</v>
      </c>
      <c r="F126" s="109" t="s">
        <v>533</v>
      </c>
      <c r="G126" s="49" t="s">
        <v>80</v>
      </c>
      <c r="H126" s="59">
        <v>20</v>
      </c>
      <c r="I126" s="60" t="s">
        <v>58</v>
      </c>
      <c r="J126" s="60">
        <v>1</v>
      </c>
      <c r="K126" s="61">
        <v>73300</v>
      </c>
      <c r="L126" s="60" t="s">
        <v>291</v>
      </c>
      <c r="M126" s="50">
        <v>1.5006821282401092E-2</v>
      </c>
      <c r="N126" s="51">
        <v>1.5006821282401092E-2</v>
      </c>
      <c r="O126" s="52">
        <f>K126*(4186.8*10^(-9)*10^(-3))</f>
        <v>3.0689244000000005E-4</v>
      </c>
      <c r="P126" s="52" t="s">
        <v>292</v>
      </c>
      <c r="Q126" s="47">
        <v>9000</v>
      </c>
      <c r="R126" s="47" t="s">
        <v>68</v>
      </c>
      <c r="S126" s="47" t="s">
        <v>286</v>
      </c>
      <c r="T126" s="53">
        <f t="shared" si="2"/>
        <v>2.7620319600000003</v>
      </c>
      <c r="U126" s="54" t="s">
        <v>293</v>
      </c>
      <c r="V126" s="55">
        <v>1.5006821282401092E-2</v>
      </c>
      <c r="W126" s="56">
        <v>1.5006821282401092E-2</v>
      </c>
      <c r="X126" s="57" t="s">
        <v>288</v>
      </c>
      <c r="Y126" s="58" t="s">
        <v>289</v>
      </c>
      <c r="Z126" s="46"/>
    </row>
    <row r="127" spans="2:26" ht="35" x14ac:dyDescent="0.4">
      <c r="B127" s="46" t="s">
        <v>281</v>
      </c>
      <c r="C127" s="46" t="s">
        <v>282</v>
      </c>
      <c r="D127" s="47" t="s">
        <v>294</v>
      </c>
      <c r="E127" s="46" t="s">
        <v>114</v>
      </c>
      <c r="F127" s="48" t="s">
        <v>114</v>
      </c>
      <c r="G127" s="49" t="s">
        <v>80</v>
      </c>
      <c r="H127" s="59">
        <v>0.6</v>
      </c>
      <c r="I127" s="62" t="s">
        <v>295</v>
      </c>
      <c r="J127" s="46"/>
      <c r="K127" s="46"/>
      <c r="L127" s="46"/>
      <c r="M127" s="50">
        <v>0.66666666666666663</v>
      </c>
      <c r="N127" s="51">
        <v>2.3333333333333335</v>
      </c>
      <c r="O127" s="52">
        <f>H127*4186.8*10^(-9)*10^(-3)</f>
        <v>2.5120799999999999E-9</v>
      </c>
      <c r="P127" s="52" t="s">
        <v>296</v>
      </c>
      <c r="Q127" s="47">
        <v>9000</v>
      </c>
      <c r="R127" s="47" t="s">
        <v>68</v>
      </c>
      <c r="S127" s="47" t="s">
        <v>286</v>
      </c>
      <c r="T127" s="53">
        <f t="shared" si="2"/>
        <v>2.2608719999999997E-5</v>
      </c>
      <c r="U127" s="54" t="s">
        <v>297</v>
      </c>
      <c r="V127" s="55">
        <v>0.66666666666666663</v>
      </c>
      <c r="W127" s="56">
        <v>2.3333333333333335</v>
      </c>
      <c r="X127" s="57" t="s">
        <v>288</v>
      </c>
      <c r="Y127" s="58" t="s">
        <v>289</v>
      </c>
      <c r="Z127" s="46"/>
    </row>
    <row r="128" spans="2:26" ht="17.5" x14ac:dyDescent="0.4">
      <c r="B128" s="46" t="s">
        <v>281</v>
      </c>
      <c r="C128" s="46" t="s">
        <v>282</v>
      </c>
      <c r="D128" s="47" t="s">
        <v>283</v>
      </c>
      <c r="E128" s="46" t="s">
        <v>337</v>
      </c>
      <c r="F128" s="48" t="s">
        <v>121</v>
      </c>
      <c r="G128" s="49" t="s">
        <v>86</v>
      </c>
      <c r="H128" s="49">
        <v>30</v>
      </c>
      <c r="I128" s="49" t="s">
        <v>284</v>
      </c>
      <c r="J128" s="46"/>
      <c r="K128" s="46"/>
      <c r="L128" s="46"/>
      <c r="M128" s="50">
        <v>0.66666666666666663</v>
      </c>
      <c r="N128" s="51">
        <v>2.3333333333333335</v>
      </c>
      <c r="O128" s="52">
        <f>H128*4186.8*10^(-9)*10^(-3)</f>
        <v>1.2560399999999999E-7</v>
      </c>
      <c r="P128" s="52" t="s">
        <v>285</v>
      </c>
      <c r="Q128" s="69">
        <v>2029.61</v>
      </c>
      <c r="R128" s="47" t="s">
        <v>87</v>
      </c>
      <c r="S128" s="47" t="s">
        <v>338</v>
      </c>
      <c r="T128" s="70">
        <f>Q128*O128</f>
        <v>2.5492713443999999E-4</v>
      </c>
      <c r="U128" s="54" t="s">
        <v>305</v>
      </c>
      <c r="V128" s="55">
        <v>0.66666666666666663</v>
      </c>
      <c r="W128" s="56">
        <v>2.3333333333333335</v>
      </c>
      <c r="X128" s="57" t="s">
        <v>339</v>
      </c>
      <c r="Y128" s="58" t="s">
        <v>289</v>
      </c>
      <c r="Z128" s="71" t="s">
        <v>340</v>
      </c>
    </row>
    <row r="129" spans="2:26" ht="17.5" x14ac:dyDescent="0.4">
      <c r="B129" s="46" t="s">
        <v>281</v>
      </c>
      <c r="C129" s="46" t="s">
        <v>282</v>
      </c>
      <c r="D129" s="47" t="s">
        <v>290</v>
      </c>
      <c r="E129" s="46" t="s">
        <v>337</v>
      </c>
      <c r="F129" s="109" t="s">
        <v>534</v>
      </c>
      <c r="G129" s="49" t="s">
        <v>86</v>
      </c>
      <c r="H129" s="59">
        <v>25</v>
      </c>
      <c r="I129" s="60" t="s">
        <v>58</v>
      </c>
      <c r="J129" s="60">
        <v>1</v>
      </c>
      <c r="K129" s="61">
        <v>91700</v>
      </c>
      <c r="L129" s="60" t="s">
        <v>291</v>
      </c>
      <c r="M129" s="50">
        <v>0.20065430752453653</v>
      </c>
      <c r="N129" s="51">
        <v>0.31952017448200654</v>
      </c>
      <c r="O129" s="52">
        <f>K129*(4186.8*10^(-9)*10^(-3))</f>
        <v>3.8392956000000007E-4</v>
      </c>
      <c r="P129" s="52" t="s">
        <v>292</v>
      </c>
      <c r="Q129" s="69">
        <v>2029.61</v>
      </c>
      <c r="R129" s="47" t="s">
        <v>87</v>
      </c>
      <c r="S129" s="47" t="s">
        <v>338</v>
      </c>
      <c r="T129" s="70">
        <f>Q129*O129</f>
        <v>0.7792272742716001</v>
      </c>
      <c r="U129" s="54" t="s">
        <v>306</v>
      </c>
      <c r="V129" s="55">
        <v>0.20065430752453653</v>
      </c>
      <c r="W129" s="56">
        <v>0.31952017448200654</v>
      </c>
      <c r="X129" s="57" t="s">
        <v>339</v>
      </c>
      <c r="Y129" s="58" t="s">
        <v>289</v>
      </c>
      <c r="Z129" s="71" t="s">
        <v>340</v>
      </c>
    </row>
    <row r="130" spans="2:26" ht="17.5" x14ac:dyDescent="0.4">
      <c r="B130" s="46" t="s">
        <v>281</v>
      </c>
      <c r="C130" s="46" t="s">
        <v>282</v>
      </c>
      <c r="D130" s="47" t="s">
        <v>294</v>
      </c>
      <c r="E130" s="46" t="s">
        <v>337</v>
      </c>
      <c r="F130" s="48" t="s">
        <v>121</v>
      </c>
      <c r="G130" s="49" t="s">
        <v>86</v>
      </c>
      <c r="H130" s="59">
        <v>4</v>
      </c>
      <c r="I130" s="62" t="s">
        <v>295</v>
      </c>
      <c r="J130" s="46"/>
      <c r="K130" s="46"/>
      <c r="L130" s="46"/>
      <c r="M130" s="50">
        <v>0.625</v>
      </c>
      <c r="N130" s="51">
        <v>2.75</v>
      </c>
      <c r="O130" s="52">
        <f>H130*4186.8*10^(-9)*10^(-3)</f>
        <v>1.6747200000000002E-8</v>
      </c>
      <c r="P130" s="52" t="s">
        <v>296</v>
      </c>
      <c r="Q130" s="69">
        <v>2029.61</v>
      </c>
      <c r="R130" s="47" t="s">
        <v>87</v>
      </c>
      <c r="S130" s="47" t="s">
        <v>338</v>
      </c>
      <c r="T130" s="70">
        <f>Q130*O130</f>
        <v>3.3990284592000002E-5</v>
      </c>
      <c r="U130" s="54" t="s">
        <v>307</v>
      </c>
      <c r="V130" s="55">
        <v>0.625</v>
      </c>
      <c r="W130" s="56">
        <v>2.75</v>
      </c>
      <c r="X130" s="57" t="s">
        <v>339</v>
      </c>
      <c r="Y130" s="58" t="s">
        <v>289</v>
      </c>
      <c r="Z130" s="71" t="s">
        <v>340</v>
      </c>
    </row>
    <row r="131" spans="2:26" ht="17.5" x14ac:dyDescent="0.4">
      <c r="B131" s="46" t="s">
        <v>281</v>
      </c>
      <c r="C131" s="46" t="s">
        <v>282</v>
      </c>
      <c r="D131" s="47" t="s">
        <v>283</v>
      </c>
      <c r="E131" s="46" t="s">
        <v>124</v>
      </c>
      <c r="F131" s="48" t="s">
        <v>124</v>
      </c>
      <c r="G131" s="49" t="s">
        <v>91</v>
      </c>
      <c r="H131" s="49">
        <v>1</v>
      </c>
      <c r="I131" s="49" t="s">
        <v>284</v>
      </c>
      <c r="J131" s="46"/>
      <c r="K131" s="46"/>
      <c r="L131" s="46"/>
      <c r="M131" s="50">
        <v>0.7</v>
      </c>
      <c r="N131" s="51">
        <v>2</v>
      </c>
      <c r="O131" s="52">
        <f>H131*4186.8*10^(-9)*10^(-3)</f>
        <v>4.1868000000000005E-9</v>
      </c>
      <c r="P131" s="52" t="s">
        <v>285</v>
      </c>
      <c r="Q131" s="47" t="s">
        <v>88</v>
      </c>
      <c r="R131" s="47" t="s">
        <v>88</v>
      </c>
      <c r="S131" s="47" t="s">
        <v>88</v>
      </c>
      <c r="T131" s="53" t="s">
        <v>88</v>
      </c>
      <c r="U131" s="72" t="s">
        <v>88</v>
      </c>
      <c r="V131" s="72" t="s">
        <v>88</v>
      </c>
      <c r="W131" s="72" t="s">
        <v>88</v>
      </c>
      <c r="X131" s="73"/>
      <c r="Y131" s="73"/>
      <c r="Z131" s="46"/>
    </row>
    <row r="132" spans="2:26" ht="17.5" x14ac:dyDescent="0.4">
      <c r="B132" s="46" t="s">
        <v>281</v>
      </c>
      <c r="C132" s="46" t="s">
        <v>282</v>
      </c>
      <c r="D132" s="47" t="s">
        <v>290</v>
      </c>
      <c r="E132" s="46" t="s">
        <v>124</v>
      </c>
      <c r="F132" s="109" t="s">
        <v>535</v>
      </c>
      <c r="G132" s="49" t="s">
        <v>91</v>
      </c>
      <c r="H132" s="59">
        <v>14.9</v>
      </c>
      <c r="I132" s="60" t="s">
        <v>58</v>
      </c>
      <c r="J132" s="60">
        <v>1</v>
      </c>
      <c r="K132" s="61">
        <v>54600</v>
      </c>
      <c r="L132" s="60" t="s">
        <v>291</v>
      </c>
      <c r="M132" s="50">
        <v>0.15384615384615385</v>
      </c>
      <c r="N132" s="51">
        <v>0.2087912087912088</v>
      </c>
      <c r="O132" s="52">
        <f>K132*(4186.8*10^(-9)*10^(-3))</f>
        <v>2.2859928000000003E-4</v>
      </c>
      <c r="P132" s="52" t="s">
        <v>292</v>
      </c>
      <c r="Q132" s="47" t="s">
        <v>88</v>
      </c>
      <c r="R132" s="47" t="s">
        <v>88</v>
      </c>
      <c r="S132" s="47" t="s">
        <v>88</v>
      </c>
      <c r="T132" s="53" t="s">
        <v>88</v>
      </c>
      <c r="U132" s="72" t="s">
        <v>88</v>
      </c>
      <c r="V132" s="72" t="s">
        <v>88</v>
      </c>
      <c r="W132" s="72" t="s">
        <v>88</v>
      </c>
      <c r="X132" s="73"/>
      <c r="Y132" s="73"/>
      <c r="Z132" s="46"/>
    </row>
    <row r="133" spans="2:26" ht="17.5" x14ac:dyDescent="0.4">
      <c r="B133" s="46" t="s">
        <v>281</v>
      </c>
      <c r="C133" s="46" t="s">
        <v>282</v>
      </c>
      <c r="D133" s="47" t="s">
        <v>294</v>
      </c>
      <c r="E133" s="46" t="s">
        <v>124</v>
      </c>
      <c r="F133" s="48" t="s">
        <v>124</v>
      </c>
      <c r="G133" s="49" t="s">
        <v>91</v>
      </c>
      <c r="H133" s="59">
        <v>0.1</v>
      </c>
      <c r="I133" s="62" t="s">
        <v>295</v>
      </c>
      <c r="J133" s="46"/>
      <c r="K133" s="46"/>
      <c r="L133" s="46"/>
      <c r="M133" s="50">
        <v>0.7</v>
      </c>
      <c r="N133" s="51">
        <v>2</v>
      </c>
      <c r="O133" s="52">
        <f>H133*4186.8*10^(-9)*10^(-3)</f>
        <v>4.186800000000001E-10</v>
      </c>
      <c r="P133" s="52" t="s">
        <v>296</v>
      </c>
      <c r="Q133" s="47" t="s">
        <v>88</v>
      </c>
      <c r="R133" s="47" t="s">
        <v>88</v>
      </c>
      <c r="S133" s="47" t="s">
        <v>88</v>
      </c>
      <c r="T133" s="53" t="s">
        <v>88</v>
      </c>
      <c r="U133" s="72" t="s">
        <v>88</v>
      </c>
      <c r="V133" s="72" t="s">
        <v>88</v>
      </c>
      <c r="W133" s="72" t="s">
        <v>88</v>
      </c>
      <c r="X133" s="73"/>
      <c r="Y133" s="73"/>
      <c r="Z133" s="46"/>
    </row>
    <row r="134" spans="2:26" ht="35" x14ac:dyDescent="0.4">
      <c r="B134" s="46" t="s">
        <v>281</v>
      </c>
      <c r="C134" s="46" t="s">
        <v>282</v>
      </c>
      <c r="D134" s="47" t="s">
        <v>283</v>
      </c>
      <c r="E134" s="46" t="s">
        <v>123</v>
      </c>
      <c r="F134" s="48" t="s">
        <v>123</v>
      </c>
      <c r="G134" s="49" t="s">
        <v>90</v>
      </c>
      <c r="H134" s="49">
        <v>3</v>
      </c>
      <c r="I134" s="49" t="s">
        <v>284</v>
      </c>
      <c r="J134" s="46"/>
      <c r="K134" s="46"/>
      <c r="L134" s="46"/>
      <c r="M134" s="50">
        <v>0.66666666666666663</v>
      </c>
      <c r="N134" s="51">
        <v>2.3333333333333335</v>
      </c>
      <c r="O134" s="52">
        <f>H134*4186.8*10^(-9)*10^(-3)</f>
        <v>1.2560400000000003E-8</v>
      </c>
      <c r="P134" s="52" t="s">
        <v>285</v>
      </c>
      <c r="Q134" s="47" t="s">
        <v>88</v>
      </c>
      <c r="R134" s="47" t="s">
        <v>88</v>
      </c>
      <c r="S134" s="47" t="s">
        <v>88</v>
      </c>
      <c r="T134" s="53" t="s">
        <v>88</v>
      </c>
      <c r="U134" s="72" t="s">
        <v>88</v>
      </c>
      <c r="V134" s="72" t="s">
        <v>88</v>
      </c>
      <c r="W134" s="72" t="s">
        <v>88</v>
      </c>
      <c r="X134" s="73"/>
      <c r="Y134" s="73"/>
      <c r="Z134" s="46"/>
    </row>
    <row r="135" spans="2:26" ht="35" x14ac:dyDescent="0.4">
      <c r="B135" s="46" t="s">
        <v>281</v>
      </c>
      <c r="C135" s="46" t="s">
        <v>282</v>
      </c>
      <c r="D135" s="47" t="s">
        <v>290</v>
      </c>
      <c r="E135" s="46" t="s">
        <v>123</v>
      </c>
      <c r="F135" s="48" t="s">
        <v>123</v>
      </c>
      <c r="G135" s="49" t="s">
        <v>90</v>
      </c>
      <c r="H135" s="59">
        <v>21.7</v>
      </c>
      <c r="I135" s="60" t="s">
        <v>58</v>
      </c>
      <c r="J135" s="60">
        <v>1</v>
      </c>
      <c r="K135" s="61">
        <v>79600</v>
      </c>
      <c r="L135" s="60" t="s">
        <v>291</v>
      </c>
      <c r="M135" s="50">
        <v>0.157035175879397</v>
      </c>
      <c r="N135" s="51">
        <v>0.19723618090452261</v>
      </c>
      <c r="O135" s="52">
        <f>K135*(4186.8*10^(-9)*10^(-3))</f>
        <v>3.3326928000000004E-4</v>
      </c>
      <c r="P135" s="52" t="s">
        <v>292</v>
      </c>
      <c r="Q135" s="47" t="s">
        <v>88</v>
      </c>
      <c r="R135" s="47" t="s">
        <v>88</v>
      </c>
      <c r="S135" s="47" t="s">
        <v>88</v>
      </c>
      <c r="T135" s="53" t="s">
        <v>88</v>
      </c>
      <c r="U135" s="72" t="s">
        <v>88</v>
      </c>
      <c r="V135" s="72" t="s">
        <v>88</v>
      </c>
      <c r="W135" s="72" t="s">
        <v>88</v>
      </c>
      <c r="X135" s="73"/>
      <c r="Y135" s="73"/>
      <c r="Z135" s="46"/>
    </row>
    <row r="136" spans="2:26" ht="35" x14ac:dyDescent="0.4">
      <c r="B136" s="46" t="s">
        <v>281</v>
      </c>
      <c r="C136" s="46" t="s">
        <v>282</v>
      </c>
      <c r="D136" s="47" t="s">
        <v>294</v>
      </c>
      <c r="E136" s="46" t="s">
        <v>123</v>
      </c>
      <c r="F136" s="48" t="s">
        <v>123</v>
      </c>
      <c r="G136" s="49" t="s">
        <v>90</v>
      </c>
      <c r="H136" s="59">
        <v>0.6</v>
      </c>
      <c r="I136" s="62" t="s">
        <v>295</v>
      </c>
      <c r="J136" s="46"/>
      <c r="K136" s="46"/>
      <c r="L136" s="46"/>
      <c r="M136" s="50">
        <v>0.66666666666666663</v>
      </c>
      <c r="N136" s="51">
        <v>2.3333333333333335</v>
      </c>
      <c r="O136" s="52">
        <f>H136*4186.8*10^(-9)*10^(-3)</f>
        <v>2.5120799999999999E-9</v>
      </c>
      <c r="P136" s="52" t="s">
        <v>296</v>
      </c>
      <c r="Q136" s="47" t="s">
        <v>88</v>
      </c>
      <c r="R136" s="47" t="s">
        <v>88</v>
      </c>
      <c r="S136" s="47" t="s">
        <v>88</v>
      </c>
      <c r="T136" s="53" t="s">
        <v>88</v>
      </c>
      <c r="U136" s="72" t="s">
        <v>88</v>
      </c>
      <c r="V136" s="72" t="s">
        <v>88</v>
      </c>
      <c r="W136" s="72" t="s">
        <v>88</v>
      </c>
      <c r="X136" s="73"/>
      <c r="Y136" s="73"/>
      <c r="Z136" s="46"/>
    </row>
    <row r="137" spans="2:26" ht="35" x14ac:dyDescent="0.4">
      <c r="B137" s="46" t="s">
        <v>281</v>
      </c>
      <c r="C137" s="46" t="s">
        <v>282</v>
      </c>
      <c r="D137" s="47" t="s">
        <v>283</v>
      </c>
      <c r="E137" s="46" t="s">
        <v>341</v>
      </c>
      <c r="F137" s="48" t="s">
        <v>122</v>
      </c>
      <c r="G137" s="49" t="s">
        <v>89</v>
      </c>
      <c r="H137" s="49">
        <v>30</v>
      </c>
      <c r="I137" s="49" t="s">
        <v>284</v>
      </c>
      <c r="J137" s="46"/>
      <c r="K137" s="46"/>
      <c r="L137" s="46"/>
      <c r="M137" s="50">
        <v>-0.66666666666666663</v>
      </c>
      <c r="N137" s="51">
        <v>2.3333333333333335</v>
      </c>
      <c r="O137" s="52">
        <f>H137*4186.8*10^(-9)*10^(-3)</f>
        <v>1.2560399999999999E-7</v>
      </c>
      <c r="P137" s="52" t="s">
        <v>285</v>
      </c>
      <c r="Q137" s="47" t="s">
        <v>88</v>
      </c>
      <c r="R137" s="47" t="s">
        <v>88</v>
      </c>
      <c r="S137" s="47" t="s">
        <v>88</v>
      </c>
      <c r="T137" s="53" t="s">
        <v>88</v>
      </c>
      <c r="U137" s="72" t="s">
        <v>88</v>
      </c>
      <c r="V137" s="72" t="s">
        <v>88</v>
      </c>
      <c r="W137" s="72" t="s">
        <v>88</v>
      </c>
      <c r="X137" s="73"/>
      <c r="Y137" s="73"/>
      <c r="Z137" s="46"/>
    </row>
    <row r="138" spans="2:26" ht="35" x14ac:dyDescent="0.4">
      <c r="B138" s="46" t="s">
        <v>281</v>
      </c>
      <c r="C138" s="46" t="s">
        <v>282</v>
      </c>
      <c r="D138" s="47" t="s">
        <v>290</v>
      </c>
      <c r="E138" s="46" t="s">
        <v>341</v>
      </c>
      <c r="F138" s="48" t="s">
        <v>122</v>
      </c>
      <c r="G138" s="49" t="s">
        <v>89</v>
      </c>
      <c r="H138" s="59">
        <v>27.3</v>
      </c>
      <c r="I138" s="60" t="s">
        <v>58</v>
      </c>
      <c r="J138" s="60">
        <v>1</v>
      </c>
      <c r="K138" s="61">
        <v>100000</v>
      </c>
      <c r="L138" s="60" t="s">
        <v>291</v>
      </c>
      <c r="M138" s="50">
        <v>-0.153</v>
      </c>
      <c r="N138" s="51">
        <v>0.17</v>
      </c>
      <c r="O138" s="52">
        <f>K138*(4186.8*10^(-9)*10^(-3))</f>
        <v>4.1868000000000005E-4</v>
      </c>
      <c r="P138" s="52" t="s">
        <v>292</v>
      </c>
      <c r="Q138" s="47" t="s">
        <v>88</v>
      </c>
      <c r="R138" s="47" t="s">
        <v>88</v>
      </c>
      <c r="S138" s="47" t="s">
        <v>88</v>
      </c>
      <c r="T138" s="53" t="s">
        <v>88</v>
      </c>
      <c r="U138" s="72" t="s">
        <v>88</v>
      </c>
      <c r="V138" s="72" t="s">
        <v>88</v>
      </c>
      <c r="W138" s="72" t="s">
        <v>88</v>
      </c>
      <c r="X138" s="73"/>
      <c r="Y138" s="73"/>
      <c r="Z138" s="46"/>
    </row>
    <row r="139" spans="2:26" ht="35" x14ac:dyDescent="0.4">
      <c r="B139" s="46" t="s">
        <v>281</v>
      </c>
      <c r="C139" s="46" t="s">
        <v>282</v>
      </c>
      <c r="D139" s="47" t="s">
        <v>294</v>
      </c>
      <c r="E139" s="46" t="s">
        <v>341</v>
      </c>
      <c r="F139" s="48" t="s">
        <v>122</v>
      </c>
      <c r="G139" s="49" t="s">
        <v>89</v>
      </c>
      <c r="H139" s="59">
        <v>4</v>
      </c>
      <c r="I139" s="62" t="s">
        <v>295</v>
      </c>
      <c r="J139" s="46"/>
      <c r="K139" s="46"/>
      <c r="L139" s="46"/>
      <c r="M139" s="50">
        <v>0.625</v>
      </c>
      <c r="N139" s="51">
        <v>2.75</v>
      </c>
      <c r="O139" s="52">
        <f>H139*4186.8*10^(-9)*10^(-3)</f>
        <v>1.6747200000000002E-8</v>
      </c>
      <c r="P139" s="52" t="s">
        <v>296</v>
      </c>
      <c r="Q139" s="47" t="s">
        <v>88</v>
      </c>
      <c r="R139" s="47" t="s">
        <v>88</v>
      </c>
      <c r="S139" s="47" t="s">
        <v>88</v>
      </c>
      <c r="T139" s="53" t="s">
        <v>88</v>
      </c>
      <c r="U139" s="72" t="s">
        <v>88</v>
      </c>
      <c r="V139" s="72" t="s">
        <v>88</v>
      </c>
      <c r="W139" s="72" t="s">
        <v>88</v>
      </c>
      <c r="X139" s="73"/>
      <c r="Y139" s="73"/>
      <c r="Z139" s="46"/>
    </row>
    <row r="140" spans="2:26" ht="17.5" x14ac:dyDescent="0.4">
      <c r="B140" s="46" t="s">
        <v>281</v>
      </c>
      <c r="C140" s="46" t="s">
        <v>342</v>
      </c>
      <c r="D140" s="47" t="s">
        <v>283</v>
      </c>
      <c r="E140" s="46" t="s">
        <v>109</v>
      </c>
      <c r="F140" s="48" t="s">
        <v>109</v>
      </c>
      <c r="G140" s="49" t="s">
        <v>75</v>
      </c>
      <c r="H140" s="49">
        <v>25</v>
      </c>
      <c r="I140" s="49" t="s">
        <v>284</v>
      </c>
      <c r="J140" s="46"/>
      <c r="K140" s="46"/>
      <c r="L140" s="46"/>
      <c r="M140" s="50">
        <v>0.69599999999999995</v>
      </c>
      <c r="N140" s="51">
        <v>2.44</v>
      </c>
      <c r="O140" s="52">
        <f>H140*4186.8*10^(-9)*10^(-3)</f>
        <v>1.0467000000000001E-7</v>
      </c>
      <c r="P140" s="52" t="s">
        <v>285</v>
      </c>
      <c r="Q140" s="47">
        <v>7800</v>
      </c>
      <c r="R140" s="47" t="s">
        <v>68</v>
      </c>
      <c r="S140" s="47" t="s">
        <v>286</v>
      </c>
      <c r="T140" s="53">
        <f t="shared" ref="T140:T175" si="3">O140*Q140</f>
        <v>8.1642600000000009E-4</v>
      </c>
      <c r="U140" s="54" t="s">
        <v>287</v>
      </c>
      <c r="V140" s="55">
        <v>0.66666666666666663</v>
      </c>
      <c r="W140" s="56">
        <v>2.44</v>
      </c>
      <c r="X140" s="57" t="s">
        <v>288</v>
      </c>
      <c r="Y140" s="58" t="s">
        <v>289</v>
      </c>
      <c r="Z140" s="46"/>
    </row>
    <row r="141" spans="2:26" ht="17.5" x14ac:dyDescent="0.4">
      <c r="B141" s="46" t="s">
        <v>281</v>
      </c>
      <c r="C141" s="46" t="s">
        <v>342</v>
      </c>
      <c r="D141" s="47" t="s">
        <v>290</v>
      </c>
      <c r="E141" s="46" t="s">
        <v>109</v>
      </c>
      <c r="F141" s="109" t="s">
        <v>485</v>
      </c>
      <c r="G141" s="49" t="s">
        <v>75</v>
      </c>
      <c r="H141" s="59">
        <v>18.899999999999999</v>
      </c>
      <c r="I141" s="60" t="s">
        <v>58</v>
      </c>
      <c r="J141" s="60">
        <v>1</v>
      </c>
      <c r="K141" s="61">
        <v>69300</v>
      </c>
      <c r="L141" s="60" t="s">
        <v>291</v>
      </c>
      <c r="M141" s="50">
        <v>2.5974025974025976E-2</v>
      </c>
      <c r="N141" s="51">
        <v>5.3391053391053392E-2</v>
      </c>
      <c r="O141" s="52">
        <f>K141*(4186.8*10^(-9)*10^(-3))</f>
        <v>2.9014524000000002E-4</v>
      </c>
      <c r="P141" s="52" t="s">
        <v>292</v>
      </c>
      <c r="Q141" s="47">
        <v>7800</v>
      </c>
      <c r="R141" s="47" t="s">
        <v>68</v>
      </c>
      <c r="S141" s="47" t="s">
        <v>286</v>
      </c>
      <c r="T141" s="53">
        <f t="shared" si="3"/>
        <v>2.2631328720000004</v>
      </c>
      <c r="U141" s="54" t="s">
        <v>293</v>
      </c>
      <c r="V141" s="55">
        <v>2.5974025974025976E-2</v>
      </c>
      <c r="W141" s="56">
        <v>5.3391053391053392E-2</v>
      </c>
      <c r="X141" s="57" t="s">
        <v>288</v>
      </c>
      <c r="Y141" s="58" t="s">
        <v>289</v>
      </c>
      <c r="Z141" s="46"/>
    </row>
    <row r="142" spans="2:26" ht="17.5" x14ac:dyDescent="0.4">
      <c r="B142" s="46" t="s">
        <v>281</v>
      </c>
      <c r="C142" s="46" t="s">
        <v>342</v>
      </c>
      <c r="D142" s="47" t="s">
        <v>294</v>
      </c>
      <c r="E142" s="46" t="s">
        <v>109</v>
      </c>
      <c r="F142" s="48" t="s">
        <v>109</v>
      </c>
      <c r="G142" s="49" t="s">
        <v>75</v>
      </c>
      <c r="H142" s="74">
        <v>8</v>
      </c>
      <c r="I142" s="62" t="s">
        <v>295</v>
      </c>
      <c r="J142" s="46"/>
      <c r="K142" s="46"/>
      <c r="L142" s="46"/>
      <c r="M142" s="50">
        <v>0.66666666666666663</v>
      </c>
      <c r="N142" s="51">
        <v>2.3333333333333335</v>
      </c>
      <c r="O142" s="52">
        <f>H142*4186.8*10^(-9)*10^(-3)</f>
        <v>3.3494400000000004E-8</v>
      </c>
      <c r="P142" s="52" t="s">
        <v>296</v>
      </c>
      <c r="Q142" s="47">
        <v>7800</v>
      </c>
      <c r="R142" s="47" t="s">
        <v>68</v>
      </c>
      <c r="S142" s="47" t="s">
        <v>286</v>
      </c>
      <c r="T142" s="53">
        <f t="shared" si="3"/>
        <v>2.6125632000000004E-4</v>
      </c>
      <c r="U142" s="54" t="s">
        <v>297</v>
      </c>
      <c r="V142" s="55">
        <v>0.66666666666666663</v>
      </c>
      <c r="W142" s="56">
        <v>2.3333333333333335</v>
      </c>
      <c r="X142" s="57" t="s">
        <v>288</v>
      </c>
      <c r="Y142" s="58" t="s">
        <v>289</v>
      </c>
      <c r="Z142" s="46"/>
    </row>
    <row r="143" spans="2:26" ht="17.5" x14ac:dyDescent="0.4">
      <c r="B143" s="46" t="s">
        <v>281</v>
      </c>
      <c r="C143" s="46" t="s">
        <v>342</v>
      </c>
      <c r="D143" s="47" t="s">
        <v>283</v>
      </c>
      <c r="E143" s="46" t="s">
        <v>103</v>
      </c>
      <c r="F143" s="48" t="s">
        <v>103</v>
      </c>
      <c r="G143" s="49" t="s">
        <v>69</v>
      </c>
      <c r="H143" s="49">
        <v>3</v>
      </c>
      <c r="I143" s="49" t="s">
        <v>284</v>
      </c>
      <c r="J143" s="46"/>
      <c r="K143" s="46"/>
      <c r="L143" s="46"/>
      <c r="M143" s="50">
        <v>0.66666666666666663</v>
      </c>
      <c r="N143" s="51">
        <v>2.3333333333333335</v>
      </c>
      <c r="O143" s="52">
        <f>H143*4186.8*10^(-9)*10^(-3)</f>
        <v>1.2560400000000003E-8</v>
      </c>
      <c r="P143" s="52" t="s">
        <v>285</v>
      </c>
      <c r="Q143" s="47">
        <v>8000</v>
      </c>
      <c r="R143" s="47" t="s">
        <v>68</v>
      </c>
      <c r="S143" s="47" t="s">
        <v>286</v>
      </c>
      <c r="T143" s="53">
        <f t="shared" si="3"/>
        <v>1.0048320000000002E-4</v>
      </c>
      <c r="U143" s="54" t="s">
        <v>287</v>
      </c>
      <c r="V143" s="55">
        <v>0.66666666666666663</v>
      </c>
      <c r="W143" s="56">
        <v>2.3333333333333335</v>
      </c>
      <c r="X143" s="57" t="s">
        <v>288</v>
      </c>
      <c r="Y143" s="58" t="s">
        <v>289</v>
      </c>
      <c r="Z143" s="46"/>
    </row>
    <row r="144" spans="2:26" ht="17.5" x14ac:dyDescent="0.4">
      <c r="B144" s="46" t="s">
        <v>281</v>
      </c>
      <c r="C144" s="46" t="s">
        <v>342</v>
      </c>
      <c r="D144" s="47" t="s">
        <v>290</v>
      </c>
      <c r="E144" s="46" t="s">
        <v>103</v>
      </c>
      <c r="F144" s="109" t="s">
        <v>537</v>
      </c>
      <c r="G144" s="49" t="s">
        <v>69</v>
      </c>
      <c r="H144" s="59">
        <v>19.5</v>
      </c>
      <c r="I144" s="60" t="s">
        <v>58</v>
      </c>
      <c r="J144" s="60">
        <v>1</v>
      </c>
      <c r="K144" s="61">
        <v>71500</v>
      </c>
      <c r="L144" s="60" t="s">
        <v>291</v>
      </c>
      <c r="M144" s="50">
        <v>2.5174825174825177E-2</v>
      </c>
      <c r="N144" s="51">
        <v>4.0559440559440559E-2</v>
      </c>
      <c r="O144" s="52">
        <f>K144*(4186.8*10^(-9)*10^(-3))</f>
        <v>2.9935620000000004E-4</v>
      </c>
      <c r="P144" s="52" t="s">
        <v>292</v>
      </c>
      <c r="Q144" s="47">
        <v>8000</v>
      </c>
      <c r="R144" s="47" t="s">
        <v>68</v>
      </c>
      <c r="S144" s="47" t="s">
        <v>286</v>
      </c>
      <c r="T144" s="53">
        <f t="shared" si="3"/>
        <v>2.3948496000000001</v>
      </c>
      <c r="U144" s="54" t="s">
        <v>293</v>
      </c>
      <c r="V144" s="55">
        <v>2.5174825174825177E-2</v>
      </c>
      <c r="W144" s="56">
        <v>4.0559440559440559E-2</v>
      </c>
      <c r="X144" s="57" t="s">
        <v>288</v>
      </c>
      <c r="Y144" s="58" t="s">
        <v>289</v>
      </c>
      <c r="Z144" s="46"/>
    </row>
    <row r="145" spans="2:26" ht="17.5" x14ac:dyDescent="0.4">
      <c r="B145" s="46" t="s">
        <v>281</v>
      </c>
      <c r="C145" s="46" t="s">
        <v>342</v>
      </c>
      <c r="D145" s="47" t="s">
        <v>294</v>
      </c>
      <c r="E145" s="46" t="s">
        <v>103</v>
      </c>
      <c r="F145" s="48" t="s">
        <v>103</v>
      </c>
      <c r="G145" s="49" t="s">
        <v>69</v>
      </c>
      <c r="H145" s="59">
        <v>0.6</v>
      </c>
      <c r="I145" s="62" t="s">
        <v>295</v>
      </c>
      <c r="J145" s="46"/>
      <c r="K145" s="46"/>
      <c r="L145" s="46"/>
      <c r="M145" s="50">
        <v>0.66666666666666663</v>
      </c>
      <c r="N145" s="51">
        <v>2.3333333333333335</v>
      </c>
      <c r="O145" s="52">
        <f>H145*4186.8*10^(-9)*10^(-3)</f>
        <v>2.5120799999999999E-9</v>
      </c>
      <c r="P145" s="52" t="s">
        <v>296</v>
      </c>
      <c r="Q145" s="47">
        <v>8000</v>
      </c>
      <c r="R145" s="47" t="s">
        <v>68</v>
      </c>
      <c r="S145" s="47" t="s">
        <v>286</v>
      </c>
      <c r="T145" s="53">
        <f t="shared" si="3"/>
        <v>2.0096639999999999E-5</v>
      </c>
      <c r="U145" s="54" t="s">
        <v>297</v>
      </c>
      <c r="V145" s="55">
        <v>0.66666666666666663</v>
      </c>
      <c r="W145" s="56">
        <v>2.3333333333333335</v>
      </c>
      <c r="X145" s="57" t="s">
        <v>288</v>
      </c>
      <c r="Y145" s="58" t="s">
        <v>289</v>
      </c>
      <c r="Z145" s="46"/>
    </row>
    <row r="146" spans="2:26" ht="17.5" x14ac:dyDescent="0.4">
      <c r="B146" s="46" t="s">
        <v>281</v>
      </c>
      <c r="C146" s="46" t="s">
        <v>342</v>
      </c>
      <c r="D146" s="47" t="s">
        <v>283</v>
      </c>
      <c r="E146" s="46" t="s">
        <v>106</v>
      </c>
      <c r="F146" s="48" t="s">
        <v>106</v>
      </c>
      <c r="G146" s="49" t="s">
        <v>92</v>
      </c>
      <c r="H146" s="49">
        <v>3</v>
      </c>
      <c r="I146" s="49" t="s">
        <v>284</v>
      </c>
      <c r="J146" s="46"/>
      <c r="K146" s="46"/>
      <c r="L146" s="46"/>
      <c r="M146" s="50">
        <v>0.66666666666666663</v>
      </c>
      <c r="N146" s="51">
        <v>2.3333333333333335</v>
      </c>
      <c r="O146" s="52">
        <f>H146*4186.8*10^(-9)*10^(-3)</f>
        <v>1.2560400000000003E-8</v>
      </c>
      <c r="P146" s="52" t="s">
        <v>285</v>
      </c>
      <c r="Q146" s="47">
        <v>8500</v>
      </c>
      <c r="R146" s="47" t="s">
        <v>68</v>
      </c>
      <c r="S146" s="47" t="s">
        <v>286</v>
      </c>
      <c r="T146" s="53">
        <f t="shared" si="3"/>
        <v>1.0676340000000002E-4</v>
      </c>
      <c r="U146" s="54" t="s">
        <v>287</v>
      </c>
      <c r="V146" s="55">
        <v>0.66666666666666663</v>
      </c>
      <c r="W146" s="56">
        <v>2.3333333333333335</v>
      </c>
      <c r="X146" s="57" t="s">
        <v>288</v>
      </c>
      <c r="Y146" s="58" t="s">
        <v>289</v>
      </c>
      <c r="Z146" s="46"/>
    </row>
    <row r="147" spans="2:26" ht="17.5" x14ac:dyDescent="0.4">
      <c r="B147" s="46" t="s">
        <v>281</v>
      </c>
      <c r="C147" s="46" t="s">
        <v>342</v>
      </c>
      <c r="D147" s="47" t="s">
        <v>290</v>
      </c>
      <c r="E147" s="46" t="s">
        <v>106</v>
      </c>
      <c r="F147" s="109" t="s">
        <v>493</v>
      </c>
      <c r="G147" s="49" t="s">
        <v>92</v>
      </c>
      <c r="H147" s="59">
        <v>19.600000000000001</v>
      </c>
      <c r="I147" s="60" t="s">
        <v>58</v>
      </c>
      <c r="J147" s="60">
        <v>1</v>
      </c>
      <c r="K147" s="61">
        <v>71900</v>
      </c>
      <c r="L147" s="60" t="s">
        <v>291</v>
      </c>
      <c r="M147" s="50">
        <v>1.5299026425591099E-2</v>
      </c>
      <c r="N147" s="51">
        <v>2.5034770514603615E-2</v>
      </c>
      <c r="O147" s="52">
        <f>K147*(4186.8*10^(-9)*10^(-3))</f>
        <v>3.0103092000000005E-4</v>
      </c>
      <c r="P147" s="52" t="s">
        <v>292</v>
      </c>
      <c r="Q147" s="47">
        <v>8500</v>
      </c>
      <c r="R147" s="47" t="s">
        <v>68</v>
      </c>
      <c r="S147" s="47" t="s">
        <v>286</v>
      </c>
      <c r="T147" s="53">
        <f t="shared" si="3"/>
        <v>2.5587628200000005</v>
      </c>
      <c r="U147" s="54" t="s">
        <v>293</v>
      </c>
      <c r="V147" s="55">
        <v>1.5299026425591099E-2</v>
      </c>
      <c r="W147" s="56">
        <v>2.5034770514603615E-2</v>
      </c>
      <c r="X147" s="57" t="s">
        <v>288</v>
      </c>
      <c r="Y147" s="58" t="s">
        <v>289</v>
      </c>
      <c r="Z147" s="46"/>
    </row>
    <row r="148" spans="2:26" ht="17.5" x14ac:dyDescent="0.4">
      <c r="B148" s="46" t="s">
        <v>281</v>
      </c>
      <c r="C148" s="46" t="s">
        <v>342</v>
      </c>
      <c r="D148" s="47" t="s">
        <v>294</v>
      </c>
      <c r="E148" s="46" t="s">
        <v>106</v>
      </c>
      <c r="F148" s="48" t="s">
        <v>106</v>
      </c>
      <c r="G148" s="49" t="s">
        <v>92</v>
      </c>
      <c r="H148" s="59">
        <v>0.6</v>
      </c>
      <c r="I148" s="62" t="s">
        <v>295</v>
      </c>
      <c r="J148" s="46"/>
      <c r="K148" s="46"/>
      <c r="L148" s="46"/>
      <c r="M148" s="50">
        <v>0.66666666666666663</v>
      </c>
      <c r="N148" s="51">
        <v>2.3333333333333335</v>
      </c>
      <c r="O148" s="52">
        <f>H148*4186.8*10^(-9)*10^(-3)</f>
        <v>2.5120799999999999E-9</v>
      </c>
      <c r="P148" s="52" t="s">
        <v>296</v>
      </c>
      <c r="Q148" s="47">
        <v>8500</v>
      </c>
      <c r="R148" s="47" t="s">
        <v>68</v>
      </c>
      <c r="S148" s="47" t="s">
        <v>286</v>
      </c>
      <c r="T148" s="53">
        <f t="shared" si="3"/>
        <v>2.1352679999999998E-5</v>
      </c>
      <c r="U148" s="54" t="s">
        <v>297</v>
      </c>
      <c r="V148" s="55">
        <v>0.66666666666666663</v>
      </c>
      <c r="W148" s="56">
        <v>2.3333333333333335</v>
      </c>
      <c r="X148" s="57" t="s">
        <v>288</v>
      </c>
      <c r="Y148" s="58" t="s">
        <v>289</v>
      </c>
      <c r="Z148" s="46"/>
    </row>
    <row r="149" spans="2:26" ht="17.5" x14ac:dyDescent="0.4">
      <c r="B149" s="46" t="s">
        <v>281</v>
      </c>
      <c r="C149" s="46" t="s">
        <v>342</v>
      </c>
      <c r="D149" s="47" t="s">
        <v>283</v>
      </c>
      <c r="E149" s="46" t="s">
        <v>108</v>
      </c>
      <c r="F149" s="109" t="s">
        <v>494</v>
      </c>
      <c r="G149" s="49" t="s">
        <v>74</v>
      </c>
      <c r="H149" s="49">
        <v>3.9</v>
      </c>
      <c r="I149" s="49" t="s">
        <v>284</v>
      </c>
      <c r="J149" s="46"/>
      <c r="K149" s="46"/>
      <c r="L149" s="46"/>
      <c r="M149" s="50">
        <v>0.58974358974358976</v>
      </c>
      <c r="N149" s="51">
        <v>1.4358974358974359</v>
      </c>
      <c r="O149" s="52">
        <f>H149*4186.8*10^(-9)*10^(-3)</f>
        <v>1.6328520000000003E-8</v>
      </c>
      <c r="P149" s="52" t="s">
        <v>285</v>
      </c>
      <c r="Q149" s="47">
        <v>8400</v>
      </c>
      <c r="R149" s="47" t="s">
        <v>68</v>
      </c>
      <c r="S149" s="47" t="s">
        <v>286</v>
      </c>
      <c r="T149" s="53">
        <f t="shared" si="3"/>
        <v>1.3715956800000001E-4</v>
      </c>
      <c r="U149" s="54" t="s">
        <v>287</v>
      </c>
      <c r="V149" s="55">
        <v>0.58974358974358976</v>
      </c>
      <c r="W149" s="56">
        <v>1.4358974358974359</v>
      </c>
      <c r="X149" s="57" t="s">
        <v>288</v>
      </c>
      <c r="Y149" s="58" t="s">
        <v>289</v>
      </c>
      <c r="Z149" s="46"/>
    </row>
    <row r="150" spans="2:26" ht="17.5" x14ac:dyDescent="0.4">
      <c r="B150" s="46" t="s">
        <v>281</v>
      </c>
      <c r="C150" s="46" t="s">
        <v>342</v>
      </c>
      <c r="D150" s="47" t="s">
        <v>290</v>
      </c>
      <c r="E150" s="46" t="s">
        <v>108</v>
      </c>
      <c r="F150" s="48" t="s">
        <v>108</v>
      </c>
      <c r="G150" s="49" t="s">
        <v>74</v>
      </c>
      <c r="H150" s="59">
        <v>20.2</v>
      </c>
      <c r="I150" s="60" t="s">
        <v>58</v>
      </c>
      <c r="J150" s="60">
        <v>1</v>
      </c>
      <c r="K150" s="61">
        <v>74100</v>
      </c>
      <c r="L150" s="60" t="s">
        <v>291</v>
      </c>
      <c r="M150" s="50">
        <v>2.0242914979757085E-2</v>
      </c>
      <c r="N150" s="51">
        <v>9.4466936572199737E-3</v>
      </c>
      <c r="O150" s="52">
        <f>K150*(4186.8*10^(-9)*10^(-3))</f>
        <v>3.1024188000000006E-4</v>
      </c>
      <c r="P150" s="52" t="s">
        <v>292</v>
      </c>
      <c r="Q150" s="47">
        <v>8400</v>
      </c>
      <c r="R150" s="47" t="s">
        <v>68</v>
      </c>
      <c r="S150" s="47" t="s">
        <v>286</v>
      </c>
      <c r="T150" s="53">
        <f t="shared" si="3"/>
        <v>2.6060317920000005</v>
      </c>
      <c r="U150" s="54" t="s">
        <v>293</v>
      </c>
      <c r="V150" s="55">
        <v>2.0242914979757085E-2</v>
      </c>
      <c r="W150" s="56">
        <v>9.4466936572199737E-3</v>
      </c>
      <c r="X150" s="57" t="s">
        <v>288</v>
      </c>
      <c r="Y150" s="58" t="s">
        <v>289</v>
      </c>
      <c r="Z150" s="46"/>
    </row>
    <row r="151" spans="2:26" ht="17.5" x14ac:dyDescent="0.4">
      <c r="B151" s="46" t="s">
        <v>281</v>
      </c>
      <c r="C151" s="46" t="s">
        <v>342</v>
      </c>
      <c r="D151" s="47" t="s">
        <v>294</v>
      </c>
      <c r="E151" s="46" t="s">
        <v>108</v>
      </c>
      <c r="F151" s="48" t="s">
        <v>108</v>
      </c>
      <c r="G151" s="49" t="s">
        <v>74</v>
      </c>
      <c r="H151" s="59">
        <v>3.9</v>
      </c>
      <c r="I151" s="62" t="s">
        <v>295</v>
      </c>
      <c r="J151" s="46"/>
      <c r="K151" s="46"/>
      <c r="L151" s="46"/>
      <c r="M151" s="50">
        <v>0.66666666666666663</v>
      </c>
      <c r="N151" s="51">
        <v>2.0769230769230771</v>
      </c>
      <c r="O151" s="52">
        <f>H151*4186.8*10^(-9)*10^(-3)</f>
        <v>1.6328520000000003E-8</v>
      </c>
      <c r="P151" s="52" t="s">
        <v>296</v>
      </c>
      <c r="Q151" s="47">
        <v>8400</v>
      </c>
      <c r="R151" s="47" t="s">
        <v>68</v>
      </c>
      <c r="S151" s="47" t="s">
        <v>286</v>
      </c>
      <c r="T151" s="53">
        <f t="shared" si="3"/>
        <v>1.3715956800000001E-4</v>
      </c>
      <c r="U151" s="54" t="s">
        <v>297</v>
      </c>
      <c r="V151" s="55">
        <v>0.66666666666666663</v>
      </c>
      <c r="W151" s="56">
        <v>2.0769230769230771</v>
      </c>
      <c r="X151" s="57" t="s">
        <v>288</v>
      </c>
      <c r="Y151" s="58" t="s">
        <v>289</v>
      </c>
      <c r="Z151" s="46"/>
    </row>
    <row r="152" spans="2:26" ht="17.5" x14ac:dyDescent="0.4">
      <c r="B152" s="46" t="s">
        <v>281</v>
      </c>
      <c r="C152" s="46" t="s">
        <v>342</v>
      </c>
      <c r="D152" s="47" t="s">
        <v>283</v>
      </c>
      <c r="E152" s="46" t="s">
        <v>308</v>
      </c>
      <c r="F152" s="48" t="s">
        <v>109</v>
      </c>
      <c r="G152" s="49" t="s">
        <v>75</v>
      </c>
      <c r="H152" s="49">
        <v>25</v>
      </c>
      <c r="I152" s="49" t="s">
        <v>284</v>
      </c>
      <c r="J152" s="46"/>
      <c r="K152" s="46"/>
      <c r="L152" s="46"/>
      <c r="M152" s="50">
        <v>0.69599999999999995</v>
      </c>
      <c r="N152" s="51">
        <v>2.44</v>
      </c>
      <c r="O152" s="52">
        <f>H152*4186.8*10^(-9)*10^(-3)</f>
        <v>1.0467000000000001E-7</v>
      </c>
      <c r="P152" s="52" t="s">
        <v>285</v>
      </c>
      <c r="Q152" s="47">
        <v>7800</v>
      </c>
      <c r="R152" s="47" t="s">
        <v>68</v>
      </c>
      <c r="S152" s="47" t="s">
        <v>286</v>
      </c>
      <c r="T152" s="53">
        <f t="shared" si="3"/>
        <v>8.1642600000000009E-4</v>
      </c>
      <c r="U152" s="54" t="s">
        <v>287</v>
      </c>
      <c r="V152" s="55">
        <v>0.66666666666666663</v>
      </c>
      <c r="W152" s="56">
        <v>2.44</v>
      </c>
      <c r="X152" s="57" t="s">
        <v>288</v>
      </c>
      <c r="Y152" s="58" t="s">
        <v>289</v>
      </c>
      <c r="Z152" s="46"/>
    </row>
    <row r="153" spans="2:26" ht="17.5" x14ac:dyDescent="0.4">
      <c r="B153" s="46" t="s">
        <v>281</v>
      </c>
      <c r="C153" s="46" t="s">
        <v>342</v>
      </c>
      <c r="D153" s="47" t="s">
        <v>290</v>
      </c>
      <c r="E153" s="46" t="s">
        <v>308</v>
      </c>
      <c r="F153" s="109" t="s">
        <v>485</v>
      </c>
      <c r="G153" s="49" t="s">
        <v>75</v>
      </c>
      <c r="H153" s="59">
        <v>18.899999999999999</v>
      </c>
      <c r="I153" s="60" t="s">
        <v>58</v>
      </c>
      <c r="J153" s="60">
        <v>1</v>
      </c>
      <c r="K153" s="61">
        <v>69300</v>
      </c>
      <c r="L153" s="60" t="s">
        <v>291</v>
      </c>
      <c r="M153" s="50">
        <v>2.5974025974025976E-2</v>
      </c>
      <c r="N153" s="51">
        <v>5.3391053391053392E-2</v>
      </c>
      <c r="O153" s="52">
        <f>K153*(4186.8*10^(-9)*10^(-3))</f>
        <v>2.9014524000000002E-4</v>
      </c>
      <c r="P153" s="52" t="s">
        <v>292</v>
      </c>
      <c r="Q153" s="47">
        <v>7800</v>
      </c>
      <c r="R153" s="47" t="s">
        <v>68</v>
      </c>
      <c r="S153" s="47" t="s">
        <v>286</v>
      </c>
      <c r="T153" s="53">
        <f t="shared" si="3"/>
        <v>2.2631328720000004</v>
      </c>
      <c r="U153" s="54" t="s">
        <v>293</v>
      </c>
      <c r="V153" s="55">
        <v>2.5974025974025976E-2</v>
      </c>
      <c r="W153" s="56">
        <v>5.3391053391053392E-2</v>
      </c>
      <c r="X153" s="57" t="s">
        <v>288</v>
      </c>
      <c r="Y153" s="58" t="s">
        <v>289</v>
      </c>
      <c r="Z153" s="46"/>
    </row>
    <row r="154" spans="2:26" ht="17.5" x14ac:dyDescent="0.4">
      <c r="B154" s="46" t="s">
        <v>281</v>
      </c>
      <c r="C154" s="46" t="s">
        <v>342</v>
      </c>
      <c r="D154" s="47" t="s">
        <v>294</v>
      </c>
      <c r="E154" s="46" t="s">
        <v>308</v>
      </c>
      <c r="F154" s="48" t="s">
        <v>109</v>
      </c>
      <c r="G154" s="49" t="s">
        <v>75</v>
      </c>
      <c r="H154" s="74">
        <v>8</v>
      </c>
      <c r="I154" s="62" t="s">
        <v>295</v>
      </c>
      <c r="J154" s="46"/>
      <c r="K154" s="46"/>
      <c r="L154" s="46"/>
      <c r="M154" s="50">
        <v>0.66666666666666663</v>
      </c>
      <c r="N154" s="51">
        <v>2.3333333333333335</v>
      </c>
      <c r="O154" s="52">
        <f>H154*4186.8*10^(-9)*10^(-3)</f>
        <v>3.3494400000000004E-8</v>
      </c>
      <c r="P154" s="52" t="s">
        <v>296</v>
      </c>
      <c r="Q154" s="47">
        <v>7800</v>
      </c>
      <c r="R154" s="47" t="s">
        <v>68</v>
      </c>
      <c r="S154" s="47" t="s">
        <v>286</v>
      </c>
      <c r="T154" s="53">
        <f t="shared" si="3"/>
        <v>2.6125632000000004E-4</v>
      </c>
      <c r="U154" s="54" t="s">
        <v>297</v>
      </c>
      <c r="V154" s="55">
        <v>0.66666666666666663</v>
      </c>
      <c r="W154" s="56">
        <v>2.3333333333333335</v>
      </c>
      <c r="X154" s="57" t="s">
        <v>288</v>
      </c>
      <c r="Y154" s="58" t="s">
        <v>289</v>
      </c>
      <c r="Z154" s="46"/>
    </row>
    <row r="155" spans="2:26" ht="17.5" x14ac:dyDescent="0.4">
      <c r="B155" s="46" t="s">
        <v>281</v>
      </c>
      <c r="C155" s="46" t="s">
        <v>342</v>
      </c>
      <c r="D155" s="47" t="s">
        <v>283</v>
      </c>
      <c r="E155" s="46" t="s">
        <v>309</v>
      </c>
      <c r="F155" s="48" t="s">
        <v>109</v>
      </c>
      <c r="G155" s="49" t="s">
        <v>75</v>
      </c>
      <c r="H155" s="49">
        <v>25</v>
      </c>
      <c r="I155" s="49" t="s">
        <v>284</v>
      </c>
      <c r="J155" s="46"/>
      <c r="K155" s="46"/>
      <c r="L155" s="46"/>
      <c r="M155" s="50">
        <v>0.69599999999999995</v>
      </c>
      <c r="N155" s="51">
        <v>2.44</v>
      </c>
      <c r="O155" s="52">
        <f>H155*4186.8*10^(-9)*10^(-3)</f>
        <v>1.0467000000000001E-7</v>
      </c>
      <c r="P155" s="52" t="s">
        <v>285</v>
      </c>
      <c r="Q155" s="47">
        <v>7800</v>
      </c>
      <c r="R155" s="47" t="s">
        <v>68</v>
      </c>
      <c r="S155" s="47" t="s">
        <v>286</v>
      </c>
      <c r="T155" s="53">
        <f t="shared" si="3"/>
        <v>8.1642600000000009E-4</v>
      </c>
      <c r="U155" s="54" t="s">
        <v>287</v>
      </c>
      <c r="V155" s="55">
        <v>0.66666666666666663</v>
      </c>
      <c r="W155" s="56">
        <v>2.44</v>
      </c>
      <c r="X155" s="57" t="s">
        <v>288</v>
      </c>
      <c r="Y155" s="58" t="s">
        <v>289</v>
      </c>
      <c r="Z155" s="46"/>
    </row>
    <row r="156" spans="2:26" ht="17.5" x14ac:dyDescent="0.4">
      <c r="B156" s="46" t="s">
        <v>281</v>
      </c>
      <c r="C156" s="46" t="s">
        <v>342</v>
      </c>
      <c r="D156" s="47" t="s">
        <v>290</v>
      </c>
      <c r="E156" s="46" t="s">
        <v>309</v>
      </c>
      <c r="F156" s="48" t="s">
        <v>109</v>
      </c>
      <c r="G156" s="49" t="s">
        <v>75</v>
      </c>
      <c r="H156" s="59">
        <v>18.899999999999999</v>
      </c>
      <c r="I156" s="60" t="s">
        <v>58</v>
      </c>
      <c r="J156" s="60">
        <v>1</v>
      </c>
      <c r="K156" s="61">
        <v>69300</v>
      </c>
      <c r="L156" s="60" t="s">
        <v>291</v>
      </c>
      <c r="M156" s="50">
        <v>2.5974025974025976E-2</v>
      </c>
      <c r="N156" s="51">
        <v>5.3391053391053392E-2</v>
      </c>
      <c r="O156" s="52">
        <f>K156*(4186.8*10^(-9)*10^(-3))</f>
        <v>2.9014524000000002E-4</v>
      </c>
      <c r="P156" s="52" t="s">
        <v>292</v>
      </c>
      <c r="Q156" s="47">
        <v>7800</v>
      </c>
      <c r="R156" s="47" t="s">
        <v>68</v>
      </c>
      <c r="S156" s="47" t="s">
        <v>286</v>
      </c>
      <c r="T156" s="53">
        <f t="shared" si="3"/>
        <v>2.2631328720000004</v>
      </c>
      <c r="U156" s="54" t="s">
        <v>293</v>
      </c>
      <c r="V156" s="55">
        <v>2.5974025974025976E-2</v>
      </c>
      <c r="W156" s="56">
        <v>5.3391053391053392E-2</v>
      </c>
      <c r="X156" s="57" t="s">
        <v>288</v>
      </c>
      <c r="Y156" s="58" t="s">
        <v>289</v>
      </c>
      <c r="Z156" s="46"/>
    </row>
    <row r="157" spans="2:26" ht="17.5" x14ac:dyDescent="0.4">
      <c r="B157" s="46" t="s">
        <v>281</v>
      </c>
      <c r="C157" s="46" t="s">
        <v>342</v>
      </c>
      <c r="D157" s="47" t="s">
        <v>294</v>
      </c>
      <c r="E157" s="46" t="s">
        <v>309</v>
      </c>
      <c r="F157" s="48" t="s">
        <v>109</v>
      </c>
      <c r="G157" s="49" t="s">
        <v>75</v>
      </c>
      <c r="H157" s="74">
        <v>8</v>
      </c>
      <c r="I157" s="62" t="s">
        <v>295</v>
      </c>
      <c r="J157" s="46"/>
      <c r="K157" s="46"/>
      <c r="L157" s="46"/>
      <c r="M157" s="50">
        <v>0.66666666666666663</v>
      </c>
      <c r="N157" s="51">
        <v>2.3333333333333335</v>
      </c>
      <c r="O157" s="52">
        <f>H157*4186.8*10^(-9)*10^(-3)</f>
        <v>3.3494400000000004E-8</v>
      </c>
      <c r="P157" s="52" t="s">
        <v>296</v>
      </c>
      <c r="Q157" s="47">
        <v>7800</v>
      </c>
      <c r="R157" s="47" t="s">
        <v>68</v>
      </c>
      <c r="S157" s="47" t="s">
        <v>286</v>
      </c>
      <c r="T157" s="53">
        <f t="shared" si="3"/>
        <v>2.6125632000000004E-4</v>
      </c>
      <c r="U157" s="54" t="s">
        <v>297</v>
      </c>
      <c r="V157" s="55">
        <v>0.66666666666666663</v>
      </c>
      <c r="W157" s="56">
        <v>2.3333333333333335</v>
      </c>
      <c r="X157" s="57" t="s">
        <v>288</v>
      </c>
      <c r="Y157" s="58" t="s">
        <v>289</v>
      </c>
      <c r="Z157" s="46"/>
    </row>
    <row r="158" spans="2:26" ht="17.5" x14ac:dyDescent="0.4">
      <c r="B158" s="46" t="s">
        <v>281</v>
      </c>
      <c r="C158" s="46" t="s">
        <v>342</v>
      </c>
      <c r="D158" s="47" t="s">
        <v>283</v>
      </c>
      <c r="E158" s="46" t="s">
        <v>310</v>
      </c>
      <c r="F158" s="48" t="s">
        <v>109</v>
      </c>
      <c r="G158" s="49" t="s">
        <v>75</v>
      </c>
      <c r="H158" s="49">
        <v>25</v>
      </c>
      <c r="I158" s="49" t="s">
        <v>284</v>
      </c>
      <c r="J158" s="46"/>
      <c r="K158" s="46"/>
      <c r="L158" s="46"/>
      <c r="M158" s="50">
        <v>0.69599999999999995</v>
      </c>
      <c r="N158" s="51">
        <v>2.44</v>
      </c>
      <c r="O158" s="52">
        <f>H158*4186.8*10^(-9)*10^(-3)</f>
        <v>1.0467000000000001E-7</v>
      </c>
      <c r="P158" s="52" t="s">
        <v>285</v>
      </c>
      <c r="Q158" s="47">
        <v>7800</v>
      </c>
      <c r="R158" s="47" t="s">
        <v>68</v>
      </c>
      <c r="S158" s="47" t="s">
        <v>286</v>
      </c>
      <c r="T158" s="53">
        <f t="shared" si="3"/>
        <v>8.1642600000000009E-4</v>
      </c>
      <c r="U158" s="54" t="s">
        <v>287</v>
      </c>
      <c r="V158" s="55">
        <v>0.66666666666666663</v>
      </c>
      <c r="W158" s="56">
        <v>2.44</v>
      </c>
      <c r="X158" s="57" t="s">
        <v>288</v>
      </c>
      <c r="Y158" s="58" t="s">
        <v>289</v>
      </c>
      <c r="Z158" s="46"/>
    </row>
    <row r="159" spans="2:26" ht="17.5" x14ac:dyDescent="0.4">
      <c r="B159" s="46" t="s">
        <v>281</v>
      </c>
      <c r="C159" s="46" t="s">
        <v>342</v>
      </c>
      <c r="D159" s="47" t="s">
        <v>290</v>
      </c>
      <c r="E159" s="46" t="s">
        <v>310</v>
      </c>
      <c r="F159" s="48" t="s">
        <v>109</v>
      </c>
      <c r="G159" s="49" t="s">
        <v>75</v>
      </c>
      <c r="H159" s="59">
        <v>18.899999999999999</v>
      </c>
      <c r="I159" s="60" t="s">
        <v>58</v>
      </c>
      <c r="J159" s="60">
        <v>1</v>
      </c>
      <c r="K159" s="61">
        <v>69300</v>
      </c>
      <c r="L159" s="60" t="s">
        <v>291</v>
      </c>
      <c r="M159" s="50">
        <v>2.5974025974025976E-2</v>
      </c>
      <c r="N159" s="51">
        <v>5.3391053391053392E-2</v>
      </c>
      <c r="O159" s="52">
        <f>K159*(4186.8*10^(-9)*10^(-3))</f>
        <v>2.9014524000000002E-4</v>
      </c>
      <c r="P159" s="52" t="s">
        <v>292</v>
      </c>
      <c r="Q159" s="47">
        <v>7800</v>
      </c>
      <c r="R159" s="47" t="s">
        <v>68</v>
      </c>
      <c r="S159" s="47" t="s">
        <v>286</v>
      </c>
      <c r="T159" s="53">
        <f t="shared" si="3"/>
        <v>2.2631328720000004</v>
      </c>
      <c r="U159" s="54" t="s">
        <v>293</v>
      </c>
      <c r="V159" s="55">
        <v>2.5974025974025976E-2</v>
      </c>
      <c r="W159" s="56">
        <v>5.3391053391053392E-2</v>
      </c>
      <c r="X159" s="57" t="s">
        <v>288</v>
      </c>
      <c r="Y159" s="58" t="s">
        <v>289</v>
      </c>
      <c r="Z159" s="46"/>
    </row>
    <row r="160" spans="2:26" ht="17.5" x14ac:dyDescent="0.4">
      <c r="B160" s="46" t="s">
        <v>281</v>
      </c>
      <c r="C160" s="46" t="s">
        <v>342</v>
      </c>
      <c r="D160" s="47" t="s">
        <v>294</v>
      </c>
      <c r="E160" s="46" t="s">
        <v>310</v>
      </c>
      <c r="F160" s="48" t="s">
        <v>109</v>
      </c>
      <c r="G160" s="49" t="s">
        <v>75</v>
      </c>
      <c r="H160" s="74">
        <v>8</v>
      </c>
      <c r="I160" s="62" t="s">
        <v>295</v>
      </c>
      <c r="J160" s="46"/>
      <c r="K160" s="46"/>
      <c r="L160" s="46"/>
      <c r="M160" s="50">
        <v>0.66666666666666663</v>
      </c>
      <c r="N160" s="51">
        <v>2.3333333333333335</v>
      </c>
      <c r="O160" s="52">
        <f>H160*4186.8*10^(-9)*10^(-3)</f>
        <v>3.3494400000000004E-8</v>
      </c>
      <c r="P160" s="52" t="s">
        <v>296</v>
      </c>
      <c r="Q160" s="47">
        <v>7800</v>
      </c>
      <c r="R160" s="47" t="s">
        <v>68</v>
      </c>
      <c r="S160" s="47" t="s">
        <v>286</v>
      </c>
      <c r="T160" s="53">
        <f t="shared" si="3"/>
        <v>2.6125632000000004E-4</v>
      </c>
      <c r="U160" s="54" t="s">
        <v>297</v>
      </c>
      <c r="V160" s="55">
        <v>0.66666666666666663</v>
      </c>
      <c r="W160" s="56">
        <v>2.3333333333333335</v>
      </c>
      <c r="X160" s="57" t="s">
        <v>288</v>
      </c>
      <c r="Y160" s="58" t="s">
        <v>289</v>
      </c>
      <c r="Z160" s="46"/>
    </row>
    <row r="161" spans="2:26" ht="17.5" x14ac:dyDescent="0.4">
      <c r="B161" s="46" t="s">
        <v>281</v>
      </c>
      <c r="C161" s="46" t="s">
        <v>342</v>
      </c>
      <c r="D161" s="47" t="s">
        <v>283</v>
      </c>
      <c r="E161" s="46" t="s">
        <v>311</v>
      </c>
      <c r="F161" s="48" t="s">
        <v>109</v>
      </c>
      <c r="G161" s="49" t="s">
        <v>75</v>
      </c>
      <c r="H161" s="49">
        <v>25</v>
      </c>
      <c r="I161" s="49" t="s">
        <v>284</v>
      </c>
      <c r="J161" s="46"/>
      <c r="K161" s="46"/>
      <c r="L161" s="46"/>
      <c r="M161" s="50">
        <v>0.69599999999999995</v>
      </c>
      <c r="N161" s="51">
        <v>2.44</v>
      </c>
      <c r="O161" s="52">
        <f>H161*4186.8*10^(-9)*10^(-3)</f>
        <v>1.0467000000000001E-7</v>
      </c>
      <c r="P161" s="52" t="s">
        <v>285</v>
      </c>
      <c r="Q161" s="47">
        <v>7800</v>
      </c>
      <c r="R161" s="47" t="s">
        <v>68</v>
      </c>
      <c r="S161" s="47" t="s">
        <v>286</v>
      </c>
      <c r="T161" s="53">
        <f t="shared" si="3"/>
        <v>8.1642600000000009E-4</v>
      </c>
      <c r="U161" s="54" t="s">
        <v>287</v>
      </c>
      <c r="V161" s="55">
        <v>0.66666666666666663</v>
      </c>
      <c r="W161" s="56">
        <v>2.44</v>
      </c>
      <c r="X161" s="57" t="s">
        <v>288</v>
      </c>
      <c r="Y161" s="58" t="s">
        <v>289</v>
      </c>
      <c r="Z161" s="46"/>
    </row>
    <row r="162" spans="2:26" ht="17.5" x14ac:dyDescent="0.4">
      <c r="B162" s="46" t="s">
        <v>281</v>
      </c>
      <c r="C162" s="46" t="s">
        <v>342</v>
      </c>
      <c r="D162" s="47" t="s">
        <v>290</v>
      </c>
      <c r="E162" s="46" t="s">
        <v>311</v>
      </c>
      <c r="F162" s="48" t="s">
        <v>109</v>
      </c>
      <c r="G162" s="49" t="s">
        <v>75</v>
      </c>
      <c r="H162" s="59">
        <v>18.899999999999999</v>
      </c>
      <c r="I162" s="60" t="s">
        <v>58</v>
      </c>
      <c r="J162" s="60">
        <v>1</v>
      </c>
      <c r="K162" s="61">
        <v>69300</v>
      </c>
      <c r="L162" s="60" t="s">
        <v>291</v>
      </c>
      <c r="M162" s="50">
        <v>2.5974025974025976E-2</v>
      </c>
      <c r="N162" s="51">
        <v>5.3391053391053392E-2</v>
      </c>
      <c r="O162" s="52">
        <f>K162*(4186.8*10^(-9)*10^(-3))</f>
        <v>2.9014524000000002E-4</v>
      </c>
      <c r="P162" s="52" t="s">
        <v>292</v>
      </c>
      <c r="Q162" s="47">
        <v>7800</v>
      </c>
      <c r="R162" s="47" t="s">
        <v>68</v>
      </c>
      <c r="S162" s="47" t="s">
        <v>286</v>
      </c>
      <c r="T162" s="53">
        <f t="shared" si="3"/>
        <v>2.2631328720000004</v>
      </c>
      <c r="U162" s="54" t="s">
        <v>293</v>
      </c>
      <c r="V162" s="55">
        <v>2.5974025974025976E-2</v>
      </c>
      <c r="W162" s="56">
        <v>5.3391053391053392E-2</v>
      </c>
      <c r="X162" s="57" t="s">
        <v>288</v>
      </c>
      <c r="Y162" s="58" t="s">
        <v>289</v>
      </c>
      <c r="Z162" s="46"/>
    </row>
    <row r="163" spans="2:26" ht="17.5" x14ac:dyDescent="0.4">
      <c r="B163" s="46" t="s">
        <v>281</v>
      </c>
      <c r="C163" s="46" t="s">
        <v>342</v>
      </c>
      <c r="D163" s="47" t="s">
        <v>294</v>
      </c>
      <c r="E163" s="46" t="s">
        <v>311</v>
      </c>
      <c r="F163" s="48" t="s">
        <v>109</v>
      </c>
      <c r="G163" s="49" t="s">
        <v>75</v>
      </c>
      <c r="H163" s="74">
        <v>8</v>
      </c>
      <c r="I163" s="62" t="s">
        <v>295</v>
      </c>
      <c r="J163" s="46"/>
      <c r="K163" s="46"/>
      <c r="L163" s="46"/>
      <c r="M163" s="50">
        <v>0.66666666666666663</v>
      </c>
      <c r="N163" s="51">
        <v>2.3333333333333335</v>
      </c>
      <c r="O163" s="52">
        <f>H163*4186.8*10^(-9)*10^(-3)</f>
        <v>3.3494400000000004E-8</v>
      </c>
      <c r="P163" s="52" t="s">
        <v>296</v>
      </c>
      <c r="Q163" s="47">
        <v>7800</v>
      </c>
      <c r="R163" s="47" t="s">
        <v>68</v>
      </c>
      <c r="S163" s="47" t="s">
        <v>286</v>
      </c>
      <c r="T163" s="53">
        <f t="shared" si="3"/>
        <v>2.6125632000000004E-4</v>
      </c>
      <c r="U163" s="54" t="s">
        <v>297</v>
      </c>
      <c r="V163" s="55">
        <v>0.66666666666666663</v>
      </c>
      <c r="W163" s="56">
        <v>2.3333333333333335</v>
      </c>
      <c r="X163" s="57" t="s">
        <v>288</v>
      </c>
      <c r="Y163" s="58" t="s">
        <v>289</v>
      </c>
      <c r="Z163" s="46"/>
    </row>
    <row r="164" spans="2:26" ht="17.5" x14ac:dyDescent="0.4">
      <c r="B164" s="46" t="s">
        <v>281</v>
      </c>
      <c r="C164" s="46" t="s">
        <v>342</v>
      </c>
      <c r="D164" s="47" t="s">
        <v>283</v>
      </c>
      <c r="E164" s="46" t="s">
        <v>313</v>
      </c>
      <c r="F164" s="48" t="s">
        <v>109</v>
      </c>
      <c r="G164" s="49" t="s">
        <v>75</v>
      </c>
      <c r="H164" s="49">
        <v>25</v>
      </c>
      <c r="I164" s="49" t="s">
        <v>284</v>
      </c>
      <c r="J164" s="46"/>
      <c r="K164" s="46"/>
      <c r="L164" s="46"/>
      <c r="M164" s="50">
        <v>0.69599999999999995</v>
      </c>
      <c r="N164" s="51">
        <v>2.44</v>
      </c>
      <c r="O164" s="52">
        <f>H164*4186.8*10^(-9)*10^(-3)</f>
        <v>1.0467000000000001E-7</v>
      </c>
      <c r="P164" s="52" t="s">
        <v>285</v>
      </c>
      <c r="Q164" s="47">
        <v>7800</v>
      </c>
      <c r="R164" s="47" t="s">
        <v>68</v>
      </c>
      <c r="S164" s="47" t="s">
        <v>286</v>
      </c>
      <c r="T164" s="53">
        <f t="shared" si="3"/>
        <v>8.1642600000000009E-4</v>
      </c>
      <c r="U164" s="54" t="s">
        <v>287</v>
      </c>
      <c r="V164" s="55">
        <v>0.66666666666666663</v>
      </c>
      <c r="W164" s="56">
        <v>2.44</v>
      </c>
      <c r="X164" s="57" t="s">
        <v>288</v>
      </c>
      <c r="Y164" s="58" t="s">
        <v>289</v>
      </c>
      <c r="Z164" s="46"/>
    </row>
    <row r="165" spans="2:26" ht="17.5" x14ac:dyDescent="0.4">
      <c r="B165" s="46" t="s">
        <v>281</v>
      </c>
      <c r="C165" s="46" t="s">
        <v>342</v>
      </c>
      <c r="D165" s="47" t="s">
        <v>290</v>
      </c>
      <c r="E165" s="46" t="s">
        <v>313</v>
      </c>
      <c r="F165" s="48" t="s">
        <v>109</v>
      </c>
      <c r="G165" s="49" t="s">
        <v>75</v>
      </c>
      <c r="H165" s="59">
        <v>18.899999999999999</v>
      </c>
      <c r="I165" s="60" t="s">
        <v>58</v>
      </c>
      <c r="J165" s="60">
        <v>1</v>
      </c>
      <c r="K165" s="61">
        <v>69300</v>
      </c>
      <c r="L165" s="60" t="s">
        <v>291</v>
      </c>
      <c r="M165" s="50">
        <v>2.5974025974025976E-2</v>
      </c>
      <c r="N165" s="51">
        <v>5.3391053391053392E-2</v>
      </c>
      <c r="O165" s="52">
        <f>K165*(4186.8*10^(-9)*10^(-3))</f>
        <v>2.9014524000000002E-4</v>
      </c>
      <c r="P165" s="52" t="s">
        <v>292</v>
      </c>
      <c r="Q165" s="47">
        <v>7800</v>
      </c>
      <c r="R165" s="47" t="s">
        <v>68</v>
      </c>
      <c r="S165" s="47" t="s">
        <v>286</v>
      </c>
      <c r="T165" s="53">
        <f t="shared" si="3"/>
        <v>2.2631328720000004</v>
      </c>
      <c r="U165" s="54" t="s">
        <v>293</v>
      </c>
      <c r="V165" s="55">
        <v>2.5974025974025976E-2</v>
      </c>
      <c r="W165" s="56">
        <v>5.3391053391053392E-2</v>
      </c>
      <c r="X165" s="57" t="s">
        <v>288</v>
      </c>
      <c r="Y165" s="58" t="s">
        <v>289</v>
      </c>
      <c r="Z165" s="46"/>
    </row>
    <row r="166" spans="2:26" ht="17.5" x14ac:dyDescent="0.4">
      <c r="B166" s="46" t="s">
        <v>281</v>
      </c>
      <c r="C166" s="46" t="s">
        <v>342</v>
      </c>
      <c r="D166" s="47" t="s">
        <v>294</v>
      </c>
      <c r="E166" s="46" t="s">
        <v>313</v>
      </c>
      <c r="F166" s="48" t="s">
        <v>109</v>
      </c>
      <c r="G166" s="49" t="s">
        <v>75</v>
      </c>
      <c r="H166" s="74">
        <v>8</v>
      </c>
      <c r="I166" s="62" t="s">
        <v>295</v>
      </c>
      <c r="J166" s="46"/>
      <c r="K166" s="46"/>
      <c r="L166" s="46"/>
      <c r="M166" s="50">
        <v>0.66666666666666663</v>
      </c>
      <c r="N166" s="51">
        <v>2.3333333333333335</v>
      </c>
      <c r="O166" s="52">
        <f>H166*4186.8*10^(-9)*10^(-3)</f>
        <v>3.3494400000000004E-8</v>
      </c>
      <c r="P166" s="52" t="s">
        <v>296</v>
      </c>
      <c r="Q166" s="47">
        <v>7800</v>
      </c>
      <c r="R166" s="47" t="s">
        <v>68</v>
      </c>
      <c r="S166" s="47" t="s">
        <v>286</v>
      </c>
      <c r="T166" s="53">
        <f t="shared" si="3"/>
        <v>2.6125632000000004E-4</v>
      </c>
      <c r="U166" s="54" t="s">
        <v>297</v>
      </c>
      <c r="V166" s="55">
        <v>0.66666666666666663</v>
      </c>
      <c r="W166" s="56">
        <v>2.3333333333333335</v>
      </c>
      <c r="X166" s="57" t="s">
        <v>288</v>
      </c>
      <c r="Y166" s="58" t="s">
        <v>289</v>
      </c>
      <c r="Z166" s="46"/>
    </row>
    <row r="167" spans="2:26" ht="17.5" x14ac:dyDescent="0.4">
      <c r="B167" s="46" t="s">
        <v>281</v>
      </c>
      <c r="C167" s="46" t="s">
        <v>342</v>
      </c>
      <c r="D167" s="47" t="s">
        <v>283</v>
      </c>
      <c r="E167" s="46" t="s">
        <v>315</v>
      </c>
      <c r="F167" s="48" t="s">
        <v>109</v>
      </c>
      <c r="G167" s="49" t="s">
        <v>75</v>
      </c>
      <c r="H167" s="49">
        <v>25</v>
      </c>
      <c r="I167" s="49" t="s">
        <v>284</v>
      </c>
      <c r="J167" s="46"/>
      <c r="K167" s="46"/>
      <c r="L167" s="46"/>
      <c r="M167" s="50">
        <v>0.69599999999999995</v>
      </c>
      <c r="N167" s="51">
        <v>2.44</v>
      </c>
      <c r="O167" s="52">
        <f>H167*4186.8*10^(-9)*10^(-3)</f>
        <v>1.0467000000000001E-7</v>
      </c>
      <c r="P167" s="52" t="s">
        <v>285</v>
      </c>
      <c r="Q167" s="47">
        <v>7800</v>
      </c>
      <c r="R167" s="47" t="s">
        <v>68</v>
      </c>
      <c r="S167" s="47" t="s">
        <v>286</v>
      </c>
      <c r="T167" s="53">
        <f t="shared" si="3"/>
        <v>8.1642600000000009E-4</v>
      </c>
      <c r="U167" s="54" t="s">
        <v>287</v>
      </c>
      <c r="V167" s="55">
        <v>0.66666666666666663</v>
      </c>
      <c r="W167" s="56">
        <v>2.44</v>
      </c>
      <c r="X167" s="57" t="s">
        <v>288</v>
      </c>
      <c r="Y167" s="58" t="s">
        <v>289</v>
      </c>
      <c r="Z167" s="46"/>
    </row>
    <row r="168" spans="2:26" ht="17.5" x14ac:dyDescent="0.4">
      <c r="B168" s="46" t="s">
        <v>281</v>
      </c>
      <c r="C168" s="46" t="s">
        <v>342</v>
      </c>
      <c r="D168" s="47" t="s">
        <v>290</v>
      </c>
      <c r="E168" s="46" t="s">
        <v>315</v>
      </c>
      <c r="F168" s="48" t="s">
        <v>109</v>
      </c>
      <c r="G168" s="49" t="s">
        <v>75</v>
      </c>
      <c r="H168" s="59">
        <v>18.899999999999999</v>
      </c>
      <c r="I168" s="60" t="s">
        <v>58</v>
      </c>
      <c r="J168" s="60">
        <v>1</v>
      </c>
      <c r="K168" s="61">
        <v>69300</v>
      </c>
      <c r="L168" s="60" t="s">
        <v>291</v>
      </c>
      <c r="M168" s="50">
        <v>2.5974025974025976E-2</v>
      </c>
      <c r="N168" s="51">
        <v>5.3391053391053392E-2</v>
      </c>
      <c r="O168" s="52">
        <f>K168*(4186.8*10^(-9)*10^(-3))</f>
        <v>2.9014524000000002E-4</v>
      </c>
      <c r="P168" s="52" t="s">
        <v>292</v>
      </c>
      <c r="Q168" s="47">
        <v>7800</v>
      </c>
      <c r="R168" s="47" t="s">
        <v>68</v>
      </c>
      <c r="S168" s="47" t="s">
        <v>286</v>
      </c>
      <c r="T168" s="53">
        <f t="shared" si="3"/>
        <v>2.2631328720000004</v>
      </c>
      <c r="U168" s="54" t="s">
        <v>293</v>
      </c>
      <c r="V168" s="55">
        <v>2.5974025974025976E-2</v>
      </c>
      <c r="W168" s="56">
        <v>5.3391053391053392E-2</v>
      </c>
      <c r="X168" s="57" t="s">
        <v>288</v>
      </c>
      <c r="Y168" s="58" t="s">
        <v>289</v>
      </c>
      <c r="Z168" s="46"/>
    </row>
    <row r="169" spans="2:26" ht="17.5" x14ac:dyDescent="0.4">
      <c r="B169" s="46" t="s">
        <v>281</v>
      </c>
      <c r="C169" s="46" t="s">
        <v>342</v>
      </c>
      <c r="D169" s="47" t="s">
        <v>294</v>
      </c>
      <c r="E169" s="46" t="s">
        <v>315</v>
      </c>
      <c r="F169" s="48" t="s">
        <v>109</v>
      </c>
      <c r="G169" s="49" t="s">
        <v>75</v>
      </c>
      <c r="H169" s="74">
        <v>8</v>
      </c>
      <c r="I169" s="62" t="s">
        <v>295</v>
      </c>
      <c r="J169" s="46"/>
      <c r="K169" s="46"/>
      <c r="L169" s="46"/>
      <c r="M169" s="50">
        <v>0.66666666666666663</v>
      </c>
      <c r="N169" s="51">
        <v>2.3333333333333335</v>
      </c>
      <c r="O169" s="52">
        <f>H169*4186.8*10^(-9)*10^(-3)</f>
        <v>3.3494400000000004E-8</v>
      </c>
      <c r="P169" s="52" t="s">
        <v>296</v>
      </c>
      <c r="Q169" s="47">
        <v>7800</v>
      </c>
      <c r="R169" s="47" t="s">
        <v>68</v>
      </c>
      <c r="S169" s="47" t="s">
        <v>286</v>
      </c>
      <c r="T169" s="53">
        <f t="shared" si="3"/>
        <v>2.6125632000000004E-4</v>
      </c>
      <c r="U169" s="54" t="s">
        <v>297</v>
      </c>
      <c r="V169" s="55">
        <v>0.66666666666666663</v>
      </c>
      <c r="W169" s="56">
        <v>2.3333333333333335</v>
      </c>
      <c r="X169" s="57" t="s">
        <v>288</v>
      </c>
      <c r="Y169" s="58" t="s">
        <v>289</v>
      </c>
      <c r="Z169" s="46"/>
    </row>
    <row r="170" spans="2:26" ht="35" x14ac:dyDescent="0.4">
      <c r="B170" s="46" t="s">
        <v>281</v>
      </c>
      <c r="C170" s="46" t="s">
        <v>342</v>
      </c>
      <c r="D170" s="47" t="s">
        <v>283</v>
      </c>
      <c r="E170" s="46" t="s">
        <v>110</v>
      </c>
      <c r="F170" s="48" t="s">
        <v>318</v>
      </c>
      <c r="G170" s="49" t="s">
        <v>128</v>
      </c>
      <c r="H170" s="49">
        <v>62</v>
      </c>
      <c r="I170" s="49" t="s">
        <v>284</v>
      </c>
      <c r="J170" s="46"/>
      <c r="K170" s="46"/>
      <c r="L170" s="46"/>
      <c r="M170" s="50" t="s">
        <v>129</v>
      </c>
      <c r="N170" s="51" t="s">
        <v>129</v>
      </c>
      <c r="O170" s="52">
        <f>H170*4186.8*10^(-9)*10^(-3)</f>
        <v>2.5958160000000003E-7</v>
      </c>
      <c r="P170" s="52" t="s">
        <v>285</v>
      </c>
      <c r="Q170" s="47">
        <v>6635</v>
      </c>
      <c r="R170" s="47" t="s">
        <v>68</v>
      </c>
      <c r="S170" s="47" t="s">
        <v>286</v>
      </c>
      <c r="T170" s="53">
        <f t="shared" si="3"/>
        <v>1.7223239160000002E-3</v>
      </c>
      <c r="U170" s="54" t="s">
        <v>287</v>
      </c>
      <c r="V170" s="55" t="s">
        <v>129</v>
      </c>
      <c r="W170" s="56" t="s">
        <v>129</v>
      </c>
      <c r="X170" s="57" t="s">
        <v>288</v>
      </c>
      <c r="Y170" s="58" t="s">
        <v>289</v>
      </c>
      <c r="Z170" s="46"/>
    </row>
    <row r="171" spans="2:26" ht="35" x14ac:dyDescent="0.4">
      <c r="B171" s="46" t="s">
        <v>281</v>
      </c>
      <c r="C171" s="46" t="s">
        <v>342</v>
      </c>
      <c r="D171" s="47" t="s">
        <v>290</v>
      </c>
      <c r="E171" s="46" t="s">
        <v>110</v>
      </c>
      <c r="F171" s="108" t="s">
        <v>512</v>
      </c>
      <c r="G171" s="49" t="s">
        <v>128</v>
      </c>
      <c r="H171" s="59">
        <v>17.2</v>
      </c>
      <c r="I171" s="60" t="s">
        <v>58</v>
      </c>
      <c r="J171" s="60">
        <v>1</v>
      </c>
      <c r="K171" s="61">
        <f>ROUND(H171*J171*44/12,1)*1000</f>
        <v>63100</v>
      </c>
      <c r="L171" s="60" t="s">
        <v>291</v>
      </c>
      <c r="M171" s="50">
        <v>2.3771790808240888E-2</v>
      </c>
      <c r="N171" s="51">
        <v>3.9619651347068144E-2</v>
      </c>
      <c r="O171" s="52">
        <f>K171*(4186.8*10^(-9)*10^(-3))</f>
        <v>2.6418708000000004E-4</v>
      </c>
      <c r="P171" s="52" t="s">
        <v>292</v>
      </c>
      <c r="Q171" s="47">
        <v>6635</v>
      </c>
      <c r="R171" s="47" t="s">
        <v>68</v>
      </c>
      <c r="S171" s="47" t="s">
        <v>286</v>
      </c>
      <c r="T171" s="53">
        <f t="shared" si="3"/>
        <v>1.7528812758000003</v>
      </c>
      <c r="U171" s="54" t="s">
        <v>293</v>
      </c>
      <c r="V171" s="55">
        <v>2.3771790808240888E-2</v>
      </c>
      <c r="W171" s="56">
        <v>3.9619651347068144E-2</v>
      </c>
      <c r="X171" s="57" t="s">
        <v>288</v>
      </c>
      <c r="Y171" s="58" t="s">
        <v>289</v>
      </c>
      <c r="Z171" s="46"/>
    </row>
    <row r="172" spans="2:26" ht="35" x14ac:dyDescent="0.4">
      <c r="B172" s="46" t="s">
        <v>281</v>
      </c>
      <c r="C172" s="46" t="s">
        <v>342</v>
      </c>
      <c r="D172" s="47" t="s">
        <v>294</v>
      </c>
      <c r="E172" s="46" t="s">
        <v>110</v>
      </c>
      <c r="F172" s="48" t="s">
        <v>318</v>
      </c>
      <c r="G172" s="49" t="s">
        <v>128</v>
      </c>
      <c r="H172" s="59">
        <v>0.2</v>
      </c>
      <c r="I172" s="62" t="s">
        <v>295</v>
      </c>
      <c r="J172" s="46"/>
      <c r="K172" s="46"/>
      <c r="L172" s="46"/>
      <c r="M172" s="50" t="s">
        <v>129</v>
      </c>
      <c r="N172" s="50" t="s">
        <v>129</v>
      </c>
      <c r="O172" s="52">
        <f>H172*4186.8*10^(-9)*10^(-3)</f>
        <v>8.373600000000002E-10</v>
      </c>
      <c r="P172" s="52" t="s">
        <v>296</v>
      </c>
      <c r="Q172" s="47">
        <v>6635</v>
      </c>
      <c r="R172" s="47" t="s">
        <v>68</v>
      </c>
      <c r="S172" s="47" t="s">
        <v>286</v>
      </c>
      <c r="T172" s="53">
        <f t="shared" si="3"/>
        <v>5.5558836000000011E-6</v>
      </c>
      <c r="U172" s="54" t="s">
        <v>297</v>
      </c>
      <c r="V172" s="55" t="s">
        <v>129</v>
      </c>
      <c r="W172" s="55" t="s">
        <v>129</v>
      </c>
      <c r="X172" s="57" t="s">
        <v>288</v>
      </c>
      <c r="Y172" s="58" t="s">
        <v>289</v>
      </c>
      <c r="Z172" s="46"/>
    </row>
    <row r="173" spans="2:26" ht="35" x14ac:dyDescent="0.4">
      <c r="B173" s="46" t="s">
        <v>281</v>
      </c>
      <c r="C173" s="46" t="s">
        <v>342</v>
      </c>
      <c r="D173" s="47" t="s">
        <v>283</v>
      </c>
      <c r="E173" s="46" t="s">
        <v>125</v>
      </c>
      <c r="F173" s="48" t="s">
        <v>343</v>
      </c>
      <c r="G173" s="49" t="s">
        <v>130</v>
      </c>
      <c r="H173" s="49">
        <v>92</v>
      </c>
      <c r="I173" s="49" t="s">
        <v>284</v>
      </c>
      <c r="J173" s="46"/>
      <c r="K173" s="46"/>
      <c r="L173" s="46"/>
      <c r="M173" s="50">
        <v>0.45652173913043476</v>
      </c>
      <c r="N173" s="51">
        <v>15.739130434782609</v>
      </c>
      <c r="O173" s="52">
        <f>H173*4186.8*10^(-9)*10^(-3)</f>
        <v>3.8518560000000005E-7</v>
      </c>
      <c r="P173" s="52" t="s">
        <v>285</v>
      </c>
      <c r="Q173" s="47">
        <v>9000</v>
      </c>
      <c r="R173" s="47" t="s">
        <v>320</v>
      </c>
      <c r="S173" s="47" t="s">
        <v>286</v>
      </c>
      <c r="T173" s="53">
        <f t="shared" si="3"/>
        <v>3.4666704000000004E-3</v>
      </c>
      <c r="U173" s="54" t="s">
        <v>321</v>
      </c>
      <c r="V173" s="55">
        <v>0.45652173913043476</v>
      </c>
      <c r="W173" s="56">
        <v>15.739130434782609</v>
      </c>
      <c r="X173" s="57" t="s">
        <v>288</v>
      </c>
      <c r="Y173" s="58" t="s">
        <v>289</v>
      </c>
      <c r="Z173" s="46" t="s">
        <v>325</v>
      </c>
    </row>
    <row r="174" spans="2:26" ht="35" x14ac:dyDescent="0.4">
      <c r="B174" s="46" t="s">
        <v>281</v>
      </c>
      <c r="C174" s="46" t="s">
        <v>342</v>
      </c>
      <c r="D174" s="47" t="s">
        <v>290</v>
      </c>
      <c r="E174" s="46" t="s">
        <v>125</v>
      </c>
      <c r="F174" s="108" t="s">
        <v>538</v>
      </c>
      <c r="G174" s="49" t="s">
        <v>130</v>
      </c>
      <c r="H174" s="59" t="s">
        <v>126</v>
      </c>
      <c r="I174" s="60" t="s">
        <v>126</v>
      </c>
      <c r="J174" s="60" t="s">
        <v>126</v>
      </c>
      <c r="K174" s="61">
        <v>56100</v>
      </c>
      <c r="L174" s="60" t="s">
        <v>291</v>
      </c>
      <c r="M174" s="50">
        <v>3.2085561497326207E-2</v>
      </c>
      <c r="N174" s="51">
        <v>3.9215686274509803E-2</v>
      </c>
      <c r="O174" s="52">
        <f>K174*(4186.8*10^(-9)*10^(-3))</f>
        <v>2.3487948000000002E-4</v>
      </c>
      <c r="P174" s="52" t="s">
        <v>292</v>
      </c>
      <c r="Q174" s="47">
        <v>9000</v>
      </c>
      <c r="R174" s="47" t="s">
        <v>320</v>
      </c>
      <c r="S174" s="47" t="s">
        <v>286</v>
      </c>
      <c r="T174" s="53">
        <f t="shared" si="3"/>
        <v>2.1139153200000003</v>
      </c>
      <c r="U174" s="54" t="s">
        <v>322</v>
      </c>
      <c r="V174" s="55">
        <v>3.2085561497326207E-2</v>
      </c>
      <c r="W174" s="56">
        <v>3.9215686274509803E-2</v>
      </c>
      <c r="X174" s="57" t="s">
        <v>288</v>
      </c>
      <c r="Y174" s="58" t="s">
        <v>289</v>
      </c>
      <c r="Z174" s="46" t="s">
        <v>325</v>
      </c>
    </row>
    <row r="175" spans="2:26" ht="35" x14ac:dyDescent="0.4">
      <c r="B175" s="46" t="s">
        <v>281</v>
      </c>
      <c r="C175" s="46" t="s">
        <v>342</v>
      </c>
      <c r="D175" s="47" t="s">
        <v>294</v>
      </c>
      <c r="E175" s="46" t="s">
        <v>125</v>
      </c>
      <c r="F175" s="48" t="s">
        <v>343</v>
      </c>
      <c r="G175" s="49" t="s">
        <v>130</v>
      </c>
      <c r="H175" s="59">
        <v>3</v>
      </c>
      <c r="I175" s="62" t="s">
        <v>295</v>
      </c>
      <c r="J175" s="46"/>
      <c r="K175" s="46"/>
      <c r="L175" s="46"/>
      <c r="M175" s="50">
        <v>0.66666666666666663</v>
      </c>
      <c r="N175" s="50">
        <v>24.666666666666668</v>
      </c>
      <c r="O175" s="52">
        <f>H175*4186.8*10^(-9)*10^(-3)</f>
        <v>1.2560400000000003E-8</v>
      </c>
      <c r="P175" s="52" t="s">
        <v>296</v>
      </c>
      <c r="Q175" s="47">
        <v>9000</v>
      </c>
      <c r="R175" s="47" t="s">
        <v>320</v>
      </c>
      <c r="S175" s="47" t="s">
        <v>286</v>
      </c>
      <c r="T175" s="53">
        <f t="shared" si="3"/>
        <v>1.1304360000000002E-4</v>
      </c>
      <c r="U175" s="54" t="s">
        <v>323</v>
      </c>
      <c r="V175" s="55">
        <v>0.66666666666666663</v>
      </c>
      <c r="W175" s="55">
        <v>24.666666666666668</v>
      </c>
      <c r="X175" s="57" t="s">
        <v>288</v>
      </c>
      <c r="Y175" s="58" t="s">
        <v>289</v>
      </c>
      <c r="Z175" s="46" t="s">
        <v>325</v>
      </c>
    </row>
  </sheetData>
  <mergeCells count="24">
    <mergeCell ref="B1:E1"/>
    <mergeCell ref="G2:G4"/>
    <mergeCell ref="H2:I2"/>
    <mergeCell ref="K2:L2"/>
    <mergeCell ref="C2:C4"/>
    <mergeCell ref="D2:D4"/>
    <mergeCell ref="F2:F4"/>
    <mergeCell ref="B2:B4"/>
    <mergeCell ref="X2:X4"/>
    <mergeCell ref="Y2:Y4"/>
    <mergeCell ref="Z2:Z4"/>
    <mergeCell ref="E3:E4"/>
    <mergeCell ref="H3:I3"/>
    <mergeCell ref="J3:J4"/>
    <mergeCell ref="K3:L3"/>
    <mergeCell ref="M3:N3"/>
    <mergeCell ref="O3:P3"/>
    <mergeCell ref="Q3:R3"/>
    <mergeCell ref="T3:U3"/>
    <mergeCell ref="V3:W3"/>
    <mergeCell ref="O2:P2"/>
    <mergeCell ref="Q2:R2"/>
    <mergeCell ref="S2:S4"/>
    <mergeCell ref="T2:U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250A-007D-4650-BF62-3C0725DF664B}">
  <sheetPr codeName="工作表6">
    <tabColor theme="0" tint="-0.34998626667073579"/>
  </sheetPr>
  <dimension ref="A2:H87"/>
  <sheetViews>
    <sheetView zoomScale="70" zoomScaleNormal="70" workbookViewId="0">
      <selection activeCell="C44" sqref="C44"/>
    </sheetView>
  </sheetViews>
  <sheetFormatPr defaultRowHeight="17" x14ac:dyDescent="0.4"/>
  <cols>
    <col min="1" max="1" width="67.81640625" customWidth="1"/>
    <col min="2" max="2" width="10" bestFit="1" customWidth="1"/>
    <col min="3" max="7" width="29.08984375" bestFit="1" customWidth="1"/>
    <col min="8" max="8" width="16.08984375" customWidth="1"/>
  </cols>
  <sheetData>
    <row r="2" spans="1:8" x14ac:dyDescent="0.4">
      <c r="A2" s="75" t="s">
        <v>344</v>
      </c>
      <c r="B2" s="76" t="s">
        <v>345</v>
      </c>
      <c r="C2" s="76" t="s">
        <v>346</v>
      </c>
      <c r="D2" s="76" t="s">
        <v>347</v>
      </c>
      <c r="E2" s="76" t="s">
        <v>348</v>
      </c>
      <c r="F2" s="76" t="s">
        <v>349</v>
      </c>
      <c r="G2" s="76" t="s">
        <v>350</v>
      </c>
      <c r="H2" s="76" t="s">
        <v>351</v>
      </c>
    </row>
    <row r="3" spans="1:8" x14ac:dyDescent="0.4">
      <c r="A3" s="77" t="s">
        <v>352</v>
      </c>
      <c r="B3" s="78">
        <f>G3</f>
        <v>1</v>
      </c>
      <c r="C3" s="79">
        <v>1</v>
      </c>
      <c r="D3" s="79">
        <v>1</v>
      </c>
      <c r="E3" s="79">
        <v>1</v>
      </c>
      <c r="F3" s="79">
        <v>1</v>
      </c>
      <c r="G3" s="79">
        <v>1</v>
      </c>
      <c r="H3" s="80"/>
    </row>
    <row r="4" spans="1:8" x14ac:dyDescent="0.4">
      <c r="A4" s="81" t="s">
        <v>353</v>
      </c>
      <c r="B4" s="98">
        <f>G4</f>
        <v>27.9</v>
      </c>
      <c r="C4" s="82">
        <v>21</v>
      </c>
      <c r="D4" s="82">
        <v>23</v>
      </c>
      <c r="E4" s="82">
        <v>25</v>
      </c>
      <c r="F4" s="97">
        <v>28</v>
      </c>
      <c r="G4" s="97">
        <v>27.9</v>
      </c>
      <c r="H4" s="80"/>
    </row>
    <row r="5" spans="1:8" x14ac:dyDescent="0.4">
      <c r="A5" s="81" t="s">
        <v>354</v>
      </c>
      <c r="B5" s="78">
        <f t="shared" ref="B5:B67" si="0">ROUND(IF(G5="─",IF(F5="－",0,F5),G5),0)</f>
        <v>273</v>
      </c>
      <c r="C5" s="82">
        <v>310</v>
      </c>
      <c r="D5" s="82">
        <v>296</v>
      </c>
      <c r="E5" s="82">
        <v>298</v>
      </c>
      <c r="F5" s="82">
        <v>265</v>
      </c>
      <c r="G5" s="82">
        <v>273</v>
      </c>
      <c r="H5" s="80"/>
    </row>
    <row r="6" spans="1:8" x14ac:dyDescent="0.4">
      <c r="A6" s="81" t="s">
        <v>475</v>
      </c>
      <c r="B6" s="78">
        <f t="shared" si="0"/>
        <v>1960</v>
      </c>
      <c r="C6" s="79" t="s">
        <v>364</v>
      </c>
      <c r="D6" s="79" t="s">
        <v>364</v>
      </c>
      <c r="E6" s="80">
        <v>10900</v>
      </c>
      <c r="F6" s="80">
        <v>10200</v>
      </c>
      <c r="G6" s="82">
        <v>1960</v>
      </c>
      <c r="H6" s="80"/>
    </row>
    <row r="7" spans="1:8" x14ac:dyDescent="0.4">
      <c r="A7" s="83" t="s">
        <v>355</v>
      </c>
      <c r="B7" s="78">
        <f t="shared" si="0"/>
        <v>14600</v>
      </c>
      <c r="C7" s="79">
        <v>11700</v>
      </c>
      <c r="D7" s="79">
        <v>12000</v>
      </c>
      <c r="E7" s="79">
        <v>14800</v>
      </c>
      <c r="F7" s="79">
        <v>12400</v>
      </c>
      <c r="G7" s="79">
        <v>14600</v>
      </c>
      <c r="H7" s="80"/>
    </row>
    <row r="8" spans="1:8" x14ac:dyDescent="0.4">
      <c r="A8" s="83" t="s">
        <v>356</v>
      </c>
      <c r="B8" s="78">
        <f t="shared" si="0"/>
        <v>771</v>
      </c>
      <c r="C8" s="79">
        <v>650</v>
      </c>
      <c r="D8" s="79">
        <v>550</v>
      </c>
      <c r="E8" s="79">
        <v>675</v>
      </c>
      <c r="F8" s="79">
        <v>677</v>
      </c>
      <c r="G8" s="79">
        <v>771</v>
      </c>
      <c r="H8" s="80"/>
    </row>
    <row r="9" spans="1:8" x14ac:dyDescent="0.4">
      <c r="A9" s="83" t="s">
        <v>357</v>
      </c>
      <c r="B9" s="78">
        <f t="shared" si="0"/>
        <v>135</v>
      </c>
      <c r="C9" s="79">
        <v>150</v>
      </c>
      <c r="D9" s="79">
        <v>97</v>
      </c>
      <c r="E9" s="79">
        <v>92</v>
      </c>
      <c r="F9" s="79">
        <v>116</v>
      </c>
      <c r="G9" s="79">
        <v>135</v>
      </c>
      <c r="H9" s="80"/>
    </row>
    <row r="10" spans="1:8" x14ac:dyDescent="0.4">
      <c r="A10" s="83" t="s">
        <v>358</v>
      </c>
      <c r="B10" s="78">
        <f t="shared" si="0"/>
        <v>3740</v>
      </c>
      <c r="C10" s="79">
        <v>2800</v>
      </c>
      <c r="D10" s="79">
        <v>3400</v>
      </c>
      <c r="E10" s="79">
        <v>3500</v>
      </c>
      <c r="F10" s="79">
        <v>3170</v>
      </c>
      <c r="G10" s="79">
        <v>3740</v>
      </c>
      <c r="H10" s="80"/>
    </row>
    <row r="11" spans="1:8" x14ac:dyDescent="0.4">
      <c r="A11" s="83" t="s">
        <v>359</v>
      </c>
      <c r="B11" s="78">
        <f t="shared" si="0"/>
        <v>1260</v>
      </c>
      <c r="C11" s="79">
        <v>1000</v>
      </c>
      <c r="D11" s="79">
        <v>1100</v>
      </c>
      <c r="E11" s="79">
        <v>1100</v>
      </c>
      <c r="F11" s="79">
        <v>1120</v>
      </c>
      <c r="G11" s="79">
        <v>1260</v>
      </c>
      <c r="H11" s="80"/>
    </row>
    <row r="12" spans="1:8" x14ac:dyDescent="0.4">
      <c r="A12" s="83" t="s">
        <v>360</v>
      </c>
      <c r="B12" s="78">
        <f t="shared" si="0"/>
        <v>1530</v>
      </c>
      <c r="C12" s="79">
        <v>1300</v>
      </c>
      <c r="D12" s="79">
        <v>1300</v>
      </c>
      <c r="E12" s="79">
        <v>1430</v>
      </c>
      <c r="F12" s="79">
        <v>1300</v>
      </c>
      <c r="G12" s="79">
        <v>1530</v>
      </c>
      <c r="H12" s="80"/>
    </row>
    <row r="13" spans="1:8" x14ac:dyDescent="0.4">
      <c r="A13" s="83" t="s">
        <v>361</v>
      </c>
      <c r="B13" s="78">
        <f t="shared" si="0"/>
        <v>364</v>
      </c>
      <c r="C13" s="79">
        <v>300</v>
      </c>
      <c r="D13" s="79">
        <v>330</v>
      </c>
      <c r="E13" s="79">
        <v>353</v>
      </c>
      <c r="F13" s="79">
        <v>328</v>
      </c>
      <c r="G13" s="79">
        <v>364</v>
      </c>
      <c r="H13" s="80"/>
    </row>
    <row r="14" spans="1:8" x14ac:dyDescent="0.4">
      <c r="A14" s="83" t="s">
        <v>362</v>
      </c>
      <c r="B14" s="78">
        <f t="shared" si="0"/>
        <v>5810</v>
      </c>
      <c r="C14" s="79">
        <v>3800</v>
      </c>
      <c r="D14" s="79">
        <v>4300</v>
      </c>
      <c r="E14" s="79">
        <v>4470</v>
      </c>
      <c r="F14" s="79">
        <v>4800</v>
      </c>
      <c r="G14" s="79">
        <v>5810</v>
      </c>
      <c r="H14" s="80"/>
    </row>
    <row r="15" spans="1:8" x14ac:dyDescent="0.4">
      <c r="A15" s="83" t="s">
        <v>363</v>
      </c>
      <c r="B15" s="78">
        <f t="shared" si="0"/>
        <v>22</v>
      </c>
      <c r="C15" s="79" t="s">
        <v>364</v>
      </c>
      <c r="D15" s="79">
        <v>43</v>
      </c>
      <c r="E15" s="79">
        <v>53</v>
      </c>
      <c r="F15" s="79">
        <v>16</v>
      </c>
      <c r="G15" s="79">
        <v>22</v>
      </c>
      <c r="H15" s="80"/>
    </row>
    <row r="16" spans="1:8" x14ac:dyDescent="0.4">
      <c r="A16" s="83" t="s">
        <v>365</v>
      </c>
      <c r="B16" s="78">
        <f t="shared" si="0"/>
        <v>164</v>
      </c>
      <c r="C16" s="79">
        <v>140</v>
      </c>
      <c r="D16" s="79">
        <v>120</v>
      </c>
      <c r="E16" s="79">
        <v>124</v>
      </c>
      <c r="F16" s="79">
        <v>138</v>
      </c>
      <c r="G16" s="79">
        <v>164</v>
      </c>
      <c r="H16" s="80"/>
    </row>
    <row r="17" spans="1:8" x14ac:dyDescent="0.4">
      <c r="A17" s="83" t="s">
        <v>366</v>
      </c>
      <c r="B17" s="78">
        <f t="shared" si="0"/>
        <v>5</v>
      </c>
      <c r="C17" s="79" t="s">
        <v>364</v>
      </c>
      <c r="D17" s="79">
        <v>12</v>
      </c>
      <c r="E17" s="79">
        <v>12</v>
      </c>
      <c r="F17" s="79">
        <v>4</v>
      </c>
      <c r="G17" s="79">
        <v>5</v>
      </c>
      <c r="H17" s="80"/>
    </row>
    <row r="18" spans="1:8" x14ac:dyDescent="0.4">
      <c r="A18" s="83" t="s">
        <v>367</v>
      </c>
      <c r="B18" s="78">
        <f t="shared" si="0"/>
        <v>3600</v>
      </c>
      <c r="C18" s="79">
        <v>2900</v>
      </c>
      <c r="D18" s="79">
        <v>3500</v>
      </c>
      <c r="E18" s="79">
        <v>3220</v>
      </c>
      <c r="F18" s="79">
        <v>3350</v>
      </c>
      <c r="G18" s="79">
        <v>3600</v>
      </c>
      <c r="H18" s="80"/>
    </row>
    <row r="19" spans="1:8" x14ac:dyDescent="0.4">
      <c r="A19" s="83" t="s">
        <v>368</v>
      </c>
      <c r="B19" s="78">
        <f t="shared" si="0"/>
        <v>1350</v>
      </c>
      <c r="C19" s="79" t="s">
        <v>364</v>
      </c>
      <c r="D19" s="79">
        <v>1300</v>
      </c>
      <c r="E19" s="79">
        <v>1340</v>
      </c>
      <c r="F19" s="79">
        <v>1210</v>
      </c>
      <c r="G19" s="79">
        <v>1350</v>
      </c>
      <c r="H19" s="80"/>
    </row>
    <row r="20" spans="1:8" x14ac:dyDescent="0.4">
      <c r="A20" s="83" t="s">
        <v>369</v>
      </c>
      <c r="B20" s="78">
        <f t="shared" si="0"/>
        <v>1500</v>
      </c>
      <c r="C20" s="79" t="s">
        <v>364</v>
      </c>
      <c r="D20" s="79">
        <v>1200</v>
      </c>
      <c r="E20" s="79">
        <v>1370</v>
      </c>
      <c r="F20" s="79">
        <v>1330</v>
      </c>
      <c r="G20" s="79">
        <v>1500</v>
      </c>
      <c r="H20" s="80"/>
    </row>
    <row r="21" spans="1:8" x14ac:dyDescent="0.4">
      <c r="A21" s="83" t="s">
        <v>370</v>
      </c>
      <c r="B21" s="78">
        <f t="shared" si="0"/>
        <v>8690</v>
      </c>
      <c r="C21" s="79">
        <v>6300</v>
      </c>
      <c r="D21" s="79">
        <v>9400</v>
      </c>
      <c r="E21" s="79">
        <v>9810</v>
      </c>
      <c r="F21" s="79">
        <v>8060</v>
      </c>
      <c r="G21" s="79">
        <v>8690</v>
      </c>
      <c r="H21" s="80"/>
    </row>
    <row r="22" spans="1:8" x14ac:dyDescent="0.4">
      <c r="A22" s="83" t="s">
        <v>371</v>
      </c>
      <c r="B22" s="78">
        <f t="shared" si="0"/>
        <v>787</v>
      </c>
      <c r="C22" s="79">
        <v>560</v>
      </c>
      <c r="D22" s="79">
        <v>640</v>
      </c>
      <c r="E22" s="79">
        <v>693</v>
      </c>
      <c r="F22" s="79">
        <v>716</v>
      </c>
      <c r="G22" s="79">
        <v>787</v>
      </c>
      <c r="H22" s="80"/>
    </row>
    <row r="23" spans="1:8" x14ac:dyDescent="0.4">
      <c r="A23" s="83" t="s">
        <v>372</v>
      </c>
      <c r="B23" s="78">
        <f t="shared" si="0"/>
        <v>962</v>
      </c>
      <c r="C23" s="79" t="s">
        <v>364</v>
      </c>
      <c r="D23" s="79">
        <v>950</v>
      </c>
      <c r="E23" s="79">
        <v>1030</v>
      </c>
      <c r="F23" s="79">
        <v>858</v>
      </c>
      <c r="G23" s="79">
        <v>962</v>
      </c>
      <c r="H23" s="80"/>
    </row>
    <row r="24" spans="1:8" x14ac:dyDescent="0.4">
      <c r="A24" s="83" t="s">
        <v>373</v>
      </c>
      <c r="B24" s="78">
        <f t="shared" si="0"/>
        <v>914</v>
      </c>
      <c r="C24" s="79" t="s">
        <v>364</v>
      </c>
      <c r="D24" s="79">
        <v>890</v>
      </c>
      <c r="E24" s="79">
        <v>794</v>
      </c>
      <c r="F24" s="79">
        <v>804</v>
      </c>
      <c r="G24" s="79">
        <v>914</v>
      </c>
      <c r="H24" s="80"/>
    </row>
    <row r="25" spans="1:8" x14ac:dyDescent="0.4">
      <c r="A25" s="83" t="s">
        <v>374</v>
      </c>
      <c r="B25" s="78">
        <f t="shared" si="0"/>
        <v>1600</v>
      </c>
      <c r="C25" s="79">
        <v>1300</v>
      </c>
      <c r="D25" s="79">
        <v>1500</v>
      </c>
      <c r="E25" s="79">
        <v>1640</v>
      </c>
      <c r="F25" s="79">
        <v>1650</v>
      </c>
      <c r="G25" s="79">
        <v>1600</v>
      </c>
      <c r="H25" s="80"/>
    </row>
    <row r="26" spans="1:8" x14ac:dyDescent="0.4">
      <c r="A26" s="83" t="s">
        <v>375</v>
      </c>
      <c r="B26" s="78">
        <f t="shared" si="0"/>
        <v>1960</v>
      </c>
      <c r="C26" s="79" t="s">
        <v>364</v>
      </c>
      <c r="D26" s="79">
        <v>1700</v>
      </c>
      <c r="E26" s="79">
        <v>1810</v>
      </c>
      <c r="F26" s="79">
        <v>1760</v>
      </c>
      <c r="G26" s="79">
        <v>1960</v>
      </c>
      <c r="H26" s="84"/>
    </row>
    <row r="27" spans="1:8" x14ac:dyDescent="0.4">
      <c r="A27" s="83" t="s">
        <v>376</v>
      </c>
      <c r="B27" s="78">
        <f t="shared" si="0"/>
        <v>1263</v>
      </c>
      <c r="C27" s="85">
        <v>1126.26</v>
      </c>
      <c r="D27" s="85">
        <v>1127.4000000000001</v>
      </c>
      <c r="E27" s="85">
        <v>1182.48</v>
      </c>
      <c r="F27" s="85">
        <v>1129.92</v>
      </c>
      <c r="G27" s="85">
        <v>1263</v>
      </c>
      <c r="H27" s="218" t="s">
        <v>377</v>
      </c>
    </row>
    <row r="28" spans="1:8" x14ac:dyDescent="0.4">
      <c r="A28" s="83" t="s">
        <v>378</v>
      </c>
      <c r="B28" s="78">
        <f t="shared" si="0"/>
        <v>1381</v>
      </c>
      <c r="C28" s="85">
        <v>1222.92</v>
      </c>
      <c r="D28" s="85">
        <v>1223.8</v>
      </c>
      <c r="E28" s="85">
        <v>1288.26</v>
      </c>
      <c r="F28" s="85">
        <v>1236.3399999999999</v>
      </c>
      <c r="G28" s="85">
        <v>1381</v>
      </c>
      <c r="H28" s="218"/>
    </row>
    <row r="29" spans="1:8" x14ac:dyDescent="0.4">
      <c r="A29" s="83" t="s">
        <v>379</v>
      </c>
      <c r="B29" s="78">
        <f t="shared" si="0"/>
        <v>982</v>
      </c>
      <c r="C29" s="85">
        <v>898.68</v>
      </c>
      <c r="D29" s="85">
        <v>901.4</v>
      </c>
      <c r="E29" s="85">
        <v>932.58</v>
      </c>
      <c r="F29" s="85">
        <v>875.54</v>
      </c>
      <c r="G29" s="85">
        <v>982</v>
      </c>
      <c r="H29" s="218"/>
    </row>
    <row r="30" spans="1:8" x14ac:dyDescent="0.4">
      <c r="A30" s="83" t="s">
        <v>380</v>
      </c>
      <c r="B30" s="78">
        <f t="shared" si="0"/>
        <v>2989</v>
      </c>
      <c r="C30" s="85">
        <v>2326</v>
      </c>
      <c r="D30" s="85">
        <v>2686</v>
      </c>
      <c r="E30" s="85">
        <v>2787.8</v>
      </c>
      <c r="F30" s="85">
        <v>2570.8000000000002</v>
      </c>
      <c r="G30" s="85">
        <v>2989</v>
      </c>
      <c r="H30" s="218"/>
    </row>
    <row r="31" spans="1:8" x14ac:dyDescent="0.4">
      <c r="A31" s="83" t="s">
        <v>381</v>
      </c>
      <c r="B31" s="78">
        <f t="shared" si="0"/>
        <v>2597</v>
      </c>
      <c r="C31" s="85">
        <v>2084</v>
      </c>
      <c r="D31" s="85">
        <v>2312</v>
      </c>
      <c r="E31" s="85">
        <v>2416</v>
      </c>
      <c r="F31" s="85">
        <v>2260.6</v>
      </c>
      <c r="G31" s="85">
        <v>2597</v>
      </c>
      <c r="H31" s="218"/>
    </row>
    <row r="32" spans="1:8" x14ac:dyDescent="0.4">
      <c r="A32" s="83" t="s">
        <v>382</v>
      </c>
      <c r="B32" s="78">
        <f t="shared" si="0"/>
        <v>3328</v>
      </c>
      <c r="C32" s="85">
        <v>1415</v>
      </c>
      <c r="D32" s="85">
        <v>1415</v>
      </c>
      <c r="E32" s="85">
        <v>1534.1</v>
      </c>
      <c r="F32" s="85">
        <v>3100</v>
      </c>
      <c r="G32" s="85">
        <v>3328</v>
      </c>
      <c r="H32" s="218"/>
    </row>
    <row r="33" spans="1:8" x14ac:dyDescent="0.4">
      <c r="A33" s="83" t="s">
        <v>383</v>
      </c>
      <c r="B33" s="78">
        <f t="shared" si="0"/>
        <v>4721</v>
      </c>
      <c r="C33" s="85">
        <v>3682</v>
      </c>
      <c r="D33" s="85">
        <v>3682</v>
      </c>
      <c r="E33" s="85">
        <v>4457.3</v>
      </c>
      <c r="F33" s="85">
        <v>4456.6000000000004</v>
      </c>
      <c r="G33" s="85">
        <v>4721</v>
      </c>
      <c r="H33" s="218"/>
    </row>
    <row r="34" spans="1:8" x14ac:dyDescent="0.4">
      <c r="A34" s="83" t="s">
        <v>384</v>
      </c>
      <c r="B34" s="78">
        <f t="shared" si="0"/>
        <v>4728</v>
      </c>
      <c r="C34" s="85">
        <v>3260</v>
      </c>
      <c r="D34" s="85">
        <v>3784</v>
      </c>
      <c r="E34" s="85">
        <v>3921.6</v>
      </c>
      <c r="F34" s="85">
        <v>3942.8</v>
      </c>
      <c r="G34" s="85">
        <v>4728</v>
      </c>
      <c r="H34" s="218"/>
    </row>
    <row r="35" spans="1:8" x14ac:dyDescent="0.4">
      <c r="A35" s="83" t="s">
        <v>385</v>
      </c>
      <c r="B35" s="78">
        <f t="shared" si="0"/>
        <v>941</v>
      </c>
      <c r="C35" s="85">
        <v>4571.3</v>
      </c>
      <c r="D35" s="85">
        <v>5155.3999999999996</v>
      </c>
      <c r="E35" s="85">
        <v>5327.73</v>
      </c>
      <c r="F35" s="85">
        <v>4965.0600000000004</v>
      </c>
      <c r="G35" s="85">
        <v>941</v>
      </c>
      <c r="H35" s="218"/>
    </row>
    <row r="36" spans="1:8" x14ac:dyDescent="0.4">
      <c r="A36" s="83" t="s">
        <v>386</v>
      </c>
      <c r="B36" s="78">
        <f t="shared" si="0"/>
        <v>1431</v>
      </c>
      <c r="C36" s="85">
        <v>1673</v>
      </c>
      <c r="D36" s="85">
        <v>1919</v>
      </c>
      <c r="E36" s="85">
        <v>1942.6</v>
      </c>
      <c r="F36" s="85">
        <v>1779.8</v>
      </c>
      <c r="G36" s="85">
        <v>1431</v>
      </c>
      <c r="H36" s="218"/>
    </row>
    <row r="37" spans="1:8" x14ac:dyDescent="0.4">
      <c r="A37" s="83" t="s">
        <v>387</v>
      </c>
      <c r="B37" s="78">
        <f t="shared" si="0"/>
        <v>2262</v>
      </c>
      <c r="C37" s="85">
        <v>1770</v>
      </c>
      <c r="D37" s="85">
        <v>1990</v>
      </c>
      <c r="E37" s="85">
        <v>2107</v>
      </c>
      <c r="F37" s="85">
        <v>1923.4</v>
      </c>
      <c r="G37" s="85">
        <v>2262</v>
      </c>
      <c r="H37" s="218"/>
    </row>
    <row r="38" spans="1:8" x14ac:dyDescent="0.4">
      <c r="A38" s="83" t="s">
        <v>388</v>
      </c>
      <c r="B38" s="78">
        <f t="shared" si="0"/>
        <v>3001</v>
      </c>
      <c r="C38" s="85">
        <v>2285</v>
      </c>
      <c r="D38" s="85">
        <v>2695</v>
      </c>
      <c r="E38" s="85">
        <v>2803.5</v>
      </c>
      <c r="F38" s="85">
        <v>2546.6999999999998</v>
      </c>
      <c r="G38" s="85">
        <v>3001</v>
      </c>
      <c r="H38" s="218"/>
    </row>
    <row r="39" spans="1:8" x14ac:dyDescent="0.4">
      <c r="A39" s="83" t="s">
        <v>389</v>
      </c>
      <c r="B39" s="78">
        <f t="shared" si="0"/>
        <v>1908</v>
      </c>
      <c r="C39" s="85">
        <v>1525.5</v>
      </c>
      <c r="D39" s="85">
        <v>1652.5</v>
      </c>
      <c r="E39" s="85">
        <v>1773.85</v>
      </c>
      <c r="F39" s="85">
        <v>1624.21</v>
      </c>
      <c r="G39" s="85">
        <v>1908</v>
      </c>
      <c r="H39" s="218"/>
    </row>
    <row r="40" spans="1:8" x14ac:dyDescent="0.4">
      <c r="A40" s="83" t="s">
        <v>390</v>
      </c>
      <c r="B40" s="78">
        <f t="shared" si="0"/>
        <v>1748</v>
      </c>
      <c r="C40" s="85">
        <v>1427.5</v>
      </c>
      <c r="D40" s="85">
        <v>1502.5</v>
      </c>
      <c r="E40" s="85">
        <v>1627.25</v>
      </c>
      <c r="F40" s="85">
        <v>1487.05</v>
      </c>
      <c r="G40" s="85">
        <v>1748</v>
      </c>
      <c r="H40" s="218"/>
    </row>
    <row r="41" spans="1:8" x14ac:dyDescent="0.4">
      <c r="A41" s="83" t="s">
        <v>391</v>
      </c>
      <c r="B41" s="78">
        <f t="shared" si="0"/>
        <v>1672</v>
      </c>
      <c r="C41" s="85">
        <v>1362.5</v>
      </c>
      <c r="D41" s="85">
        <v>1427.5</v>
      </c>
      <c r="E41" s="85">
        <v>1551.75</v>
      </c>
      <c r="F41" s="85">
        <v>1424.75</v>
      </c>
      <c r="G41" s="85">
        <v>1672</v>
      </c>
      <c r="H41" s="218"/>
    </row>
    <row r="42" spans="1:8" x14ac:dyDescent="0.4">
      <c r="A42" s="83" t="s">
        <v>392</v>
      </c>
      <c r="B42" s="78">
        <f t="shared" si="0"/>
        <v>3856</v>
      </c>
      <c r="C42" s="85">
        <v>2743</v>
      </c>
      <c r="D42" s="85">
        <v>3015</v>
      </c>
      <c r="E42" s="85">
        <v>3151.9</v>
      </c>
      <c r="F42" s="85">
        <v>3257.1</v>
      </c>
      <c r="G42" s="85">
        <v>3856</v>
      </c>
      <c r="H42" s="218"/>
    </row>
    <row r="43" spans="1:8" x14ac:dyDescent="0.4">
      <c r="A43" s="83" t="s">
        <v>393</v>
      </c>
      <c r="B43" s="78">
        <f t="shared" si="0"/>
        <v>1454</v>
      </c>
      <c r="C43" s="85">
        <v>1442.25</v>
      </c>
      <c r="D43" s="85">
        <v>1535</v>
      </c>
      <c r="E43" s="85">
        <v>1584.75</v>
      </c>
      <c r="F43" s="85">
        <v>1484.75</v>
      </c>
      <c r="G43" s="85">
        <v>1454</v>
      </c>
      <c r="H43" s="218"/>
    </row>
    <row r="44" spans="1:8" x14ac:dyDescent="0.4">
      <c r="A44" s="83" t="s">
        <v>394</v>
      </c>
      <c r="B44" s="78">
        <f t="shared" si="0"/>
        <v>1509</v>
      </c>
      <c r="C44" s="85">
        <v>1437.25</v>
      </c>
      <c r="D44" s="85">
        <v>1500</v>
      </c>
      <c r="E44" s="85">
        <v>1559.75</v>
      </c>
      <c r="F44" s="85">
        <v>1473.75</v>
      </c>
      <c r="G44" s="85">
        <v>1509</v>
      </c>
      <c r="H44" s="218"/>
    </row>
    <row r="45" spans="1:8" x14ac:dyDescent="0.4">
      <c r="A45" s="83" t="s">
        <v>395</v>
      </c>
      <c r="B45" s="78">
        <f t="shared" si="0"/>
        <v>2256</v>
      </c>
      <c r="C45" s="85">
        <v>1725</v>
      </c>
      <c r="D45" s="85">
        <v>1975</v>
      </c>
      <c r="E45" s="85">
        <v>2087.5</v>
      </c>
      <c r="F45" s="85">
        <v>1923.5</v>
      </c>
      <c r="G45" s="85">
        <v>2256</v>
      </c>
      <c r="H45" s="218"/>
    </row>
    <row r="46" spans="1:8" x14ac:dyDescent="0.4">
      <c r="A46" s="83" t="s">
        <v>396</v>
      </c>
      <c r="B46" s="78">
        <f t="shared" si="0"/>
        <v>2404</v>
      </c>
      <c r="C46" s="85">
        <v>1617.5</v>
      </c>
      <c r="D46" s="85">
        <v>1832.5</v>
      </c>
      <c r="E46" s="85">
        <v>1946.25</v>
      </c>
      <c r="F46" s="85">
        <v>2048.15</v>
      </c>
      <c r="G46" s="85">
        <v>2404</v>
      </c>
      <c r="H46" s="218"/>
    </row>
    <row r="47" spans="1:8" x14ac:dyDescent="0.4">
      <c r="A47" s="83" t="s">
        <v>397</v>
      </c>
      <c r="B47" s="78">
        <f t="shared" si="0"/>
        <v>1733</v>
      </c>
      <c r="C47" s="85">
        <v>1502.9</v>
      </c>
      <c r="D47" s="85">
        <v>1500.7</v>
      </c>
      <c r="E47" s="85">
        <v>1597.39</v>
      </c>
      <c r="F47" s="85">
        <v>1555.18</v>
      </c>
      <c r="G47" s="85">
        <v>1733</v>
      </c>
      <c r="H47" s="218"/>
    </row>
    <row r="48" spans="1:8" x14ac:dyDescent="0.4">
      <c r="A48" s="83" t="s">
        <v>398</v>
      </c>
      <c r="B48" s="78">
        <f t="shared" si="0"/>
        <v>1847</v>
      </c>
      <c r="C48" s="85">
        <v>1602.2</v>
      </c>
      <c r="D48" s="85">
        <v>1601.6</v>
      </c>
      <c r="E48" s="85">
        <v>1705.12</v>
      </c>
      <c r="F48" s="85">
        <v>1658.54</v>
      </c>
      <c r="G48" s="85">
        <v>1847</v>
      </c>
      <c r="H48" s="218"/>
    </row>
    <row r="49" spans="1:8" x14ac:dyDescent="0.4">
      <c r="A49" s="83" t="s">
        <v>399</v>
      </c>
      <c r="B49" s="78">
        <f t="shared" si="0"/>
        <v>1874</v>
      </c>
      <c r="C49" s="85">
        <v>1625.6</v>
      </c>
      <c r="D49" s="85">
        <v>1625.3</v>
      </c>
      <c r="E49" s="85">
        <v>1730.41</v>
      </c>
      <c r="F49" s="85">
        <v>1682.87</v>
      </c>
      <c r="G49" s="85">
        <v>1874</v>
      </c>
      <c r="H49" s="218"/>
    </row>
    <row r="50" spans="1:8" x14ac:dyDescent="0.4">
      <c r="A50" s="83" t="s">
        <v>400</v>
      </c>
      <c r="B50" s="78">
        <f t="shared" si="0"/>
        <v>2052</v>
      </c>
      <c r="C50" s="85">
        <v>1990</v>
      </c>
      <c r="D50" s="85">
        <v>2140</v>
      </c>
      <c r="E50" s="85">
        <v>2286</v>
      </c>
      <c r="F50" s="85">
        <v>2172</v>
      </c>
      <c r="G50" s="85">
        <v>2052</v>
      </c>
      <c r="H50" s="218"/>
    </row>
    <row r="51" spans="1:8" x14ac:dyDescent="0.4">
      <c r="A51" s="83" t="s">
        <v>401</v>
      </c>
      <c r="B51" s="78">
        <f t="shared" si="0"/>
        <v>2183</v>
      </c>
      <c r="C51" s="85">
        <v>1774</v>
      </c>
      <c r="D51" s="85">
        <v>1774</v>
      </c>
      <c r="E51" s="85">
        <v>2053.1</v>
      </c>
      <c r="F51" s="85">
        <v>1945</v>
      </c>
      <c r="G51" s="85">
        <v>2183</v>
      </c>
      <c r="H51" s="218"/>
    </row>
    <row r="52" spans="1:8" x14ac:dyDescent="0.4">
      <c r="A52" s="83" t="s">
        <v>402</v>
      </c>
      <c r="B52" s="78">
        <f t="shared" si="0"/>
        <v>1312</v>
      </c>
      <c r="C52" s="85">
        <v>1337.5650000000001</v>
      </c>
      <c r="D52" s="85">
        <v>1439.7</v>
      </c>
      <c r="E52" s="85">
        <v>1477.8150000000001</v>
      </c>
      <c r="F52" s="85">
        <v>1374.5</v>
      </c>
      <c r="G52" s="85">
        <v>1312</v>
      </c>
      <c r="H52" s="218"/>
    </row>
    <row r="53" spans="1:8" x14ac:dyDescent="0.4">
      <c r="A53" s="83" t="s">
        <v>403</v>
      </c>
      <c r="B53" s="78">
        <f t="shared" si="0"/>
        <v>1295</v>
      </c>
      <c r="C53" s="85">
        <v>1258.51</v>
      </c>
      <c r="D53" s="85">
        <v>1319.8</v>
      </c>
      <c r="E53" s="85">
        <v>1361.96</v>
      </c>
      <c r="F53" s="85">
        <v>1273.6300000000001</v>
      </c>
      <c r="G53" s="85">
        <v>1295</v>
      </c>
      <c r="H53" s="218"/>
    </row>
    <row r="54" spans="1:8" x14ac:dyDescent="0.4">
      <c r="A54" s="83" t="s">
        <v>404</v>
      </c>
      <c r="B54" s="78">
        <f t="shared" si="0"/>
        <v>1637</v>
      </c>
      <c r="C54" s="85">
        <v>1419.2</v>
      </c>
      <c r="D54" s="85">
        <v>1415.6</v>
      </c>
      <c r="E54" s="85">
        <v>1506.52</v>
      </c>
      <c r="F54" s="85">
        <v>1468.04</v>
      </c>
      <c r="G54" s="85">
        <v>1637</v>
      </c>
      <c r="H54" s="218"/>
    </row>
    <row r="55" spans="1:8" x14ac:dyDescent="0.4">
      <c r="A55" s="83" t="s">
        <v>405</v>
      </c>
      <c r="B55" s="78">
        <f t="shared" si="0"/>
        <v>613</v>
      </c>
      <c r="C55" s="85">
        <v>530</v>
      </c>
      <c r="D55" s="85">
        <v>515</v>
      </c>
      <c r="E55" s="85">
        <v>545.5</v>
      </c>
      <c r="F55" s="85">
        <v>543.5</v>
      </c>
      <c r="G55" s="85">
        <v>613</v>
      </c>
      <c r="H55" s="218"/>
    </row>
    <row r="56" spans="1:8" x14ac:dyDescent="0.4">
      <c r="A56" s="83" t="s">
        <v>406</v>
      </c>
      <c r="B56" s="78">
        <f t="shared" si="0"/>
        <v>1139</v>
      </c>
      <c r="C56" s="85">
        <v>1007.5549999999999</v>
      </c>
      <c r="D56" s="85">
        <v>1011.9</v>
      </c>
      <c r="E56" s="85">
        <v>1084.2550000000001</v>
      </c>
      <c r="F56" s="85">
        <v>975.17</v>
      </c>
      <c r="G56" s="85">
        <v>1139</v>
      </c>
      <c r="H56" s="218"/>
    </row>
    <row r="57" spans="1:8" x14ac:dyDescent="0.4">
      <c r="A57" s="83" t="s">
        <v>407</v>
      </c>
      <c r="B57" s="78">
        <f t="shared" si="0"/>
        <v>2508</v>
      </c>
      <c r="C57" s="85">
        <v>1954.8</v>
      </c>
      <c r="D57" s="85">
        <v>2234.4</v>
      </c>
      <c r="E57" s="85">
        <v>2346</v>
      </c>
      <c r="F57" s="85">
        <v>2127.2199999999998</v>
      </c>
      <c r="G57" s="85">
        <v>2508</v>
      </c>
      <c r="H57" s="218"/>
    </row>
    <row r="58" spans="1:8" x14ac:dyDescent="0.4">
      <c r="A58" s="83" t="s">
        <v>408</v>
      </c>
      <c r="B58" s="78">
        <f t="shared" si="0"/>
        <v>1886</v>
      </c>
      <c r="C58" s="85">
        <v>1635.5</v>
      </c>
      <c r="D58" s="85">
        <v>1635</v>
      </c>
      <c r="E58" s="85">
        <v>1740.7</v>
      </c>
      <c r="F58" s="85">
        <v>1693.05</v>
      </c>
      <c r="G58" s="85">
        <v>1886</v>
      </c>
      <c r="H58" s="218"/>
    </row>
    <row r="59" spans="1:8" x14ac:dyDescent="0.4">
      <c r="A59" s="83" t="s">
        <v>409</v>
      </c>
      <c r="B59" s="78">
        <f t="shared" si="0"/>
        <v>3171</v>
      </c>
      <c r="C59" s="85">
        <v>2403</v>
      </c>
      <c r="D59" s="85">
        <v>2865</v>
      </c>
      <c r="E59" s="85">
        <v>2966.7</v>
      </c>
      <c r="F59" s="85">
        <v>2687.9</v>
      </c>
      <c r="G59" s="85">
        <v>3171</v>
      </c>
      <c r="H59" s="218"/>
    </row>
    <row r="60" spans="1:8" x14ac:dyDescent="0.4">
      <c r="A60" s="83" t="s">
        <v>410</v>
      </c>
      <c r="B60" s="78">
        <f t="shared" si="0"/>
        <v>1450</v>
      </c>
      <c r="C60" s="85">
        <v>1360</v>
      </c>
      <c r="D60" s="85">
        <v>1432</v>
      </c>
      <c r="E60" s="85">
        <v>1535.6</v>
      </c>
      <c r="F60" s="85">
        <v>1381.6</v>
      </c>
      <c r="G60" s="85">
        <v>1450</v>
      </c>
      <c r="H60" s="218"/>
    </row>
    <row r="61" spans="1:8" x14ac:dyDescent="0.4">
      <c r="A61" s="83" t="s">
        <v>411</v>
      </c>
      <c r="B61" s="78">
        <f t="shared" si="0"/>
        <v>2812</v>
      </c>
      <c r="C61" s="85">
        <v>2170</v>
      </c>
      <c r="D61" s="85">
        <v>2518</v>
      </c>
      <c r="E61" s="85">
        <v>2630.6</v>
      </c>
      <c r="F61" s="85">
        <v>2384.6</v>
      </c>
      <c r="G61" s="85">
        <v>2812</v>
      </c>
      <c r="H61" s="218"/>
    </row>
    <row r="62" spans="1:8" x14ac:dyDescent="0.4">
      <c r="A62" s="83" t="s">
        <v>412</v>
      </c>
      <c r="B62" s="78">
        <f t="shared" si="0"/>
        <v>3409</v>
      </c>
      <c r="C62" s="85">
        <v>2575</v>
      </c>
      <c r="D62" s="85">
        <v>3085</v>
      </c>
      <c r="E62" s="85">
        <v>3189.5</v>
      </c>
      <c r="F62" s="85">
        <v>2889.5</v>
      </c>
      <c r="G62" s="85">
        <v>3409</v>
      </c>
      <c r="H62" s="218"/>
    </row>
    <row r="63" spans="1:8" x14ac:dyDescent="0.4">
      <c r="A63" s="83" t="s">
        <v>413</v>
      </c>
      <c r="B63" s="78">
        <f t="shared" si="0"/>
        <v>3359</v>
      </c>
      <c r="C63" s="85">
        <v>2532.3000000000002</v>
      </c>
      <c r="D63" s="85">
        <v>3042.9</v>
      </c>
      <c r="E63" s="85">
        <v>3142.95</v>
      </c>
      <c r="F63" s="85">
        <v>2847.17</v>
      </c>
      <c r="G63" s="85">
        <v>3359</v>
      </c>
      <c r="H63" s="218"/>
    </row>
    <row r="64" spans="1:8" x14ac:dyDescent="0.4">
      <c r="A64" s="83" t="s">
        <v>414</v>
      </c>
      <c r="B64" s="78">
        <f t="shared" si="0"/>
        <v>2700</v>
      </c>
      <c r="C64" s="85">
        <v>2086</v>
      </c>
      <c r="D64" s="85">
        <v>2416</v>
      </c>
      <c r="E64" s="85">
        <v>2525.6</v>
      </c>
      <c r="F64" s="85">
        <v>2289.5</v>
      </c>
      <c r="G64" s="85">
        <v>2700</v>
      </c>
      <c r="H64" s="218"/>
    </row>
    <row r="65" spans="1:8" x14ac:dyDescent="0.4">
      <c r="A65" s="83" t="s">
        <v>415</v>
      </c>
      <c r="B65" s="78">
        <f t="shared" si="0"/>
        <v>3296</v>
      </c>
      <c r="C65" s="85">
        <v>2491</v>
      </c>
      <c r="D65" s="85">
        <v>2983</v>
      </c>
      <c r="E65" s="85">
        <v>3084.5</v>
      </c>
      <c r="F65" s="85">
        <v>2794.4</v>
      </c>
      <c r="G65" s="85">
        <v>3296</v>
      </c>
      <c r="H65" s="218"/>
    </row>
    <row r="66" spans="1:8" x14ac:dyDescent="0.4">
      <c r="A66" s="83" t="s">
        <v>416</v>
      </c>
      <c r="B66" s="78">
        <f t="shared" si="0"/>
        <v>9268</v>
      </c>
      <c r="C66" s="85">
        <v>6014.48</v>
      </c>
      <c r="D66" s="85">
        <v>7854.24</v>
      </c>
      <c r="E66" s="85">
        <v>8076.6880000000001</v>
      </c>
      <c r="F66" s="85">
        <v>7563.76</v>
      </c>
      <c r="G66" s="85">
        <f>12500*0.738+164*0.262</f>
        <v>9267.9680000000008</v>
      </c>
      <c r="H66" s="218"/>
    </row>
    <row r="67" spans="1:8" x14ac:dyDescent="0.4">
      <c r="A67" s="83" t="s">
        <v>476</v>
      </c>
      <c r="B67" s="78">
        <f t="shared" si="0"/>
        <v>4595</v>
      </c>
      <c r="C67" s="85">
        <v>3300</v>
      </c>
      <c r="D67" s="85">
        <v>3925</v>
      </c>
      <c r="E67" s="85">
        <v>4082.5</v>
      </c>
      <c r="F67" s="85">
        <v>3870</v>
      </c>
      <c r="G67" s="85">
        <f>1960*0.75+12500*0.25</f>
        <v>4595</v>
      </c>
      <c r="H67" s="218"/>
    </row>
    <row r="68" spans="1:8" x14ac:dyDescent="0.4">
      <c r="A68" s="83" t="s">
        <v>417</v>
      </c>
      <c r="B68" s="78">
        <f t="shared" ref="B68:B87" si="1">ROUND(IF(G68="─",IF(F68="－",0,F68),G68),0)</f>
        <v>5872</v>
      </c>
      <c r="C68" s="85">
        <v>4516</v>
      </c>
      <c r="D68" s="85">
        <v>4516</v>
      </c>
      <c r="E68" s="85">
        <v>4656.72</v>
      </c>
      <c r="F68" s="85">
        <v>4785.92</v>
      </c>
      <c r="G68" s="85">
        <v>5872</v>
      </c>
      <c r="H68" s="218"/>
    </row>
    <row r="69" spans="1:8" x14ac:dyDescent="0.4">
      <c r="A69" s="83" t="s">
        <v>418</v>
      </c>
      <c r="B69" s="78">
        <f t="shared" si="1"/>
        <v>15558</v>
      </c>
      <c r="C69" s="85">
        <v>13077.7</v>
      </c>
      <c r="D69" s="85">
        <v>13198</v>
      </c>
      <c r="E69" s="85">
        <v>14560.4</v>
      </c>
      <c r="F69" s="85">
        <v>13298.5</v>
      </c>
      <c r="G69" s="85">
        <v>15558</v>
      </c>
      <c r="H69" s="218"/>
    </row>
    <row r="70" spans="1:8" x14ac:dyDescent="0.4">
      <c r="A70" s="83" t="s">
        <v>419</v>
      </c>
      <c r="B70" s="78">
        <f t="shared" si="1"/>
        <v>5344</v>
      </c>
      <c r="C70" s="85">
        <v>4042.9</v>
      </c>
      <c r="D70" s="85">
        <v>3994.7</v>
      </c>
      <c r="E70" s="85">
        <v>4143.01</v>
      </c>
      <c r="F70" s="85">
        <v>4299.37</v>
      </c>
      <c r="G70" s="85">
        <v>5344</v>
      </c>
      <c r="H70" s="218"/>
    </row>
    <row r="71" spans="1:8" x14ac:dyDescent="0.4">
      <c r="A71" s="83" t="s">
        <v>420</v>
      </c>
      <c r="B71" s="78">
        <f t="shared" si="1"/>
        <v>9767</v>
      </c>
      <c r="C71" s="85">
        <v>8809</v>
      </c>
      <c r="D71" s="85">
        <v>8268</v>
      </c>
      <c r="E71" s="85">
        <v>8502</v>
      </c>
      <c r="F71" s="85">
        <v>7956</v>
      </c>
      <c r="G71" s="85">
        <f>12500*0.78+79.4*0.22</f>
        <v>9767.4680000000008</v>
      </c>
      <c r="H71" s="218"/>
    </row>
    <row r="72" spans="1:8" x14ac:dyDescent="0.4">
      <c r="A72" s="83" t="s">
        <v>421</v>
      </c>
      <c r="B72" s="78">
        <f t="shared" si="1"/>
        <v>4234</v>
      </c>
      <c r="C72" s="85">
        <v>6891.2</v>
      </c>
      <c r="D72" s="85">
        <v>4400.2</v>
      </c>
      <c r="E72" s="85">
        <v>4490</v>
      </c>
      <c r="F72" s="85">
        <v>3856.91</v>
      </c>
      <c r="G72" s="85">
        <v>4234</v>
      </c>
      <c r="H72" s="218"/>
    </row>
    <row r="73" spans="1:8" x14ac:dyDescent="0.4">
      <c r="A73" s="83" t="s">
        <v>422</v>
      </c>
      <c r="B73" s="78">
        <f t="shared" si="1"/>
        <v>4775</v>
      </c>
      <c r="C73" s="85">
        <v>3300</v>
      </c>
      <c r="D73" s="85">
        <v>3850</v>
      </c>
      <c r="E73" s="85">
        <v>3985</v>
      </c>
      <c r="F73" s="85">
        <v>3985</v>
      </c>
      <c r="G73" s="85">
        <v>4775</v>
      </c>
      <c r="H73" s="218"/>
    </row>
    <row r="74" spans="1:8" x14ac:dyDescent="0.4">
      <c r="A74" s="83" t="s">
        <v>423</v>
      </c>
      <c r="B74" s="78">
        <f t="shared" si="1"/>
        <v>13258</v>
      </c>
      <c r="C74" s="85">
        <v>10175</v>
      </c>
      <c r="D74" s="85">
        <v>11939</v>
      </c>
      <c r="E74" s="85">
        <v>13214</v>
      </c>
      <c r="F74" s="85">
        <v>11607</v>
      </c>
      <c r="G74" s="85">
        <v>13258</v>
      </c>
      <c r="H74" s="218"/>
    </row>
    <row r="75" spans="1:8" x14ac:dyDescent="0.4">
      <c r="A75" s="83" t="s">
        <v>424</v>
      </c>
      <c r="B75" s="78">
        <f t="shared" si="1"/>
        <v>13412</v>
      </c>
      <c r="C75" s="85">
        <v>10350</v>
      </c>
      <c r="D75" s="85">
        <v>11946</v>
      </c>
      <c r="E75" s="85">
        <v>13396</v>
      </c>
      <c r="F75" s="85">
        <v>11698</v>
      </c>
      <c r="G75" s="85">
        <v>13412</v>
      </c>
      <c r="H75" s="218"/>
    </row>
    <row r="76" spans="1:8" x14ac:dyDescent="0.4">
      <c r="A76" s="83" t="s">
        <v>425</v>
      </c>
      <c r="B76" s="78">
        <f t="shared" si="1"/>
        <v>6065</v>
      </c>
      <c r="C76" s="85">
        <v>4668</v>
      </c>
      <c r="D76" s="85">
        <v>4668</v>
      </c>
      <c r="E76" s="85">
        <v>5741.2</v>
      </c>
      <c r="F76" s="85">
        <v>5758.4</v>
      </c>
      <c r="G76" s="85">
        <v>6065</v>
      </c>
      <c r="H76" s="218"/>
    </row>
    <row r="77" spans="1:8" x14ac:dyDescent="0.4">
      <c r="A77" s="83" t="s">
        <v>426</v>
      </c>
      <c r="B77" s="78">
        <f t="shared" si="1"/>
        <v>2</v>
      </c>
      <c r="C77" s="85"/>
      <c r="D77" s="85"/>
      <c r="E77" s="86" t="s">
        <v>427</v>
      </c>
      <c r="F77" s="85">
        <v>2</v>
      </c>
      <c r="G77" s="86" t="s">
        <v>427</v>
      </c>
      <c r="H77" s="84"/>
    </row>
    <row r="78" spans="1:8" x14ac:dyDescent="0.4">
      <c r="A78" s="83" t="s">
        <v>428</v>
      </c>
      <c r="B78" s="78">
        <f t="shared" si="1"/>
        <v>12400</v>
      </c>
      <c r="C78" s="79">
        <v>9200</v>
      </c>
      <c r="D78" s="79">
        <v>11900</v>
      </c>
      <c r="E78" s="79">
        <v>12200</v>
      </c>
      <c r="F78" s="79">
        <v>11100</v>
      </c>
      <c r="G78" s="79">
        <v>12400</v>
      </c>
      <c r="H78" s="80"/>
    </row>
    <row r="79" spans="1:8" x14ac:dyDescent="0.4">
      <c r="A79" s="81" t="s">
        <v>429</v>
      </c>
      <c r="B79" s="78">
        <f t="shared" si="1"/>
        <v>7380</v>
      </c>
      <c r="C79" s="82">
        <v>6500</v>
      </c>
      <c r="D79" s="82">
        <v>5700</v>
      </c>
      <c r="E79" s="82">
        <v>7390</v>
      </c>
      <c r="F79" s="82">
        <v>6630</v>
      </c>
      <c r="G79" s="82">
        <v>7380</v>
      </c>
      <c r="H79" s="80"/>
    </row>
    <row r="80" spans="1:8" x14ac:dyDescent="0.4">
      <c r="A80" s="83" t="s">
        <v>430</v>
      </c>
      <c r="B80" s="78">
        <f t="shared" si="1"/>
        <v>9290</v>
      </c>
      <c r="C80" s="79">
        <v>7000</v>
      </c>
      <c r="D80" s="79">
        <v>8600</v>
      </c>
      <c r="E80" s="79">
        <v>8830</v>
      </c>
      <c r="F80" s="79">
        <v>8900</v>
      </c>
      <c r="G80" s="79">
        <v>9290</v>
      </c>
      <c r="H80" s="80"/>
    </row>
    <row r="81" spans="1:8" x14ac:dyDescent="0.4">
      <c r="A81" s="83" t="s">
        <v>431</v>
      </c>
      <c r="B81" s="78">
        <f t="shared" si="1"/>
        <v>9540</v>
      </c>
      <c r="C81" s="79">
        <v>8700</v>
      </c>
      <c r="D81" s="79">
        <v>10000</v>
      </c>
      <c r="E81" s="79">
        <v>10300</v>
      </c>
      <c r="F81" s="79">
        <v>9540</v>
      </c>
      <c r="G81" s="86" t="s">
        <v>427</v>
      </c>
      <c r="H81" s="80"/>
    </row>
    <row r="82" spans="1:8" x14ac:dyDescent="0.4">
      <c r="A82" s="83" t="s">
        <v>432</v>
      </c>
      <c r="B82" s="78">
        <f t="shared" si="1"/>
        <v>10000</v>
      </c>
      <c r="C82" s="79">
        <v>7000</v>
      </c>
      <c r="D82" s="79">
        <v>8600</v>
      </c>
      <c r="E82" s="79">
        <v>8860</v>
      </c>
      <c r="F82" s="79">
        <v>9200</v>
      </c>
      <c r="G82" s="79">
        <v>10000</v>
      </c>
      <c r="H82" s="80"/>
    </row>
    <row r="83" spans="1:8" x14ac:dyDescent="0.4">
      <c r="A83" s="83" t="s">
        <v>433</v>
      </c>
      <c r="B83" s="78">
        <f t="shared" si="1"/>
        <v>9220</v>
      </c>
      <c r="C83" s="79">
        <v>7500</v>
      </c>
      <c r="D83" s="79">
        <v>8900</v>
      </c>
      <c r="E83" s="79">
        <v>9160</v>
      </c>
      <c r="F83" s="79">
        <v>8550</v>
      </c>
      <c r="G83" s="79">
        <v>9220</v>
      </c>
      <c r="H83" s="80"/>
    </row>
    <row r="84" spans="1:8" x14ac:dyDescent="0.4">
      <c r="A84" s="83" t="s">
        <v>434</v>
      </c>
      <c r="B84" s="78">
        <f t="shared" si="1"/>
        <v>8620</v>
      </c>
      <c r="C84" s="79">
        <v>7400</v>
      </c>
      <c r="D84" s="79">
        <v>9000</v>
      </c>
      <c r="E84" s="79">
        <v>9300</v>
      </c>
      <c r="F84" s="79">
        <v>7910</v>
      </c>
      <c r="G84" s="79">
        <v>8620</v>
      </c>
      <c r="H84" s="80"/>
    </row>
    <row r="85" spans="1:8" x14ac:dyDescent="0.4">
      <c r="A85" s="83" t="s">
        <v>435</v>
      </c>
      <c r="B85" s="78">
        <f t="shared" si="1"/>
        <v>17400</v>
      </c>
      <c r="C85" s="79" t="s">
        <v>364</v>
      </c>
      <c r="D85" s="79">
        <v>10800</v>
      </c>
      <c r="E85" s="79">
        <v>17200</v>
      </c>
      <c r="F85" s="79">
        <v>16100</v>
      </c>
      <c r="G85" s="79">
        <v>17400</v>
      </c>
      <c r="H85" s="80"/>
    </row>
    <row r="86" spans="1:8" x14ac:dyDescent="0.4">
      <c r="A86" s="83" t="s">
        <v>436</v>
      </c>
      <c r="B86" s="78">
        <f t="shared" si="1"/>
        <v>24300</v>
      </c>
      <c r="C86" s="79">
        <v>23900</v>
      </c>
      <c r="D86" s="79">
        <v>22200</v>
      </c>
      <c r="E86" s="79">
        <v>22800</v>
      </c>
      <c r="F86" s="79">
        <v>23500</v>
      </c>
      <c r="G86" s="79">
        <v>24300</v>
      </c>
      <c r="H86" s="80"/>
    </row>
    <row r="87" spans="1:8" x14ac:dyDescent="0.4">
      <c r="A87" s="83" t="s">
        <v>437</v>
      </c>
      <c r="B87" s="78">
        <f t="shared" si="1"/>
        <v>3</v>
      </c>
      <c r="C87" s="80">
        <v>5</v>
      </c>
      <c r="D87" s="80">
        <v>5</v>
      </c>
      <c r="E87" s="80">
        <v>5</v>
      </c>
      <c r="F87" s="80">
        <v>3</v>
      </c>
      <c r="G87" s="96">
        <v>3</v>
      </c>
      <c r="H87" s="80" t="s">
        <v>438</v>
      </c>
    </row>
  </sheetData>
  <mergeCells count="1">
    <mergeCell ref="H27:H7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7"/>
  <dimension ref="B2:K24"/>
  <sheetViews>
    <sheetView topLeftCell="F1" zoomScale="175" zoomScaleNormal="175" workbookViewId="0">
      <selection activeCell="I15" sqref="I15"/>
    </sheetView>
  </sheetViews>
  <sheetFormatPr defaultColWidth="9" defaultRowHeight="13.5" x14ac:dyDescent="0.4"/>
  <cols>
    <col min="1" max="3" width="9" style="4"/>
    <col min="4" max="4" width="10.1796875" style="4" bestFit="1" customWidth="1"/>
    <col min="5" max="5" width="54" style="4" bestFit="1" customWidth="1"/>
    <col min="6" max="6" width="10.453125" style="4" customWidth="1"/>
    <col min="7" max="7" width="11.36328125" style="4" bestFit="1" customWidth="1"/>
    <col min="8" max="8" width="33.08984375" style="4" bestFit="1" customWidth="1"/>
    <col min="9" max="9" width="28.90625" style="4" customWidth="1"/>
    <col min="10" max="10" width="14.81640625" style="4" customWidth="1"/>
    <col min="11" max="11" width="16.90625" style="4" customWidth="1"/>
    <col min="12" max="16384" width="9" style="4"/>
  </cols>
  <sheetData>
    <row r="2" spans="2:11" ht="54" x14ac:dyDescent="0.4">
      <c r="B2" s="2" t="s">
        <v>34</v>
      </c>
      <c r="C2" s="2" t="s">
        <v>24</v>
      </c>
      <c r="D2" s="3" t="s">
        <v>0</v>
      </c>
      <c r="E2" s="2" t="s">
        <v>1</v>
      </c>
      <c r="F2" s="2" t="s">
        <v>131</v>
      </c>
      <c r="G2" s="4" t="s">
        <v>27</v>
      </c>
      <c r="H2" s="4" t="s">
        <v>33</v>
      </c>
      <c r="I2" s="4" t="s">
        <v>38</v>
      </c>
      <c r="J2" s="4" t="s">
        <v>139</v>
      </c>
      <c r="K2" s="4" t="s">
        <v>139</v>
      </c>
    </row>
    <row r="3" spans="2:11" x14ac:dyDescent="0.4">
      <c r="B3" s="4" t="s">
        <v>35</v>
      </c>
      <c r="C3" s="4" t="s">
        <v>37</v>
      </c>
      <c r="D3" s="4" t="s">
        <v>483</v>
      </c>
      <c r="E3" s="4" t="s">
        <v>2</v>
      </c>
      <c r="F3" s="4" t="s">
        <v>132</v>
      </c>
      <c r="G3" s="4" t="s">
        <v>28</v>
      </c>
      <c r="H3" s="4" t="s">
        <v>45</v>
      </c>
      <c r="I3" s="4" t="s">
        <v>39</v>
      </c>
      <c r="J3" s="4" t="s">
        <v>143</v>
      </c>
      <c r="K3" s="4" t="s">
        <v>140</v>
      </c>
    </row>
    <row r="4" spans="2:11" x14ac:dyDescent="0.4">
      <c r="B4" s="4" t="s">
        <v>36</v>
      </c>
      <c r="D4" s="4" t="s">
        <v>484</v>
      </c>
      <c r="E4" s="4" t="s">
        <v>3</v>
      </c>
      <c r="F4" s="4" t="s">
        <v>133</v>
      </c>
      <c r="G4" s="4" t="s">
        <v>29</v>
      </c>
      <c r="H4" s="4" t="s">
        <v>47</v>
      </c>
      <c r="I4" s="4" t="s">
        <v>40</v>
      </c>
      <c r="J4" s="4" t="s">
        <v>144</v>
      </c>
      <c r="K4" s="4" t="s">
        <v>148</v>
      </c>
    </row>
    <row r="5" spans="2:11" x14ac:dyDescent="0.4">
      <c r="D5" s="4" t="s">
        <v>565</v>
      </c>
      <c r="E5" s="4" t="s">
        <v>4</v>
      </c>
      <c r="F5" s="4" t="s">
        <v>134</v>
      </c>
      <c r="G5" s="4" t="s">
        <v>30</v>
      </c>
      <c r="H5" s="4" t="s">
        <v>46</v>
      </c>
      <c r="I5" s="4" t="s">
        <v>41</v>
      </c>
      <c r="J5" s="4" t="s">
        <v>145</v>
      </c>
      <c r="K5" s="4" t="s">
        <v>141</v>
      </c>
    </row>
    <row r="6" spans="2:11" x14ac:dyDescent="0.4">
      <c r="D6" s="4" t="s">
        <v>566</v>
      </c>
      <c r="E6" s="4" t="s">
        <v>5</v>
      </c>
      <c r="F6" s="4" t="s">
        <v>135</v>
      </c>
      <c r="G6" s="4" t="s">
        <v>31</v>
      </c>
      <c r="I6" s="4" t="s">
        <v>42</v>
      </c>
      <c r="J6" s="4" t="s">
        <v>146</v>
      </c>
      <c r="K6" s="4" t="s">
        <v>149</v>
      </c>
    </row>
    <row r="7" spans="2:11" x14ac:dyDescent="0.4">
      <c r="D7" s="4" t="s">
        <v>567</v>
      </c>
      <c r="E7" s="4" t="s">
        <v>6</v>
      </c>
      <c r="F7" s="4" t="s">
        <v>138</v>
      </c>
      <c r="I7" s="4" t="s">
        <v>43</v>
      </c>
      <c r="J7" s="4" t="s">
        <v>147</v>
      </c>
      <c r="K7" s="4" t="s">
        <v>142</v>
      </c>
    </row>
    <row r="8" spans="2:11" x14ac:dyDescent="0.4">
      <c r="D8" s="4" t="s">
        <v>568</v>
      </c>
      <c r="E8" s="4" t="s">
        <v>7</v>
      </c>
      <c r="F8" s="4" t="s">
        <v>136</v>
      </c>
      <c r="I8" s="4" t="s">
        <v>44</v>
      </c>
      <c r="J8" s="4" t="s">
        <v>246</v>
      </c>
      <c r="K8" s="4" t="s">
        <v>247</v>
      </c>
    </row>
    <row r="9" spans="2:11" x14ac:dyDescent="0.4">
      <c r="E9" s="4" t="s">
        <v>8</v>
      </c>
      <c r="F9" s="4" t="s">
        <v>137</v>
      </c>
      <c r="J9" s="4" t="s">
        <v>248</v>
      </c>
      <c r="K9" s="4" t="s">
        <v>249</v>
      </c>
    </row>
    <row r="10" spans="2:11" x14ac:dyDescent="0.4">
      <c r="E10" s="4" t="s">
        <v>9</v>
      </c>
      <c r="F10" s="4" t="s">
        <v>584</v>
      </c>
      <c r="J10" s="4" t="s">
        <v>587</v>
      </c>
      <c r="K10" s="4" t="s">
        <v>588</v>
      </c>
    </row>
    <row r="11" spans="2:11" x14ac:dyDescent="0.4">
      <c r="E11" s="4" t="s">
        <v>10</v>
      </c>
      <c r="F11" s="4" t="s">
        <v>585</v>
      </c>
      <c r="J11" s="4" t="s">
        <v>662</v>
      </c>
      <c r="K11" s="4" t="s">
        <v>664</v>
      </c>
    </row>
    <row r="12" spans="2:11" x14ac:dyDescent="0.4">
      <c r="E12" s="4" t="s">
        <v>11</v>
      </c>
      <c r="F12" s="4" t="s">
        <v>586</v>
      </c>
    </row>
    <row r="13" spans="2:11" x14ac:dyDescent="0.4">
      <c r="E13" s="4" t="s">
        <v>12</v>
      </c>
      <c r="F13" s="4" t="s">
        <v>586</v>
      </c>
    </row>
    <row r="14" spans="2:11" x14ac:dyDescent="0.4">
      <c r="E14" s="4" t="s">
        <v>13</v>
      </c>
      <c r="F14" s="4" t="s">
        <v>586</v>
      </c>
    </row>
    <row r="15" spans="2:11" x14ac:dyDescent="0.4">
      <c r="E15" s="4" t="s">
        <v>14</v>
      </c>
      <c r="F15" s="4" t="s">
        <v>651</v>
      </c>
    </row>
    <row r="16" spans="2:11" x14ac:dyDescent="0.4">
      <c r="E16" s="4" t="s">
        <v>15</v>
      </c>
      <c r="F16" s="4" t="s">
        <v>651</v>
      </c>
    </row>
    <row r="17" spans="5:6" x14ac:dyDescent="0.4">
      <c r="E17" s="4" t="s">
        <v>16</v>
      </c>
      <c r="F17" s="4" t="s">
        <v>651</v>
      </c>
    </row>
    <row r="18" spans="5:6" x14ac:dyDescent="0.4">
      <c r="E18" s="4" t="s">
        <v>17</v>
      </c>
      <c r="F18" s="4" t="s">
        <v>651</v>
      </c>
    </row>
    <row r="19" spans="5:6" x14ac:dyDescent="0.4">
      <c r="E19" s="4" t="s">
        <v>18</v>
      </c>
      <c r="F19" s="4" t="s">
        <v>653</v>
      </c>
    </row>
    <row r="20" spans="5:6" x14ac:dyDescent="0.4">
      <c r="E20" s="4" t="s">
        <v>19</v>
      </c>
      <c r="F20" s="4" t="s">
        <v>653</v>
      </c>
    </row>
    <row r="21" spans="5:6" x14ac:dyDescent="0.4">
      <c r="E21" s="4" t="s">
        <v>20</v>
      </c>
      <c r="F21" s="4" t="s">
        <v>653</v>
      </c>
    </row>
    <row r="22" spans="5:6" x14ac:dyDescent="0.4">
      <c r="E22" s="4" t="s">
        <v>21</v>
      </c>
      <c r="F22" s="4" t="s">
        <v>653</v>
      </c>
    </row>
    <row r="23" spans="5:6" x14ac:dyDescent="0.4">
      <c r="E23" s="4" t="s">
        <v>22</v>
      </c>
      <c r="F23" s="4" t="s">
        <v>653</v>
      </c>
    </row>
    <row r="24" spans="5:6" x14ac:dyDescent="0.4">
      <c r="E24" s="4" t="s">
        <v>23</v>
      </c>
      <c r="F24" s="4" t="s">
        <v>652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8B3F-8762-49DE-AC1F-F03EB3836042}">
  <sheetPr codeName="工作表8">
    <tabColor theme="0" tint="-0.34998626667073579"/>
  </sheetPr>
  <dimension ref="A1:D12"/>
  <sheetViews>
    <sheetView zoomScale="70" zoomScaleNormal="70" workbookViewId="0">
      <selection activeCell="E85" sqref="E85"/>
    </sheetView>
  </sheetViews>
  <sheetFormatPr defaultColWidth="28.81640625" defaultRowHeight="15.5" x14ac:dyDescent="0.4"/>
  <cols>
    <col min="1" max="1" width="34.08984375" style="87" customWidth="1"/>
    <col min="2" max="2" width="53.81640625" style="87" customWidth="1"/>
    <col min="3" max="3" width="42.08984375" style="87" customWidth="1"/>
    <col min="4" max="4" width="28.81640625" style="87" customWidth="1"/>
    <col min="5" max="16384" width="28.81640625" style="87"/>
  </cols>
  <sheetData>
    <row r="1" spans="1:4" s="88" customFormat="1" ht="19.5" x14ac:dyDescent="0.4">
      <c r="A1" s="95" t="s">
        <v>474</v>
      </c>
      <c r="B1" s="87"/>
      <c r="C1" s="87"/>
      <c r="D1" s="87"/>
    </row>
    <row r="2" spans="1:4" s="88" customFormat="1" ht="30" x14ac:dyDescent="0.4">
      <c r="A2" s="94" t="s">
        <v>473</v>
      </c>
      <c r="B2" s="94" t="s">
        <v>472</v>
      </c>
      <c r="C2" s="93" t="s">
        <v>471</v>
      </c>
      <c r="D2" s="93" t="s">
        <v>470</v>
      </c>
    </row>
    <row r="3" spans="1:4" s="88" customFormat="1" ht="17" x14ac:dyDescent="0.4">
      <c r="A3" s="92" t="s">
        <v>469</v>
      </c>
      <c r="B3" s="91" t="s">
        <v>468</v>
      </c>
      <c r="C3" s="90" t="s">
        <v>467</v>
      </c>
      <c r="D3" s="90" t="s">
        <v>457</v>
      </c>
    </row>
    <row r="4" spans="1:4" s="88" customFormat="1" ht="17" x14ac:dyDescent="0.4">
      <c r="A4" s="92" t="s">
        <v>466</v>
      </c>
      <c r="B4" s="91" t="s">
        <v>465</v>
      </c>
      <c r="C4" s="90" t="s">
        <v>464</v>
      </c>
      <c r="D4" s="90" t="s">
        <v>457</v>
      </c>
    </row>
    <row r="5" spans="1:4" s="88" customFormat="1" ht="17" x14ac:dyDescent="0.4">
      <c r="A5" s="92" t="s">
        <v>463</v>
      </c>
      <c r="B5" s="91" t="s">
        <v>462</v>
      </c>
      <c r="C5" s="90" t="s">
        <v>461</v>
      </c>
      <c r="D5" s="90" t="s">
        <v>457</v>
      </c>
    </row>
    <row r="6" spans="1:4" s="88" customFormat="1" ht="17" x14ac:dyDescent="0.4">
      <c r="A6" s="92" t="s">
        <v>460</v>
      </c>
      <c r="B6" s="91" t="s">
        <v>459</v>
      </c>
      <c r="C6" s="90" t="s">
        <v>458</v>
      </c>
      <c r="D6" s="90" t="s">
        <v>457</v>
      </c>
    </row>
    <row r="7" spans="1:4" s="88" customFormat="1" ht="34" x14ac:dyDescent="0.4">
      <c r="A7" s="92" t="s">
        <v>456</v>
      </c>
      <c r="B7" s="91" t="s">
        <v>455</v>
      </c>
      <c r="C7" s="90" t="s">
        <v>454</v>
      </c>
      <c r="D7" s="90" t="s">
        <v>453</v>
      </c>
    </row>
    <row r="8" spans="1:4" s="88" customFormat="1" ht="17" x14ac:dyDescent="0.4">
      <c r="A8" s="92" t="s">
        <v>452</v>
      </c>
      <c r="B8" s="91" t="s">
        <v>451</v>
      </c>
      <c r="C8" s="90" t="s">
        <v>450</v>
      </c>
      <c r="D8" s="90" t="s">
        <v>449</v>
      </c>
    </row>
    <row r="9" spans="1:4" s="88" customFormat="1" ht="17" x14ac:dyDescent="0.4">
      <c r="A9" s="92" t="s">
        <v>448</v>
      </c>
      <c r="B9" s="91" t="s">
        <v>447</v>
      </c>
      <c r="C9" s="90" t="s">
        <v>446</v>
      </c>
      <c r="D9" s="90" t="s">
        <v>445</v>
      </c>
    </row>
    <row r="10" spans="1:4" s="88" customFormat="1" ht="17" x14ac:dyDescent="0.4">
      <c r="A10" s="92" t="s">
        <v>444</v>
      </c>
      <c r="B10" s="91" t="s">
        <v>443</v>
      </c>
      <c r="C10" s="90" t="s">
        <v>442</v>
      </c>
      <c r="D10" s="90" t="s">
        <v>441</v>
      </c>
    </row>
    <row r="11" spans="1:4" s="88" customFormat="1" ht="17" x14ac:dyDescent="0.4">
      <c r="A11" s="89" t="s">
        <v>440</v>
      </c>
      <c r="B11" s="87"/>
      <c r="C11" s="87"/>
      <c r="D11" s="87"/>
    </row>
    <row r="12" spans="1:4" s="88" customFormat="1" ht="17" x14ac:dyDescent="0.4">
      <c r="A12" s="87" t="s">
        <v>439</v>
      </c>
      <c r="B12" s="87"/>
      <c r="C12" s="87"/>
      <c r="D12" s="87"/>
    </row>
  </sheetData>
  <phoneticPr fontId="1" type="noConversion"/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V N Q V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I 1 T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1 B U K I p H u A 4 A A A A R A A A A E w A c A E Z v c m 1 1 b G F z L 1 N l Y 3 R p b 2 4 x L m 0 g o h g A K K A U A A A A A A A A A A A A A A A A A A A A A A A A A A A A K 0 5 N L s n M z 1 M I h t C G 1 g B Q S w E C L Q A U A A I A C A C N U 1 B U i 6 f 2 g 6 g A A A D 4 A A A A E g A A A A A A A A A A A A A A A A A A A A A A Q 2 9 u Z m l n L 1 B h Y 2 t h Z 2 U u e G 1 s U E s B A i 0 A F A A C A A g A j V N Q V A / K 6 a u k A A A A 6 Q A A A B M A A A A A A A A A A A A A A A A A 9 A A A A F t D b 2 5 0 Z W 5 0 X 1 R 5 c G V z X S 5 4 b W x Q S w E C L Q A U A A I A C A C N U 1 B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A h / 6 v n D w E C a v L d m i J I 8 X A A A A A A C A A A A A A A D Z g A A w A A A A B A A A A A i W j t w e R h 4 D y 3 q 5 q i a + v U 4 A A A A A A S A A A C g A A A A E A A A A P Q i 9 e M m v J k X Y z C F j k c O W v x Q A A A A j d s h 6 q u d 0 o b 0 D w x e B 9 N k s n p V r X 6 o q z 1 S i x S 0 T i j F 8 C K M e W q X w a l c W v R T a C d i n K G O b A R L i S / V A 7 n v S o Z G t I 3 Y F 2 z 0 v r z 6 m I 3 W 6 1 X o + 7 t L h r I U A A A A t / 9 w f a B 3 u x M M 6 b J c c A q i y h V 5 q O 4 = < / D a t a M a s h u p > 
</file>

<file path=customXml/itemProps1.xml><?xml version="1.0" encoding="utf-8"?>
<ds:datastoreItem xmlns:ds="http://schemas.openxmlformats.org/officeDocument/2006/customXml" ds:itemID="{AE4EDF45-85D6-4AAF-803B-A00E3B09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廠商資料</vt:lpstr>
      <vt:lpstr>排放源鑑別</vt:lpstr>
      <vt:lpstr>排放量計算</vt:lpstr>
      <vt:lpstr>碳盤查彙整表</vt:lpstr>
      <vt:lpstr>係數管理表</vt:lpstr>
      <vt:lpstr>冷媒GWP</vt:lpstr>
      <vt:lpstr>製表用</vt:lpstr>
      <vt:lpstr>設備之冷媒逸散率排放因子及相關係數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產基會_范御羣</cp:lastModifiedBy>
  <dcterms:created xsi:type="dcterms:W3CDTF">2022-01-04T08:48:52Z</dcterms:created>
  <dcterms:modified xsi:type="dcterms:W3CDTF">2024-09-25T06:42:33Z</dcterms:modified>
</cp:coreProperties>
</file>