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FB9E5D9-02C1-4B29-AC9A-BBD2D4A4F417}" xr6:coauthVersionLast="44" xr6:coauthVersionMax="44" xr10:uidLastSave="{00000000-0000-0000-0000-000000000000}"/>
  <bookViews>
    <workbookView xWindow="5085" yWindow="4155" windowWidth="20910" windowHeight="11835" activeTab="3" xr2:uid="{00000000-000D-0000-FFFF-FFFF00000000}"/>
  </bookViews>
  <sheets>
    <sheet name="データシート1" sheetId="1" r:id="rId1"/>
    <sheet name="データシート2" sheetId="2" r:id="rId2"/>
    <sheet name="考察用シート1" sheetId="3" r:id="rId3"/>
    <sheet name="toLatex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5" l="1"/>
  <c r="E5" i="5" s="1"/>
  <c r="D4" i="5"/>
  <c r="E4" i="5" s="1"/>
  <c r="D3" i="5"/>
  <c r="E3" i="5" s="1"/>
  <c r="D2" i="5"/>
  <c r="E2" i="5" s="1"/>
  <c r="I45" i="2" l="1"/>
  <c r="I31" i="2"/>
  <c r="I17" i="2"/>
  <c r="I43" i="2"/>
  <c r="I29" i="2"/>
  <c r="I42" i="2"/>
  <c r="I28" i="2"/>
  <c r="I15" i="2"/>
  <c r="I14" i="2"/>
  <c r="C12" i="2"/>
  <c r="K12" i="3" l="1"/>
  <c r="H13" i="3" l="1"/>
  <c r="L13" i="3" s="1"/>
  <c r="G13" i="3"/>
  <c r="K13" i="3" s="1"/>
  <c r="I14" i="3"/>
  <c r="M14" i="3" s="1"/>
  <c r="J14" i="3"/>
  <c r="G14" i="3"/>
  <c r="K14" i="3" s="1"/>
  <c r="H14" i="3"/>
  <c r="L14" i="3" s="1"/>
  <c r="N14" i="3"/>
  <c r="C4" i="3"/>
  <c r="F4" i="3" s="1"/>
  <c r="C3" i="3"/>
  <c r="C2" i="3"/>
  <c r="F2" i="3" s="1"/>
  <c r="G12" i="3" l="1"/>
  <c r="G10" i="3"/>
  <c r="K10" i="3" s="1"/>
  <c r="H11" i="3"/>
  <c r="L11" i="3" s="1"/>
  <c r="G11" i="3"/>
  <c r="G9" i="3"/>
  <c r="K9" i="3" s="1"/>
  <c r="H12" i="3"/>
  <c r="L12" i="3" s="1"/>
  <c r="H9" i="3"/>
  <c r="L9" i="3" s="1"/>
  <c r="H10" i="3"/>
  <c r="L10" i="3" s="1"/>
  <c r="K11" i="3"/>
  <c r="E44" i="2"/>
  <c r="E43" i="2"/>
  <c r="E30" i="2"/>
  <c r="E29" i="2"/>
  <c r="E16" i="2"/>
  <c r="E15" i="2"/>
  <c r="E35" i="2" l="1"/>
  <c r="I12" i="2" l="1"/>
  <c r="F41" i="2"/>
  <c r="F39" i="2"/>
  <c r="C41" i="2"/>
  <c r="E36" i="2"/>
  <c r="F36" i="2" s="1"/>
  <c r="E37" i="2"/>
  <c r="F37" i="2" s="1"/>
  <c r="E38" i="2"/>
  <c r="F38" i="2" s="1"/>
  <c r="F35" i="2"/>
  <c r="F12" i="2"/>
  <c r="F25" i="2"/>
  <c r="F11" i="2"/>
  <c r="F27" i="2"/>
  <c r="C27" i="2"/>
  <c r="E22" i="2"/>
  <c r="F22" i="2" s="1"/>
  <c r="E23" i="2"/>
  <c r="F23" i="2" s="1"/>
  <c r="E24" i="2"/>
  <c r="F24" i="2" s="1"/>
  <c r="E21" i="2"/>
  <c r="F21" i="2" s="1"/>
  <c r="F13" i="2"/>
  <c r="C13" i="2"/>
  <c r="C11" i="2"/>
  <c r="F8" i="2"/>
  <c r="F9" i="2"/>
  <c r="F10" i="2"/>
  <c r="F7" i="2"/>
  <c r="E8" i="2"/>
  <c r="E9" i="2"/>
  <c r="E10" i="2"/>
  <c r="E7" i="2"/>
  <c r="F3" i="2"/>
  <c r="G9" i="1"/>
  <c r="H9" i="1"/>
  <c r="H10" i="1"/>
  <c r="H11" i="1"/>
  <c r="H12" i="1"/>
  <c r="G10" i="1"/>
  <c r="G11" i="1"/>
  <c r="G12" i="1"/>
  <c r="F9" i="1"/>
  <c r="F10" i="1"/>
  <c r="F11" i="1"/>
  <c r="F12" i="1"/>
  <c r="E10" i="1"/>
  <c r="E11" i="1"/>
  <c r="E12" i="1"/>
  <c r="E9" i="1"/>
  <c r="F4" i="1"/>
  <c r="F2" i="1"/>
  <c r="C3" i="1"/>
  <c r="C4" i="1"/>
  <c r="C2" i="1"/>
  <c r="C39" i="2" l="1"/>
  <c r="C40" i="2" s="1"/>
  <c r="F40" i="2" s="1"/>
  <c r="I40" i="2"/>
  <c r="I26" i="2"/>
  <c r="C25" i="2"/>
  <c r="C26" i="2" s="1"/>
  <c r="F26" i="2" s="1"/>
</calcChain>
</file>

<file path=xl/sharedStrings.xml><?xml version="1.0" encoding="utf-8"?>
<sst xmlns="http://schemas.openxmlformats.org/spreadsheetml/2006/main" count="114" uniqueCount="60">
  <si>
    <t>d</t>
    <phoneticPr fontId="1"/>
  </si>
  <si>
    <t>L[m]</t>
    <phoneticPr fontId="1"/>
  </si>
  <si>
    <t>x0[m]</t>
    <phoneticPr fontId="1"/>
  </si>
  <si>
    <t>d[m]</t>
    <phoneticPr fontId="1"/>
  </si>
  <si>
    <t>色</t>
    <rPh sb="0" eb="1">
      <t>イロ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</si>
  <si>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</si>
  <si>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</si>
  <si>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</si>
  <si>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</si>
  <si>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青</t>
    <rPh sb="0" eb="1">
      <t>アオ</t>
    </rPh>
    <phoneticPr fontId="1"/>
  </si>
  <si>
    <t>緑</t>
    <rPh sb="0" eb="1">
      <t>ミドリ</t>
    </rPh>
    <phoneticPr fontId="1"/>
  </si>
  <si>
    <t>黄</t>
    <rPh sb="0" eb="1">
      <t>キ</t>
    </rPh>
    <phoneticPr fontId="1"/>
  </si>
  <si>
    <t>赤</t>
    <rPh sb="0" eb="1">
      <t>アカ</t>
    </rPh>
    <phoneticPr fontId="1"/>
  </si>
  <si>
    <t>x1[cm]</t>
    <phoneticPr fontId="1"/>
  </si>
  <si>
    <t>L[cm]</t>
    <phoneticPr fontId="1"/>
  </si>
  <si>
    <t>x0[cm]</t>
    <phoneticPr fontId="1"/>
  </si>
  <si>
    <t>x1-x0[cm]</t>
    <phoneticPr fontId="1"/>
  </si>
  <si>
    <t>λ[nm]</t>
    <phoneticPr fontId="1"/>
  </si>
  <si>
    <t>λ[m]</t>
    <phoneticPr fontId="1"/>
  </si>
  <si>
    <t>単スリット</t>
    <rPh sb="0" eb="1">
      <t>タン</t>
    </rPh>
    <phoneticPr fontId="1"/>
  </si>
  <si>
    <t>n</t>
    <phoneticPr fontId="1"/>
  </si>
  <si>
    <t>(x_+n-x_-n)/2[cm]</t>
    <phoneticPr fontId="1"/>
  </si>
  <si>
    <t>(x_+n-x_-n)/2[m]</t>
  </si>
  <si>
    <t>(x_+n-x_-n)/2[m]</t>
    <phoneticPr fontId="1"/>
  </si>
  <si>
    <t>A1</t>
    <phoneticPr fontId="1"/>
  </si>
  <si>
    <t>a</t>
    <phoneticPr fontId="1"/>
  </si>
  <si>
    <t>a\</t>
    <phoneticPr fontId="1"/>
  </si>
  <si>
    <t>u_A1</t>
    <phoneticPr fontId="1"/>
  </si>
  <si>
    <t>u_a</t>
    <phoneticPr fontId="1"/>
  </si>
  <si>
    <t>u_a\</t>
    <phoneticPr fontId="1"/>
  </si>
  <si>
    <t>b</t>
    <phoneticPr fontId="1"/>
  </si>
  <si>
    <t>ダブルスリット</t>
    <phoneticPr fontId="1"/>
  </si>
  <si>
    <t>x_+n[cm]</t>
    <phoneticPr fontId="1"/>
  </si>
  <si>
    <t>x_-n[cm]</t>
    <phoneticPr fontId="1"/>
  </si>
  <si>
    <t>A2</t>
    <phoneticPr fontId="1"/>
  </si>
  <si>
    <t>b\</t>
    <phoneticPr fontId="1"/>
  </si>
  <si>
    <t>u_A2</t>
    <phoneticPr fontId="1"/>
  </si>
  <si>
    <t>u_b</t>
    <phoneticPr fontId="1"/>
  </si>
  <si>
    <t>u_b\</t>
    <phoneticPr fontId="1"/>
  </si>
  <si>
    <t>回折格子</t>
    <rPh sb="0" eb="2">
      <t>カイセツ</t>
    </rPh>
    <rPh sb="2" eb="4">
      <t>コウシ</t>
    </rPh>
    <phoneticPr fontId="1"/>
  </si>
  <si>
    <t>A3</t>
    <phoneticPr fontId="1"/>
  </si>
  <si>
    <t>d\</t>
    <phoneticPr fontId="1"/>
  </si>
  <si>
    <t>u_A3</t>
    <phoneticPr fontId="1"/>
  </si>
  <si>
    <t>u_d</t>
    <phoneticPr fontId="1"/>
  </si>
  <si>
    <t>u_d\</t>
    <phoneticPr fontId="1"/>
  </si>
  <si>
    <t>y切片</t>
    <rPh sb="1" eb="3">
      <t>セッペン</t>
    </rPh>
    <phoneticPr fontId="1"/>
  </si>
  <si>
    <t>y</t>
    <phoneticPr fontId="1"/>
  </si>
  <si>
    <t>x</t>
    <phoneticPr fontId="1"/>
  </si>
  <si>
    <t>フィルター</t>
    <phoneticPr fontId="1"/>
  </si>
  <si>
    <t>左1</t>
    <rPh sb="0" eb="1">
      <t>ヒダリ</t>
    </rPh>
    <phoneticPr fontId="1"/>
  </si>
  <si>
    <t>右1</t>
    <rPh sb="0" eb="1">
      <t>ミギ</t>
    </rPh>
    <phoneticPr fontId="1"/>
  </si>
  <si>
    <t>左2</t>
    <rPh sb="0" eb="1">
      <t>ヒダリ</t>
    </rPh>
    <phoneticPr fontId="1"/>
  </si>
  <si>
    <t>右2</t>
    <rPh sb="0" eb="1">
      <t>ミギ</t>
    </rPh>
    <phoneticPr fontId="1"/>
  </si>
  <si>
    <t>上1</t>
    <rPh sb="0" eb="1">
      <t>ウエ</t>
    </rPh>
    <phoneticPr fontId="1"/>
  </si>
  <si>
    <t>下1</t>
    <rPh sb="0" eb="1">
      <t>シタ</t>
    </rPh>
    <phoneticPr fontId="1"/>
  </si>
  <si>
    <t>上2</t>
    <rPh sb="0" eb="1">
      <t>ウエ</t>
    </rPh>
    <phoneticPr fontId="1"/>
  </si>
  <si>
    <t>下2</t>
    <rPh sb="0" eb="1">
      <t>シタ</t>
    </rPh>
    <phoneticPr fontId="1"/>
  </si>
  <si>
    <t>誤差</t>
    <rPh sb="0" eb="2">
      <t>ゴサ</t>
    </rPh>
    <phoneticPr fontId="1"/>
  </si>
  <si>
    <t>影響</t>
    <rPh sb="0" eb="2">
      <t>エイキョウ</t>
    </rPh>
    <phoneticPr fontId="1"/>
  </si>
  <si>
    <t>誤差率</t>
    <rPh sb="0" eb="2">
      <t>ゴサ</t>
    </rPh>
    <rPh sb="2" eb="3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</si>
</sst>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.E+00"/>
    <numFmt numFmtId="177" formatCode="0.000.E+00"/>
    <numFmt numFmtId="178" formatCode="0_);[Red]\(0\)"/>
    <numFmt numFmtId="179" formatCode="0.00_);[Red]\(0.00\)"/>
    <numFmt numFmtId="180" formatCode="0.0000"/>
    <numFmt numFmtId="181" formatCode="0.0000_);[Red]\(0.0000\)"/>
    <numFmt numFmtId="182" formatCode="0.0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78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179" fontId="0" fillId="0" borderId="1" xfId="0" applyNumberFormat="1" applyBorder="1" applyAlignment="1">
      <alignment vertical="center"/>
    </xf>
    <xf numFmtId="18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0" xfId="0" applyNumberFormat="1" applyBorder="1"/>
    <xf numFmtId="176" fontId="0" fillId="0" borderId="8" xfId="0" applyNumberFormat="1" applyBorder="1"/>
    <xf numFmtId="0" fontId="0" fillId="0" borderId="9" xfId="0" applyBorder="1"/>
    <xf numFmtId="2" fontId="0" fillId="0" borderId="10" xfId="0" applyNumberFormat="1" applyBorder="1"/>
    <xf numFmtId="176" fontId="0" fillId="0" borderId="11" xfId="0" applyNumberFormat="1" applyBorder="1"/>
    <xf numFmtId="176" fontId="0" fillId="0" borderId="0" xfId="0" applyNumberFormat="1" applyBorder="1"/>
    <xf numFmtId="0" fontId="0" fillId="0" borderId="0" xfId="0" applyBorder="1"/>
    <xf numFmtId="176" fontId="0" fillId="0" borderId="8" xfId="0" applyNumberFormat="1" applyFill="1" applyBorder="1"/>
    <xf numFmtId="176" fontId="0" fillId="0" borderId="10" xfId="0" applyNumberFormat="1" applyBorder="1"/>
    <xf numFmtId="0" fontId="0" fillId="0" borderId="10" xfId="0" applyBorder="1"/>
    <xf numFmtId="177" fontId="0" fillId="0" borderId="10" xfId="0" applyNumberFormat="1" applyBorder="1"/>
    <xf numFmtId="177" fontId="0" fillId="0" borderId="11" xfId="0" applyNumberFormat="1" applyBorder="1"/>
    <xf numFmtId="176" fontId="0" fillId="0" borderId="6" xfId="0" applyNumberFormat="1" applyBorder="1"/>
    <xf numFmtId="176" fontId="0" fillId="0" borderId="6" xfId="0" applyNumberFormat="1" applyFill="1" applyBorder="1"/>
    <xf numFmtId="0" fontId="0" fillId="0" borderId="12" xfId="0" applyBorder="1"/>
    <xf numFmtId="176" fontId="0" fillId="0" borderId="5" xfId="0" applyNumberFormat="1" applyBorder="1"/>
    <xf numFmtId="176" fontId="0" fillId="0" borderId="13" xfId="0" applyNumberFormat="1" applyBorder="1"/>
    <xf numFmtId="181" fontId="0" fillId="0" borderId="8" xfId="0" applyNumberFormat="1" applyBorder="1"/>
    <xf numFmtId="181" fontId="0" fillId="0" borderId="11" xfId="0" applyNumberFormat="1" applyBorder="1"/>
    <xf numFmtId="182" fontId="0" fillId="0" borderId="6" xfId="0" applyNumberFormat="1" applyBorder="1"/>
    <xf numFmtId="182" fontId="0" fillId="0" borderId="11" xfId="0" applyNumberFormat="1" applyBorder="1"/>
    <xf numFmtId="2" fontId="0" fillId="2" borderId="1" xfId="0" applyNumberForma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177" fontId="0" fillId="0" borderId="0" xfId="0" applyNumberFormat="1" applyBorder="1"/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データシート2!$I$6</c:f>
              <c:strCache>
                <c:ptCount val="1"/>
                <c:pt idx="0">
                  <c:v>(x_+n-x_-n)/2[m]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データシート2!$H$7:$H$10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データシート2!$I$7:$I$10</c:f>
              <c:numCache>
                <c:formatCode>0.0000_);[Red]\(0.0000\)</c:formatCode>
                <c:ptCount val="4"/>
                <c:pt idx="0">
                  <c:v>3.1000000000000014E-2</c:v>
                </c:pt>
                <c:pt idx="1">
                  <c:v>6.5000000000000002E-2</c:v>
                </c:pt>
                <c:pt idx="2">
                  <c:v>9.4999999999999987E-2</c:v>
                </c:pt>
                <c:pt idx="3">
                  <c:v>0.12499999999999999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6-4F56-A5BA-17A983716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999680"/>
        <c:axId val="1171589568"/>
      </c:scatterChart>
      <c:valAx>
        <c:axId val="7779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1589568"/>
        <c:crosses val="autoZero"/>
        <c:crossBetween val="midCat"/>
      </c:valAx>
      <c:valAx>
        <c:axId val="11715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7799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データシート2!$I$20</c:f>
              <c:strCache>
                <c:ptCount val="1"/>
                <c:pt idx="0">
                  <c:v>(x_+n-x_-n)/2[m]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データシート2!$H$21:$H$24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データシート2!$I$21:$I$24</c:f>
              <c:numCache>
                <c:formatCode>0.0000_);[Red]\(0.0000\)</c:formatCode>
                <c:ptCount val="4"/>
                <c:pt idx="0">
                  <c:v>5.2500000000000038E-3</c:v>
                </c:pt>
                <c:pt idx="1">
                  <c:v>1.7000000000000012E-2</c:v>
                </c:pt>
                <c:pt idx="2">
                  <c:v>2.6899999999999997E-2</c:v>
                </c:pt>
                <c:pt idx="3">
                  <c:v>3.7249999999999998E-2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1F-477E-B552-112028BAC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524944"/>
        <c:axId val="1272395392"/>
      </c:scatterChart>
      <c:valAx>
        <c:axId val="118052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2395392"/>
        <c:crosses val="autoZero"/>
        <c:crossBetween val="midCat"/>
      </c:valAx>
      <c:valAx>
        <c:axId val="12723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052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データシート2!$I$34</c:f>
              <c:strCache>
                <c:ptCount val="1"/>
                <c:pt idx="0">
                  <c:v>(x_+n-x_-n)/2[m]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データシート2!$H$35:$H$38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データシート2!$I$35:$I$38</c:f>
              <c:numCache>
                <c:formatCode>0.0000_);[Red]\(0.0000\)</c:formatCode>
                <c:ptCount val="4"/>
                <c:pt idx="0">
                  <c:v>1.6100000000000014E-2</c:v>
                </c:pt>
                <c:pt idx="1">
                  <c:v>3.2050000000000002E-2</c:v>
                </c:pt>
                <c:pt idx="2">
                  <c:v>4.7500000000000001E-2</c:v>
                </c:pt>
                <c:pt idx="3">
                  <c:v>6.9149999999999989E-2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C7-495E-B814-6D3E9AFB5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196096"/>
        <c:axId val="1272417856"/>
      </c:scatterChart>
      <c:valAx>
        <c:axId val="128319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2417856"/>
        <c:crosses val="autoZero"/>
        <c:crossBetween val="midCat"/>
      </c:valAx>
      <c:valAx>
        <c:axId val="127241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8319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275167</xdr:colOff>
      <xdr:row>2</xdr:row>
      <xdr:rowOff>152400</xdr:rowOff>
    </xdr:from>
    <xdr:to>
      <xdr:col>16</xdr:col>
      <xdr:colOff>31750</xdr:colOff>
      <xdr:row>13</xdr:row>
      <xdr:rowOff>218016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86E5CBB-9BFD-4872-BCC7-0E1EAA217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177426</xdr:colOff>
      <xdr:row>17</xdr:row>
      <xdr:rowOff>140321</xdr:rowOff>
    </xdr:from>
    <xdr:to>
      <xdr:col>15</xdr:col>
      <xdr:colOff>621926</xdr:colOff>
      <xdr:row>28</xdr:row>
      <xdr:rowOff>205938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83AFBB6A-E837-4644-83B3-A6EDEDDC7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262219</xdr:colOff>
      <xdr:row>31</xdr:row>
      <xdr:rowOff>170330</xdr:rowOff>
    </xdr:from>
    <xdr:to>
      <xdr:col>16</xdr:col>
      <xdr:colOff>34366</xdr:colOff>
      <xdr:row>43</xdr:row>
      <xdr:rowOff>2864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D21ECFA8-1E1D-432A-B16B-053BB6E0B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workbookViewId="0">
      <selection sqref="A1:XFD1048576"/>
    </sheetView>
  </sheetViews>
  <sheetFormatPr defaultColWidth="9" defaultRowHeight="18.75"/>
  <cols>
    <col min="1" max="2" width="9" style="3"/>
    <col min="3" max="3" width="12.625" style="3" bestFit="1" customWidth="1"/>
    <col min="4" max="4" width="9" style="3"/>
    <col min="5" max="5" width="10" style="3" bestFit="1" customWidth="1"/>
    <col min="6" max="6" width="11.125" style="3" bestFit="1" customWidth="1"/>
    <col min="7" max="8" width="10.375" style="3" bestFit="1" customWidth="1"/>
    <col min="9" max="16384" width="9" style="3"/>
  </cols>
  <sheetData>
    <row r="2" spans="2:8">
      <c r="B2" s="3" t="s">
        <v>1</v>
      </c>
      <c r="C2" s="4">
        <f>15.1*10^-2</f>
        <v>0.151</v>
      </c>
      <c r="E2" s="3" t="s">
        <v>14</v>
      </c>
      <c r="F2" s="4">
        <f>C2*10^2</f>
        <v>15.1</v>
      </c>
    </row>
    <row r="3" spans="2:8">
      <c r="B3" s="3" t="s">
        <v>3</v>
      </c>
      <c r="C3" s="5">
        <f>2*10^-6</f>
        <v>1.9999999999999999E-6</v>
      </c>
    </row>
    <row r="4" spans="2:8">
      <c r="B4" s="3" t="s">
        <v>2</v>
      </c>
      <c r="C4" s="5">
        <f>-0.19*10^-2</f>
        <v>-1.9E-3</v>
      </c>
      <c r="E4" s="3" t="s">
        <v>15</v>
      </c>
      <c r="F4" s="5">
        <f>C4*10^2</f>
        <v>-0.19</v>
      </c>
    </row>
    <row r="7" spans="2:8">
      <c r="B7" s="42" t="s">
        <v>4</v>
      </c>
      <c r="C7" s="42" t="s">
        <v>13</v>
      </c>
      <c r="D7" s="42"/>
      <c r="E7" s="42" t="s">
        <v>16</v>
      </c>
      <c r="F7" s="42"/>
      <c r="G7" s="42" t="s">
        <v>17</v>
      </c>
      <c r="H7" s="42"/>
    </row>
    <row r="8" spans="2:8">
      <c r="B8" s="42"/>
      <c r="C8" s="6" t="s">
        <v>5</v>
      </c>
      <c r="D8" s="6" t="s">
        <v>6</v>
      </c>
      <c r="E8" s="6" t="s">
        <v>5</v>
      </c>
      <c r="F8" s="6" t="s">
        <v>6</v>
      </c>
      <c r="G8" s="6" t="s">
        <v>7</v>
      </c>
      <c r="H8" s="6" t="s">
        <v>8</v>
      </c>
    </row>
    <row r="9" spans="2:8">
      <c r="B9" s="6" t="s">
        <v>9</v>
      </c>
      <c r="C9" s="8">
        <v>3.3</v>
      </c>
      <c r="D9" s="8">
        <v>3.62</v>
      </c>
      <c r="E9" s="9">
        <f>C9-$F$4</f>
        <v>3.4899999999999998</v>
      </c>
      <c r="F9" s="9">
        <f>D9-$F$4</f>
        <v>3.81</v>
      </c>
      <c r="G9" s="7">
        <f>$C$3*E9*10^-2/$C$2 *10^9</f>
        <v>462.25165562913901</v>
      </c>
      <c r="H9" s="7">
        <f>$C$3*F9*10^-2/$C$2 *10^9</f>
        <v>504.63576158940401</v>
      </c>
    </row>
    <row r="10" spans="2:8">
      <c r="B10" s="6" t="s">
        <v>10</v>
      </c>
      <c r="C10" s="8">
        <v>3.62</v>
      </c>
      <c r="D10" s="8">
        <v>4.3</v>
      </c>
      <c r="E10" s="9">
        <f t="shared" ref="E10:F12" si="0">C10-$F$4</f>
        <v>3.81</v>
      </c>
      <c r="F10" s="9">
        <f t="shared" si="0"/>
        <v>4.49</v>
      </c>
      <c r="G10" s="7">
        <f t="shared" ref="G10:H12" si="1">$C$3*E10*10^-2/$C$2 *10^9</f>
        <v>504.63576158940401</v>
      </c>
      <c r="H10" s="7">
        <f t="shared" si="1"/>
        <v>594.70198675496692</v>
      </c>
    </row>
    <row r="11" spans="2:8">
      <c r="B11" s="6" t="s">
        <v>11</v>
      </c>
      <c r="C11" s="8">
        <v>4.3</v>
      </c>
      <c r="D11" s="8">
        <v>4.5</v>
      </c>
      <c r="E11" s="9">
        <f t="shared" si="0"/>
        <v>4.49</v>
      </c>
      <c r="F11" s="9">
        <f t="shared" si="0"/>
        <v>4.6900000000000004</v>
      </c>
      <c r="G11" s="7">
        <f t="shared" si="1"/>
        <v>594.70198675496692</v>
      </c>
      <c r="H11" s="7">
        <f t="shared" si="1"/>
        <v>621.19205298013253</v>
      </c>
    </row>
    <row r="12" spans="2:8">
      <c r="B12" s="6" t="s">
        <v>12</v>
      </c>
      <c r="C12" s="8">
        <v>4.5</v>
      </c>
      <c r="D12" s="8">
        <v>5.25</v>
      </c>
      <c r="E12" s="9">
        <f t="shared" si="0"/>
        <v>4.6900000000000004</v>
      </c>
      <c r="F12" s="9">
        <f t="shared" si="0"/>
        <v>5.44</v>
      </c>
      <c r="G12" s="7">
        <f t="shared" si="1"/>
        <v>621.19205298013253</v>
      </c>
      <c r="H12" s="7">
        <f t="shared" si="1"/>
        <v>720.52980132450341</v>
      </c>
    </row>
  </sheetData>
  <mergeCells count="4">
    <mergeCell ref="B7:B8"/>
    <mergeCell ref="C7:D7"/>
    <mergeCell ref="E7:F7"/>
    <mergeCell ref="G7:H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4ADF-5E34-45BA-8F14-F816AF83E322}">
  <dimension ref="B2:I45"/>
  <sheetViews>
    <sheetView zoomScale="85" zoomScaleNormal="85" workbookViewId="0">
      <selection activeCell="B6" sqref="B6:F10"/>
    </sheetView>
  </sheetViews>
  <sheetFormatPr defaultRowHeight="18.75"/>
  <cols>
    <col min="2" max="2" width="14.5" customWidth="1"/>
    <col min="3" max="3" width="11.625" bestFit="1" customWidth="1"/>
    <col min="5" max="5" width="17.875" customWidth="1"/>
    <col min="6" max="6" width="17" customWidth="1"/>
    <col min="8" max="8" width="7.125" customWidth="1"/>
    <col min="9" max="9" width="17.5" customWidth="1"/>
  </cols>
  <sheetData>
    <row r="2" spans="2:9">
      <c r="B2" t="s">
        <v>1</v>
      </c>
      <c r="C2" s="10">
        <v>1</v>
      </c>
    </row>
    <row r="3" spans="2:9">
      <c r="B3" t="s">
        <v>17</v>
      </c>
      <c r="C3">
        <v>635</v>
      </c>
      <c r="E3" t="s">
        <v>18</v>
      </c>
      <c r="F3" s="1">
        <f>C3*10^-9</f>
        <v>6.3500000000000006E-7</v>
      </c>
    </row>
    <row r="4" spans="2:9" ht="19.5" thickBot="1"/>
    <row r="5" spans="2:9" ht="19.5" thickBot="1">
      <c r="B5" s="12" t="s">
        <v>19</v>
      </c>
    </row>
    <row r="6" spans="2:9">
      <c r="B6" s="13" t="s">
        <v>20</v>
      </c>
      <c r="C6" s="14" t="s">
        <v>32</v>
      </c>
      <c r="D6" s="14" t="s">
        <v>33</v>
      </c>
      <c r="E6" s="14" t="s">
        <v>21</v>
      </c>
      <c r="F6" s="15" t="s">
        <v>23</v>
      </c>
      <c r="H6" s="13" t="s">
        <v>20</v>
      </c>
      <c r="I6" s="15" t="s">
        <v>22</v>
      </c>
    </row>
    <row r="7" spans="2:9">
      <c r="B7" s="16">
        <v>1</v>
      </c>
      <c r="C7" s="17">
        <v>26.1</v>
      </c>
      <c r="D7" s="17">
        <v>19.899999999999999</v>
      </c>
      <c r="E7" s="22">
        <f>(C7-D7)/2</f>
        <v>3.1000000000000014</v>
      </c>
      <c r="F7" s="18">
        <f>E7*10^-2</f>
        <v>3.1000000000000014E-2</v>
      </c>
      <c r="H7" s="16">
        <v>1</v>
      </c>
      <c r="I7" s="34">
        <v>3.1000000000000014E-2</v>
      </c>
    </row>
    <row r="8" spans="2:9">
      <c r="B8" s="16">
        <v>2</v>
      </c>
      <c r="C8" s="17">
        <v>29.2</v>
      </c>
      <c r="D8" s="17">
        <v>16.2</v>
      </c>
      <c r="E8" s="22">
        <f t="shared" ref="E8:E10" si="0">(C8-D8)/2</f>
        <v>6.5</v>
      </c>
      <c r="F8" s="18">
        <f t="shared" ref="F8:F10" si="1">E8*10^-2</f>
        <v>6.5000000000000002E-2</v>
      </c>
      <c r="H8" s="16">
        <v>2</v>
      </c>
      <c r="I8" s="34">
        <v>6.5000000000000002E-2</v>
      </c>
    </row>
    <row r="9" spans="2:9">
      <c r="B9" s="16">
        <v>3</v>
      </c>
      <c r="C9" s="17">
        <v>32.299999999999997</v>
      </c>
      <c r="D9" s="17">
        <v>13.3</v>
      </c>
      <c r="E9" s="22">
        <f t="shared" si="0"/>
        <v>9.4999999999999982</v>
      </c>
      <c r="F9" s="18">
        <f t="shared" si="1"/>
        <v>9.4999999999999987E-2</v>
      </c>
      <c r="H9" s="16">
        <v>3</v>
      </c>
      <c r="I9" s="34">
        <v>9.4999999999999987E-2</v>
      </c>
    </row>
    <row r="10" spans="2:9" ht="19.5" thickBot="1">
      <c r="B10" s="19">
        <v>4</v>
      </c>
      <c r="C10" s="20">
        <v>35.299999999999997</v>
      </c>
      <c r="D10" s="20">
        <v>10.3</v>
      </c>
      <c r="E10" s="27">
        <f t="shared" si="0"/>
        <v>12.499999999999998</v>
      </c>
      <c r="F10" s="28">
        <f t="shared" si="1"/>
        <v>0.12499999999999999</v>
      </c>
      <c r="H10" s="19">
        <v>4</v>
      </c>
      <c r="I10" s="35">
        <v>0.12499999999999999</v>
      </c>
    </row>
    <row r="11" spans="2:9" ht="19.5" thickBot="1">
      <c r="B11" s="16" t="s">
        <v>24</v>
      </c>
      <c r="C11" s="22">
        <f>LINEST(F7:F10,B7:B10)</f>
        <v>3.1199999999999992E-2</v>
      </c>
      <c r="D11" s="23"/>
      <c r="E11" s="23" t="s">
        <v>27</v>
      </c>
      <c r="F11" s="24">
        <f>0.00069</f>
        <v>6.8999999999999997E-4</v>
      </c>
    </row>
    <row r="12" spans="2:9" ht="19.5" thickBot="1">
      <c r="B12" s="16" t="s">
        <v>25</v>
      </c>
      <c r="C12" s="22">
        <f>$C$2*$F$3/C11</f>
        <v>2.035256410256411E-5</v>
      </c>
      <c r="D12" s="23"/>
      <c r="E12" s="23" t="s">
        <v>28</v>
      </c>
      <c r="F12" s="18">
        <f>C12*F11/C11</f>
        <v>4.5010478303747557E-7</v>
      </c>
      <c r="H12" s="31" t="s">
        <v>45</v>
      </c>
      <c r="I12" s="33">
        <f>INTERCEPT(F7:F10,B7:B10)</f>
        <v>1.0000000000000148E-3</v>
      </c>
    </row>
    <row r="13" spans="2:9" ht="19.5" thickBot="1">
      <c r="B13" s="19" t="s">
        <v>26</v>
      </c>
      <c r="C13" s="25">
        <f>2.05*10^-5</f>
        <v>2.05E-5</v>
      </c>
      <c r="D13" s="26"/>
      <c r="E13" s="26" t="s">
        <v>29</v>
      </c>
      <c r="F13" s="21">
        <f>8.5*10^-8</f>
        <v>8.5000000000000007E-8</v>
      </c>
    </row>
    <row r="14" spans="2:9" ht="19.5" thickBot="1">
      <c r="H14" t="s">
        <v>57</v>
      </c>
      <c r="I14" s="1">
        <f>$C$2-SQRT(F10^2 + $C$2^2)</f>
        <v>-7.7822185373186414E-3</v>
      </c>
    </row>
    <row r="15" spans="2:9">
      <c r="B15" s="13" t="s">
        <v>46</v>
      </c>
      <c r="C15" s="14">
        <v>0</v>
      </c>
      <c r="D15" s="14" t="s">
        <v>47</v>
      </c>
      <c r="E15" s="36">
        <f>(C15-$I$12) / $C$11</f>
        <v>-3.2051282051282534E-2</v>
      </c>
      <c r="H15" t="s">
        <v>58</v>
      </c>
      <c r="I15" s="1">
        <f>I14*B10*F3/F10</f>
        <v>-1.5813468067831485E-7</v>
      </c>
    </row>
    <row r="16" spans="2:9" ht="19.5" thickBot="1">
      <c r="B16" s="19" t="s">
        <v>46</v>
      </c>
      <c r="C16" s="26">
        <v>0.14000000000000001</v>
      </c>
      <c r="D16" s="26" t="s">
        <v>47</v>
      </c>
      <c r="E16" s="37">
        <f>(C16-$I$12) / $C$11</f>
        <v>4.4551282051282071</v>
      </c>
    </row>
    <row r="17" spans="2:9">
      <c r="H17" t="s">
        <v>59</v>
      </c>
      <c r="I17" s="1">
        <f>(C12-C13)/C13*100</f>
        <v>-0.71919949968727082</v>
      </c>
    </row>
    <row r="18" spans="2:9" ht="19.5" thickBot="1"/>
    <row r="19" spans="2:9" ht="19.5" thickBot="1">
      <c r="B19" s="11" t="s">
        <v>31</v>
      </c>
    </row>
    <row r="20" spans="2:9">
      <c r="B20" s="13" t="s">
        <v>20</v>
      </c>
      <c r="C20" s="14" t="s">
        <v>32</v>
      </c>
      <c r="D20" s="14" t="s">
        <v>33</v>
      </c>
      <c r="E20" s="14" t="s">
        <v>21</v>
      </c>
      <c r="F20" s="15" t="s">
        <v>23</v>
      </c>
      <c r="H20" s="13" t="s">
        <v>20</v>
      </c>
      <c r="I20" s="15" t="s">
        <v>22</v>
      </c>
    </row>
    <row r="21" spans="2:9">
      <c r="B21" s="16">
        <v>1</v>
      </c>
      <c r="C21" s="17">
        <v>23.53</v>
      </c>
      <c r="D21" s="17">
        <v>22.48</v>
      </c>
      <c r="E21" s="22">
        <f>(C21-D21) / 2</f>
        <v>0.52500000000000036</v>
      </c>
      <c r="F21" s="18">
        <f>E21*10^-2</f>
        <v>5.2500000000000038E-3</v>
      </c>
      <c r="H21" s="16">
        <v>1</v>
      </c>
      <c r="I21" s="34">
        <v>5.2500000000000038E-3</v>
      </c>
    </row>
    <row r="22" spans="2:9">
      <c r="B22" s="16">
        <v>2</v>
      </c>
      <c r="C22" s="17">
        <v>24.6</v>
      </c>
      <c r="D22" s="17">
        <v>21.2</v>
      </c>
      <c r="E22" s="22">
        <f t="shared" ref="E22:E24" si="2">(C22-D22) / 2</f>
        <v>1.7000000000000011</v>
      </c>
      <c r="F22" s="18">
        <f t="shared" ref="F22:F24" si="3">E22*10^-2</f>
        <v>1.7000000000000012E-2</v>
      </c>
      <c r="H22" s="16">
        <v>2</v>
      </c>
      <c r="I22" s="34">
        <v>1.7000000000000012E-2</v>
      </c>
    </row>
    <row r="23" spans="2:9">
      <c r="B23" s="16">
        <v>3</v>
      </c>
      <c r="C23" s="17">
        <v>25.68</v>
      </c>
      <c r="D23" s="17">
        <v>20.3</v>
      </c>
      <c r="E23" s="22">
        <f t="shared" si="2"/>
        <v>2.6899999999999995</v>
      </c>
      <c r="F23" s="18">
        <f t="shared" si="3"/>
        <v>2.6899999999999997E-2</v>
      </c>
      <c r="H23" s="16">
        <v>3</v>
      </c>
      <c r="I23" s="34">
        <v>2.6899999999999997E-2</v>
      </c>
    </row>
    <row r="24" spans="2:9" ht="19.5" thickBot="1">
      <c r="B24" s="19">
        <v>4</v>
      </c>
      <c r="C24" s="20">
        <v>26.8</v>
      </c>
      <c r="D24" s="20">
        <v>19.350000000000001</v>
      </c>
      <c r="E24" s="25">
        <f t="shared" si="2"/>
        <v>3.7249999999999996</v>
      </c>
      <c r="F24" s="21">
        <f t="shared" si="3"/>
        <v>3.7249999999999998E-2</v>
      </c>
      <c r="H24" s="19">
        <v>4</v>
      </c>
      <c r="I24" s="35">
        <v>3.7249999999999998E-2</v>
      </c>
    </row>
    <row r="25" spans="2:9" ht="19.5" thickBot="1">
      <c r="B25" s="13" t="s">
        <v>34</v>
      </c>
      <c r="C25" s="32">
        <f>LINEST(F21:F24,B21:B24)</f>
        <v>1.0589999999999997E-2</v>
      </c>
      <c r="D25" s="14"/>
      <c r="E25" s="14" t="s">
        <v>36</v>
      </c>
      <c r="F25" s="29">
        <f>0.00027</f>
        <v>2.7E-4</v>
      </c>
      <c r="H25" s="2"/>
    </row>
    <row r="26" spans="2:9" ht="19.5" thickBot="1">
      <c r="B26" s="16" t="s">
        <v>30</v>
      </c>
      <c r="C26" s="22">
        <f>$C$2*$F$3/C25</f>
        <v>5.9962228517469331E-5</v>
      </c>
      <c r="D26" s="23"/>
      <c r="E26" s="23" t="s">
        <v>37</v>
      </c>
      <c r="F26" s="18">
        <f>C26*F25/C25</f>
        <v>1.5287820301904366E-6</v>
      </c>
      <c r="H26" s="11" t="s">
        <v>45</v>
      </c>
      <c r="I26" s="33">
        <f>INTERCEPT(F21:F24,B21:B24)</f>
        <v>-4.8749999999999905E-3</v>
      </c>
    </row>
    <row r="27" spans="2:9" ht="19.5" thickBot="1">
      <c r="B27" s="19" t="s">
        <v>35</v>
      </c>
      <c r="C27" s="25">
        <f>6.082*10^-5</f>
        <v>6.0820000000000004E-5</v>
      </c>
      <c r="D27" s="26"/>
      <c r="E27" s="26" t="s">
        <v>38</v>
      </c>
      <c r="F27" s="21">
        <f>1.25*10^-7</f>
        <v>1.2499999999999999E-7</v>
      </c>
    </row>
    <row r="28" spans="2:9" ht="19.5" thickBot="1">
      <c r="H28" t="s">
        <v>57</v>
      </c>
      <c r="I28" s="1">
        <f>$C$2-SQRT(F24^2 + $C$2^2)</f>
        <v>-6.9354075061367482E-4</v>
      </c>
    </row>
    <row r="29" spans="2:9">
      <c r="B29" s="13" t="s">
        <v>46</v>
      </c>
      <c r="C29" s="14">
        <v>0</v>
      </c>
      <c r="D29" s="14" t="s">
        <v>47</v>
      </c>
      <c r="E29" s="36">
        <f>(C29-$I$26) / $C$25</f>
        <v>0.46033994334277545</v>
      </c>
      <c r="H29" t="s">
        <v>58</v>
      </c>
      <c r="I29" s="1">
        <f>I28*B24*F3/F24</f>
        <v>-4.7291100847214347E-8</v>
      </c>
    </row>
    <row r="30" spans="2:9" ht="19.5" thickBot="1">
      <c r="B30" s="19" t="s">
        <v>46</v>
      </c>
      <c r="C30" s="26">
        <v>0.04</v>
      </c>
      <c r="D30" s="26" t="s">
        <v>47</v>
      </c>
      <c r="E30" s="37">
        <f>(C30-$I$26) / $C$25</f>
        <v>4.2374881964117099</v>
      </c>
    </row>
    <row r="31" spans="2:9">
      <c r="H31" t="s">
        <v>59</v>
      </c>
      <c r="I31" s="1">
        <f>(C26-C27)/C27*100</f>
        <v>-1.4103444303365225</v>
      </c>
    </row>
    <row r="32" spans="2:9" ht="19.5" thickBot="1"/>
    <row r="33" spans="2:9" ht="19.5" thickBot="1">
      <c r="B33" s="11" t="s">
        <v>39</v>
      </c>
    </row>
    <row r="34" spans="2:9">
      <c r="B34" s="13" t="s">
        <v>20</v>
      </c>
      <c r="C34" s="14" t="s">
        <v>32</v>
      </c>
      <c r="D34" s="14" t="s">
        <v>33</v>
      </c>
      <c r="E34" s="14" t="s">
        <v>21</v>
      </c>
      <c r="F34" s="15" t="s">
        <v>23</v>
      </c>
      <c r="H34" s="13" t="s">
        <v>20</v>
      </c>
      <c r="I34" s="15" t="s">
        <v>22</v>
      </c>
    </row>
    <row r="35" spans="2:9">
      <c r="B35" s="16">
        <v>1</v>
      </c>
      <c r="C35" s="23">
        <v>24.67</v>
      </c>
      <c r="D35" s="23">
        <v>21.45</v>
      </c>
      <c r="E35" s="22">
        <f>(C35-D35)/2</f>
        <v>1.6100000000000012</v>
      </c>
      <c r="F35" s="18">
        <f>E35*10^-2</f>
        <v>1.6100000000000014E-2</v>
      </c>
      <c r="H35" s="16">
        <v>1</v>
      </c>
      <c r="I35" s="34">
        <v>1.6100000000000014E-2</v>
      </c>
    </row>
    <row r="36" spans="2:9">
      <c r="B36" s="16">
        <v>2</v>
      </c>
      <c r="C36" s="23">
        <v>26.28</v>
      </c>
      <c r="D36" s="23">
        <v>19.87</v>
      </c>
      <c r="E36" s="22">
        <f t="shared" ref="E36:E38" si="4">(C36-D36)/2</f>
        <v>3.2050000000000001</v>
      </c>
      <c r="F36" s="18">
        <f t="shared" ref="F36:F38" si="5">E36*10^-2</f>
        <v>3.2050000000000002E-2</v>
      </c>
      <c r="H36" s="16">
        <v>2</v>
      </c>
      <c r="I36" s="34">
        <v>3.2050000000000002E-2</v>
      </c>
    </row>
    <row r="37" spans="2:9">
      <c r="B37" s="16">
        <v>3</v>
      </c>
      <c r="C37" s="23">
        <v>27.75</v>
      </c>
      <c r="D37" s="23">
        <v>18.25</v>
      </c>
      <c r="E37" s="22">
        <f t="shared" si="4"/>
        <v>4.75</v>
      </c>
      <c r="F37" s="18">
        <f t="shared" si="5"/>
        <v>4.7500000000000001E-2</v>
      </c>
      <c r="H37" s="16">
        <v>3</v>
      </c>
      <c r="I37" s="34">
        <v>4.7500000000000001E-2</v>
      </c>
    </row>
    <row r="38" spans="2:9" ht="19.5" thickBot="1">
      <c r="B38" s="19">
        <v>4</v>
      </c>
      <c r="C38" s="26">
        <v>29.95</v>
      </c>
      <c r="D38" s="26">
        <v>16.12</v>
      </c>
      <c r="E38" s="27">
        <f t="shared" si="4"/>
        <v>6.9149999999999991</v>
      </c>
      <c r="F38" s="21">
        <f t="shared" si="5"/>
        <v>6.9149999999999989E-2</v>
      </c>
      <c r="H38" s="19">
        <v>4</v>
      </c>
      <c r="I38" s="35">
        <v>6.9149999999999989E-2</v>
      </c>
    </row>
    <row r="39" spans="2:9" ht="19.5" thickBot="1">
      <c r="B39" s="13" t="s">
        <v>40</v>
      </c>
      <c r="C39" s="32">
        <f>LINEST(F35:F38,B35:B38)</f>
        <v>1.7459999999999989E-2</v>
      </c>
      <c r="D39" s="14"/>
      <c r="E39" s="14" t="s">
        <v>42</v>
      </c>
      <c r="F39" s="30">
        <f>0.00102</f>
        <v>1.0200000000000001E-3</v>
      </c>
    </row>
    <row r="40" spans="2:9" ht="19.5" thickBot="1">
      <c r="B40" s="16" t="s">
        <v>0</v>
      </c>
      <c r="C40" s="22">
        <f>$C$2*$F$3/C39</f>
        <v>3.6368843069874025E-5</v>
      </c>
      <c r="D40" s="23"/>
      <c r="E40" s="23" t="s">
        <v>43</v>
      </c>
      <c r="F40" s="18">
        <f>C40*F39/C39</f>
        <v>2.1246403167967659E-6</v>
      </c>
      <c r="H40" s="31" t="s">
        <v>45</v>
      </c>
      <c r="I40" s="33">
        <f>INTERCEPT(F35:F38,B35:B38)</f>
        <v>-2.44999999999998E-3</v>
      </c>
    </row>
    <row r="41" spans="2:9" ht="19.5" thickBot="1">
      <c r="B41" s="19" t="s">
        <v>41</v>
      </c>
      <c r="C41" s="27">
        <f>4.019*10^-5</f>
        <v>4.0190000000000007E-5</v>
      </c>
      <c r="D41" s="26"/>
      <c r="E41" s="26" t="s">
        <v>44</v>
      </c>
      <c r="F41" s="21">
        <f>1.6*10^-8</f>
        <v>1.6000000000000001E-8</v>
      </c>
    </row>
    <row r="42" spans="2:9" ht="19.5" thickBot="1">
      <c r="H42" t="s">
        <v>57</v>
      </c>
      <c r="I42" s="1">
        <f>$C$2-SQRT(F38^2 + $C$2^2)</f>
        <v>-2.3880099542292754E-3</v>
      </c>
    </row>
    <row r="43" spans="2:9">
      <c r="B43" s="13" t="s">
        <v>46</v>
      </c>
      <c r="C43" s="14">
        <v>0</v>
      </c>
      <c r="D43" s="14" t="s">
        <v>47</v>
      </c>
      <c r="E43" s="36">
        <f>(C43-$I$40) / $C$39</f>
        <v>0.14032073310423721</v>
      </c>
      <c r="H43" t="s">
        <v>58</v>
      </c>
      <c r="I43" s="1">
        <f>I42*B38*F3/F38</f>
        <v>-8.7715766937705866E-8</v>
      </c>
    </row>
    <row r="44" spans="2:9" ht="19.5" thickBot="1">
      <c r="B44" s="19" t="s">
        <v>46</v>
      </c>
      <c r="C44" s="26">
        <v>0.08</v>
      </c>
      <c r="D44" s="26" t="s">
        <v>47</v>
      </c>
      <c r="E44" s="37">
        <f>(C44-$I$40) / $C$39</f>
        <v>4.7222222222222241</v>
      </c>
    </row>
    <row r="45" spans="2:9">
      <c r="H45" t="s">
        <v>59</v>
      </c>
      <c r="I45" s="1">
        <f>(C40-C41)/C41*100</f>
        <v>-9.5077306049414787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93F3-1D22-47D1-91CD-DB07FF6CCCB9}">
  <dimension ref="B2:N14"/>
  <sheetViews>
    <sheetView workbookViewId="0">
      <selection activeCell="G15" sqref="G15"/>
    </sheetView>
  </sheetViews>
  <sheetFormatPr defaultColWidth="9" defaultRowHeight="18.75"/>
  <cols>
    <col min="1" max="2" width="9" style="3"/>
    <col min="3" max="3" width="12.625" style="3" bestFit="1" customWidth="1"/>
    <col min="4" max="4" width="9" style="3"/>
    <col min="5" max="5" width="10" style="3" bestFit="1" customWidth="1"/>
    <col min="6" max="6" width="11.125" style="3" bestFit="1" customWidth="1"/>
    <col min="7" max="8" width="10.375" style="3" bestFit="1" customWidth="1"/>
    <col min="9" max="16384" width="9" style="3"/>
  </cols>
  <sheetData>
    <row r="2" spans="2:14">
      <c r="B2" s="3" t="s">
        <v>1</v>
      </c>
      <c r="C2" s="4">
        <f>15.1*10^-2</f>
        <v>0.151</v>
      </c>
      <c r="E2" s="3" t="s">
        <v>14</v>
      </c>
      <c r="F2" s="4">
        <f>C2*10^2</f>
        <v>15.1</v>
      </c>
    </row>
    <row r="3" spans="2:14">
      <c r="B3" s="3" t="s">
        <v>3</v>
      </c>
      <c r="C3" s="5">
        <f>2*10^-6</f>
        <v>1.9999999999999999E-6</v>
      </c>
    </row>
    <row r="4" spans="2:14">
      <c r="B4" s="3" t="s">
        <v>2</v>
      </c>
      <c r="C4" s="5">
        <f>-0.19*10^-2</f>
        <v>-1.9E-3</v>
      </c>
      <c r="E4" s="3" t="s">
        <v>15</v>
      </c>
      <c r="F4" s="5">
        <f>C4*10^2</f>
        <v>-0.19</v>
      </c>
    </row>
    <row r="7" spans="2:14">
      <c r="B7" s="42" t="s">
        <v>48</v>
      </c>
      <c r="C7" s="43" t="s">
        <v>13</v>
      </c>
      <c r="D7" s="44"/>
      <c r="E7" s="44"/>
      <c r="F7" s="45"/>
      <c r="G7" s="43" t="s">
        <v>16</v>
      </c>
      <c r="H7" s="44"/>
      <c r="I7" s="44"/>
      <c r="J7" s="45"/>
      <c r="K7" s="43" t="s">
        <v>17</v>
      </c>
      <c r="L7" s="44"/>
      <c r="M7" s="44"/>
      <c r="N7" s="45"/>
    </row>
    <row r="8" spans="2:14">
      <c r="B8" s="42"/>
      <c r="C8" s="6" t="s">
        <v>49</v>
      </c>
      <c r="D8" s="6" t="s">
        <v>50</v>
      </c>
      <c r="E8" s="6" t="s">
        <v>51</v>
      </c>
      <c r="F8" s="6" t="s">
        <v>52</v>
      </c>
      <c r="G8" s="6" t="s">
        <v>49</v>
      </c>
      <c r="H8" s="6" t="s">
        <v>50</v>
      </c>
      <c r="I8" s="6" t="s">
        <v>51</v>
      </c>
      <c r="J8" s="6" t="s">
        <v>52</v>
      </c>
      <c r="K8" s="6" t="s">
        <v>53</v>
      </c>
      <c r="L8" s="6" t="s">
        <v>54</v>
      </c>
      <c r="M8" s="6" t="s">
        <v>55</v>
      </c>
      <c r="N8" s="6" t="s">
        <v>56</v>
      </c>
    </row>
    <row r="9" spans="2:14">
      <c r="B9" s="6">
        <v>1</v>
      </c>
      <c r="C9" s="8">
        <v>4.6100000000000003</v>
      </c>
      <c r="D9" s="8">
        <v>5.35</v>
      </c>
      <c r="E9" s="38"/>
      <c r="F9" s="38"/>
      <c r="G9" s="8">
        <f t="shared" ref="G9:H14" si="0">C9-$F$4</f>
        <v>4.8000000000000007</v>
      </c>
      <c r="H9" s="8">
        <f t="shared" si="0"/>
        <v>5.54</v>
      </c>
      <c r="I9" s="38"/>
      <c r="J9" s="38"/>
      <c r="K9" s="39">
        <f t="shared" ref="K9:L14" si="1">$C$3*G9*10^-2/$C$2 *10^9</f>
        <v>635.76158940397363</v>
      </c>
      <c r="L9" s="39">
        <f t="shared" si="1"/>
        <v>733.77483443708604</v>
      </c>
      <c r="M9" s="40"/>
      <c r="N9" s="40"/>
    </row>
    <row r="10" spans="2:14">
      <c r="B10" s="6">
        <v>2</v>
      </c>
      <c r="C10" s="8">
        <v>3.73</v>
      </c>
      <c r="D10" s="8">
        <v>4.6900000000000004</v>
      </c>
      <c r="E10" s="38"/>
      <c r="F10" s="38"/>
      <c r="G10" s="8">
        <f t="shared" si="0"/>
        <v>3.92</v>
      </c>
      <c r="H10" s="8">
        <f t="shared" si="0"/>
        <v>4.8800000000000008</v>
      </c>
      <c r="I10" s="38"/>
      <c r="J10" s="38"/>
      <c r="K10" s="39">
        <f t="shared" si="1"/>
        <v>519.20529801324506</v>
      </c>
      <c r="L10" s="39">
        <f t="shared" si="1"/>
        <v>646.35761589403978</v>
      </c>
      <c r="M10" s="40"/>
      <c r="N10" s="40"/>
    </row>
    <row r="11" spans="2:14">
      <c r="B11" s="6">
        <v>3</v>
      </c>
      <c r="C11" s="8">
        <v>3.2</v>
      </c>
      <c r="D11" s="8">
        <v>4.24</v>
      </c>
      <c r="E11" s="38"/>
      <c r="F11" s="38"/>
      <c r="G11" s="8">
        <f t="shared" si="0"/>
        <v>3.39</v>
      </c>
      <c r="H11" s="8">
        <f t="shared" si="0"/>
        <v>4.4300000000000006</v>
      </c>
      <c r="I11" s="38"/>
      <c r="J11" s="38"/>
      <c r="K11" s="39">
        <f t="shared" si="1"/>
        <v>449.00662251655632</v>
      </c>
      <c r="L11" s="39">
        <f t="shared" si="1"/>
        <v>586.75496688741725</v>
      </c>
      <c r="M11" s="40"/>
      <c r="N11" s="40"/>
    </row>
    <row r="12" spans="2:14">
      <c r="B12" s="6">
        <v>4</v>
      </c>
      <c r="C12" s="8">
        <v>3.19</v>
      </c>
      <c r="D12" s="8">
        <v>4.58</v>
      </c>
      <c r="E12" s="38"/>
      <c r="F12" s="38"/>
      <c r="G12" s="8">
        <f t="shared" si="0"/>
        <v>3.38</v>
      </c>
      <c r="H12" s="8">
        <f t="shared" si="0"/>
        <v>4.7700000000000005</v>
      </c>
      <c r="I12" s="38"/>
      <c r="J12" s="38"/>
      <c r="K12" s="39">
        <f t="shared" si="1"/>
        <v>447.68211920529802</v>
      </c>
      <c r="L12" s="39">
        <f t="shared" si="1"/>
        <v>631.7880794701988</v>
      </c>
      <c r="M12" s="40"/>
      <c r="N12" s="40"/>
    </row>
    <row r="13" spans="2:14">
      <c r="B13" s="6">
        <v>5</v>
      </c>
      <c r="C13" s="8">
        <v>3.89</v>
      </c>
      <c r="D13" s="8">
        <v>5.32</v>
      </c>
      <c r="E13" s="38"/>
      <c r="F13" s="38"/>
      <c r="G13" s="8">
        <f t="shared" si="0"/>
        <v>4.08</v>
      </c>
      <c r="H13" s="8">
        <f t="shared" si="0"/>
        <v>5.5100000000000007</v>
      </c>
      <c r="I13" s="38"/>
      <c r="J13" s="38"/>
      <c r="K13" s="39">
        <f t="shared" si="1"/>
        <v>540.39735099337759</v>
      </c>
      <c r="L13" s="39">
        <f t="shared" si="1"/>
        <v>729.80132450331143</v>
      </c>
      <c r="M13" s="40"/>
      <c r="N13" s="40"/>
    </row>
    <row r="14" spans="2:14">
      <c r="B14" s="6">
        <v>6</v>
      </c>
      <c r="C14" s="8">
        <v>3.17</v>
      </c>
      <c r="D14" s="8">
        <v>4</v>
      </c>
      <c r="E14" s="8">
        <v>4.75</v>
      </c>
      <c r="F14" s="8">
        <v>5.3</v>
      </c>
      <c r="G14" s="8">
        <f t="shared" si="0"/>
        <v>3.36</v>
      </c>
      <c r="H14" s="8">
        <f t="shared" si="0"/>
        <v>4.1900000000000004</v>
      </c>
      <c r="I14" s="8">
        <f>E14-$F$4</f>
        <v>4.9400000000000004</v>
      </c>
      <c r="J14" s="8">
        <f>F14-$F$4</f>
        <v>5.49</v>
      </c>
      <c r="K14" s="39">
        <f t="shared" si="1"/>
        <v>445.03311258278143</v>
      </c>
      <c r="L14" s="39">
        <f t="shared" si="1"/>
        <v>554.96688741721857</v>
      </c>
      <c r="M14" s="39">
        <f>$C$3*I14*10^-2/$C$2 *10^9</f>
        <v>654.30463576158945</v>
      </c>
      <c r="N14" s="39">
        <f>$C$3*J14*10^-2/$C$2 *10^9</f>
        <v>727.15231788079473</v>
      </c>
    </row>
  </sheetData>
  <mergeCells count="4">
    <mergeCell ref="C7:F7"/>
    <mergeCell ref="K7:N7"/>
    <mergeCell ref="G7:J7"/>
    <mergeCell ref="B7:B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B777-E57D-4FB3-A4F2-1DF1E3ECDF2A}">
  <dimension ref="A1:E5"/>
  <sheetViews>
    <sheetView tabSelected="1" workbookViewId="0">
      <selection sqref="A1:E5"/>
    </sheetView>
  </sheetViews>
  <sheetFormatPr defaultRowHeight="18.75"/>
  <sheetData>
    <row r="1" spans="1:5">
      <c r="A1" s="23" t="s">
        <v>20</v>
      </c>
      <c r="B1" s="23" t="s">
        <v>32</v>
      </c>
      <c r="C1" s="23" t="s">
        <v>33</v>
      </c>
      <c r="D1" s="23" t="s">
        <v>21</v>
      </c>
      <c r="E1" s="23" t="s">
        <v>23</v>
      </c>
    </row>
    <row r="2" spans="1:5">
      <c r="A2" s="23">
        <v>1</v>
      </c>
      <c r="B2" s="17">
        <v>26.1</v>
      </c>
      <c r="C2" s="17">
        <v>19.899999999999999</v>
      </c>
      <c r="D2" s="22">
        <f>(B2-C2)/2</f>
        <v>3.1000000000000014</v>
      </c>
      <c r="E2" s="22">
        <f>D2*10^-2</f>
        <v>3.1000000000000014E-2</v>
      </c>
    </row>
    <row r="3" spans="1:5">
      <c r="A3" s="23">
        <v>2</v>
      </c>
      <c r="B3" s="17">
        <v>29.2</v>
      </c>
      <c r="C3" s="17">
        <v>16.2</v>
      </c>
      <c r="D3" s="22">
        <f t="shared" ref="D3:D5" si="0">(B3-C3)/2</f>
        <v>6.5</v>
      </c>
      <c r="E3" s="22">
        <f t="shared" ref="E3:E5" si="1">D3*10^-2</f>
        <v>6.5000000000000002E-2</v>
      </c>
    </row>
    <row r="4" spans="1:5">
      <c r="A4" s="23">
        <v>3</v>
      </c>
      <c r="B4" s="17">
        <v>32.299999999999997</v>
      </c>
      <c r="C4" s="17">
        <v>13.3</v>
      </c>
      <c r="D4" s="22">
        <f t="shared" si="0"/>
        <v>9.4999999999999982</v>
      </c>
      <c r="E4" s="22">
        <f t="shared" si="1"/>
        <v>9.4999999999999987E-2</v>
      </c>
    </row>
    <row r="5" spans="1:5">
      <c r="A5" s="23">
        <v>4</v>
      </c>
      <c r="B5" s="17">
        <v>35.299999999999997</v>
      </c>
      <c r="C5" s="17">
        <v>10.3</v>
      </c>
      <c r="D5" s="41">
        <f t="shared" si="0"/>
        <v>12.499999999999998</v>
      </c>
      <c r="E5" s="41">
        <f t="shared" si="1"/>
        <v>0.12499999999999999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データシート1</vt:lpstr>
      <vt:lpstr>データシート2</vt:lpstr>
      <vt:lpstr>考察用シート1</vt:lpstr>
      <vt:lpstr>toLatex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2020-02-18T15:07:18Z</dcterms:modified>
</cp:coreProperties>
</file>