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고지예\2022년\뱀장어\2023년\9. 사육일지\"/>
    </mc:Choice>
  </mc:AlternateContent>
  <xr:revisionPtr revIDLastSave="0" documentId="13_ncr:1_{4331F1AE-5304-4A72-951A-0FF6DFBD890E}" xr6:coauthVersionLast="36" xr6:coauthVersionMax="36" xr10:uidLastSave="{00000000-0000-0000-0000-000000000000}"/>
  <bookViews>
    <workbookView xWindow="0" yWindow="0" windowWidth="28800" windowHeight="12090" activeTab="1" xr2:uid="{DA2C122A-0D24-4C2E-8155-A30228EB8186}"/>
  </bookViews>
  <sheets>
    <sheet name="5. 8." sheetId="1" r:id="rId1"/>
    <sheet name="5. 9." sheetId="3" r:id="rId2"/>
    <sheet name="5. 10." sheetId="4" r:id="rId3"/>
    <sheet name="5. 11." sheetId="5" r:id="rId4"/>
    <sheet name="5. 12." sheetId="6" r:id="rId5"/>
    <sheet name="5. 13." sheetId="7" r:id="rId6"/>
    <sheet name="5. 14." sheetId="8" r:id="rId7"/>
    <sheet name="5. 15." sheetId="9" r:id="rId8"/>
    <sheet name="5. 16." sheetId="10" r:id="rId9"/>
    <sheet name="5. 17." sheetId="11" r:id="rId10"/>
    <sheet name="5. 18." sheetId="12" r:id="rId11"/>
    <sheet name="5. 19." sheetId="13" r:id="rId12"/>
    <sheet name="5. 20." sheetId="14" r:id="rId13"/>
    <sheet name="5. 21." sheetId="15" r:id="rId14"/>
    <sheet name="5. 22." sheetId="16" r:id="rId15"/>
    <sheet name="5. 23." sheetId="17" r:id="rId16"/>
    <sheet name="5. 24." sheetId="18" r:id="rId17"/>
    <sheet name="5. 25." sheetId="19" r:id="rId18"/>
    <sheet name="5. 26." sheetId="20" r:id="rId19"/>
    <sheet name="5. 27." sheetId="21" r:id="rId20"/>
    <sheet name="5. 28." sheetId="22" r:id="rId21"/>
    <sheet name="5. 29." sheetId="23" r:id="rId22"/>
    <sheet name="5. 30." sheetId="24" r:id="rId23"/>
    <sheet name="5. 31." sheetId="25" r:id="rId24"/>
    <sheet name="6. 1." sheetId="26" r:id="rId25"/>
    <sheet name="6. 2." sheetId="27" r:id="rId26"/>
    <sheet name="6. 3." sheetId="28" r:id="rId27"/>
    <sheet name="6. 4." sheetId="29" r:id="rId28"/>
    <sheet name="6. 5." sheetId="30" r:id="rId29"/>
    <sheet name="6. 6." sheetId="31" r:id="rId30"/>
    <sheet name="6. 7." sheetId="32" r:id="rId31"/>
    <sheet name="6. 8." sheetId="33" r:id="rId32"/>
    <sheet name="6. 9." sheetId="34" r:id="rId33"/>
    <sheet name="6. 10." sheetId="35" r:id="rId34"/>
    <sheet name="6. 11." sheetId="36" r:id="rId35"/>
    <sheet name="6. 12." sheetId="37" r:id="rId36"/>
    <sheet name="6. 13." sheetId="38" r:id="rId37"/>
    <sheet name="6. 14." sheetId="39" r:id="rId38"/>
    <sheet name="6. 15." sheetId="40" r:id="rId39"/>
  </sheets>
  <definedNames>
    <definedName name="_xlnm._FilterDatabase" localSheetId="2" hidden="1">'5. 10.'!$B$2:$R$11</definedName>
    <definedName name="_xlnm._FilterDatabase" localSheetId="3" hidden="1">'5. 11.'!$B$2:$R$11</definedName>
    <definedName name="_xlnm._FilterDatabase" localSheetId="4" hidden="1">'5. 12.'!$B$2:$R$11</definedName>
    <definedName name="_xlnm._FilterDatabase" localSheetId="5" hidden="1">'5. 13.'!$B$2:$R$11</definedName>
    <definedName name="_xlnm._FilterDatabase" localSheetId="6" hidden="1">'5. 14.'!$B$2:$R$11</definedName>
    <definedName name="_xlnm._FilterDatabase" localSheetId="7" hidden="1">'5. 15.'!$B$2:$R$11</definedName>
    <definedName name="_xlnm._FilterDatabase" localSheetId="8" hidden="1">'5. 16.'!$B$2:$R$11</definedName>
    <definedName name="_xlnm._FilterDatabase" localSheetId="9" hidden="1">'5. 17.'!$B$2:$R$11</definedName>
    <definedName name="_xlnm._FilterDatabase" localSheetId="10" hidden="1">'5. 18.'!$B$2:$R$11</definedName>
    <definedName name="_xlnm._FilterDatabase" localSheetId="11" hidden="1">'5. 19.'!$B$2:$R$11</definedName>
    <definedName name="_xlnm._FilterDatabase" localSheetId="12" hidden="1">'5. 20.'!$B$2:$R$11</definedName>
    <definedName name="_xlnm._FilterDatabase" localSheetId="13" hidden="1">'5. 21.'!$B$2:$R$11</definedName>
    <definedName name="_xlnm._FilterDatabase" localSheetId="14" hidden="1">'5. 22.'!$B$2:$R$11</definedName>
    <definedName name="_xlnm._FilterDatabase" localSheetId="15" hidden="1">'5. 23.'!$B$2:$R$11</definedName>
    <definedName name="_xlnm._FilterDatabase" localSheetId="16" hidden="1">'5. 24.'!$B$2:$R$11</definedName>
    <definedName name="_xlnm._FilterDatabase" localSheetId="17" hidden="1">'5. 25.'!$B$2:$R$11</definedName>
    <definedName name="_xlnm._FilterDatabase" localSheetId="18" hidden="1">'5. 26.'!$B$2:$R$11</definedName>
    <definedName name="_xlnm._FilterDatabase" localSheetId="19" hidden="1">'5. 27.'!$B$2:$R$11</definedName>
    <definedName name="_xlnm._FilterDatabase" localSheetId="20" hidden="1">'5. 28.'!$B$2:$R$11</definedName>
    <definedName name="_xlnm._FilterDatabase" localSheetId="21" hidden="1">'5. 29.'!$B$2:$R$11</definedName>
    <definedName name="_xlnm._FilterDatabase" localSheetId="22" hidden="1">'5. 30.'!$B$2:$R$11</definedName>
    <definedName name="_xlnm._FilterDatabase" localSheetId="23" hidden="1">'5. 31.'!$B$2:$R$11</definedName>
    <definedName name="_xlnm._FilterDatabase" localSheetId="0" hidden="1">'5. 8.'!$B$2:$R$11</definedName>
    <definedName name="_xlnm._FilterDatabase" localSheetId="1" hidden="1">'5. 9.'!$B$2:$R$11</definedName>
    <definedName name="_xlnm._FilterDatabase" localSheetId="24" hidden="1">'6. 1.'!$B$2:$R$11</definedName>
    <definedName name="_xlnm._FilterDatabase" localSheetId="33" hidden="1">'6. 10.'!$B$2:$R$11</definedName>
    <definedName name="_xlnm._FilterDatabase" localSheetId="34" hidden="1">'6. 11.'!$B$2:$R$11</definedName>
    <definedName name="_xlnm._FilterDatabase" localSheetId="35" hidden="1">'6. 12.'!$B$2:$R$11</definedName>
    <definedName name="_xlnm._FilterDatabase" localSheetId="36" hidden="1">'6. 13.'!$B$2:$R$11</definedName>
    <definedName name="_xlnm._FilterDatabase" localSheetId="37" hidden="1">'6. 14.'!$B$2:$R$11</definedName>
    <definedName name="_xlnm._FilterDatabase" localSheetId="38" hidden="1">'6. 15.'!$B$2:$R$11</definedName>
    <definedName name="_xlnm._FilterDatabase" localSheetId="25" hidden="1">'6. 2.'!$B$2:$R$11</definedName>
    <definedName name="_xlnm._FilterDatabase" localSheetId="26" hidden="1">'6. 3.'!$B$2:$R$11</definedName>
    <definedName name="_xlnm._FilterDatabase" localSheetId="27" hidden="1">'6. 4.'!$B$2:$R$11</definedName>
    <definedName name="_xlnm._FilterDatabase" localSheetId="28" hidden="1">'6. 5.'!$B$2:$R$11</definedName>
    <definedName name="_xlnm._FilterDatabase" localSheetId="29" hidden="1">'6. 6.'!$B$2:$R$11</definedName>
    <definedName name="_xlnm._FilterDatabase" localSheetId="30" hidden="1">'6. 7.'!$B$2:$R$11</definedName>
    <definedName name="_xlnm._FilterDatabase" localSheetId="31" hidden="1">'6. 8.'!$B$2:$R$11</definedName>
    <definedName name="_xlnm._FilterDatabase" localSheetId="32" hidden="1">'6. 9.'!$B$2:$R$11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6" i="7"/>
  <c r="H8" i="8" l="1"/>
  <c r="G8" i="13" l="1"/>
  <c r="H8" i="27"/>
  <c r="T7" i="40" l="1"/>
  <c r="T9" i="40"/>
  <c r="T10" i="40"/>
  <c r="W21" i="40" l="1"/>
  <c r="V21" i="40"/>
  <c r="S21" i="40"/>
  <c r="G18" i="40" l="1"/>
  <c r="G17" i="40"/>
  <c r="F18" i="40"/>
  <c r="F19" i="40" s="1"/>
  <c r="F17" i="40"/>
  <c r="E19" i="40"/>
  <c r="D19" i="40"/>
  <c r="Q8" i="40"/>
  <c r="P8" i="40"/>
  <c r="O8" i="40"/>
  <c r="N8" i="40"/>
  <c r="M8" i="40"/>
  <c r="K8" i="40"/>
  <c r="J8" i="40"/>
  <c r="H8" i="40"/>
  <c r="G8" i="40"/>
  <c r="E8" i="40"/>
  <c r="G18" i="39"/>
  <c r="G17" i="39"/>
  <c r="F18" i="39"/>
  <c r="F17" i="39"/>
  <c r="L8" i="37"/>
  <c r="D19" i="39"/>
  <c r="E19" i="39"/>
  <c r="Q8" i="39"/>
  <c r="P8" i="39"/>
  <c r="O8" i="39"/>
  <c r="N8" i="39"/>
  <c r="M8" i="39"/>
  <c r="K8" i="39"/>
  <c r="J8" i="39"/>
  <c r="H8" i="39"/>
  <c r="G8" i="39"/>
  <c r="E8" i="39"/>
  <c r="G18" i="38"/>
  <c r="G17" i="38"/>
  <c r="F18" i="38"/>
  <c r="F17" i="38"/>
  <c r="E18" i="38"/>
  <c r="K7" i="38"/>
  <c r="K6" i="38"/>
  <c r="G19" i="40" l="1"/>
  <c r="F19" i="39"/>
  <c r="G19" i="39"/>
  <c r="D19" i="38" l="1"/>
  <c r="G19" i="38"/>
  <c r="F19" i="38"/>
  <c r="E19" i="38"/>
  <c r="Q8" i="38"/>
  <c r="P8" i="38"/>
  <c r="O8" i="38"/>
  <c r="N8" i="38"/>
  <c r="M8" i="38"/>
  <c r="K8" i="38"/>
  <c r="J8" i="38"/>
  <c r="H8" i="38"/>
  <c r="G8" i="38"/>
  <c r="E8" i="38"/>
  <c r="G18" i="37" l="1"/>
  <c r="G17" i="37"/>
  <c r="F18" i="37"/>
  <c r="F17" i="37"/>
  <c r="E18" i="37"/>
  <c r="E17" i="37"/>
  <c r="K7" i="37"/>
  <c r="K6" i="37"/>
  <c r="D19" i="37"/>
  <c r="Q8" i="37"/>
  <c r="P8" i="37"/>
  <c r="O8" i="37"/>
  <c r="N8" i="37"/>
  <c r="M8" i="37"/>
  <c r="K8" i="37"/>
  <c r="J8" i="37"/>
  <c r="H8" i="37"/>
  <c r="G8" i="37"/>
  <c r="E8" i="37"/>
  <c r="G18" i="36"/>
  <c r="G17" i="36"/>
  <c r="F18" i="36"/>
  <c r="F17" i="36"/>
  <c r="E18" i="36"/>
  <c r="E17" i="36"/>
  <c r="K7" i="36"/>
  <c r="K6" i="36"/>
  <c r="D19" i="36"/>
  <c r="Q8" i="36"/>
  <c r="P8" i="36"/>
  <c r="O8" i="36"/>
  <c r="N8" i="36"/>
  <c r="M8" i="36"/>
  <c r="L8" i="36"/>
  <c r="J8" i="36"/>
  <c r="H8" i="36"/>
  <c r="G8" i="36"/>
  <c r="E8" i="36"/>
  <c r="G18" i="35"/>
  <c r="G17" i="35"/>
  <c r="F18" i="35"/>
  <c r="F17" i="35"/>
  <c r="E17" i="35"/>
  <c r="E18" i="35"/>
  <c r="K7" i="35"/>
  <c r="K6" i="35"/>
  <c r="D19" i="35"/>
  <c r="E19" i="35"/>
  <c r="Q8" i="35"/>
  <c r="P8" i="35"/>
  <c r="O8" i="35"/>
  <c r="N8" i="35"/>
  <c r="M8" i="35"/>
  <c r="L8" i="35"/>
  <c r="K8" i="35"/>
  <c r="J8" i="35"/>
  <c r="H8" i="35"/>
  <c r="G8" i="35"/>
  <c r="E8" i="35"/>
  <c r="G19" i="34"/>
  <c r="G18" i="34"/>
  <c r="G17" i="34"/>
  <c r="F18" i="34"/>
  <c r="F17" i="34"/>
  <c r="E18" i="34"/>
  <c r="E17" i="34"/>
  <c r="K7" i="34"/>
  <c r="K6" i="34"/>
  <c r="D19" i="34"/>
  <c r="E19" i="34"/>
  <c r="Q8" i="34"/>
  <c r="P8" i="34"/>
  <c r="O8" i="34"/>
  <c r="N8" i="34"/>
  <c r="M8" i="34"/>
  <c r="L8" i="34"/>
  <c r="K8" i="34"/>
  <c r="J8" i="34"/>
  <c r="H8" i="34"/>
  <c r="G8" i="34"/>
  <c r="E8" i="34"/>
  <c r="G18" i="33"/>
  <c r="G17" i="33"/>
  <c r="F18" i="33"/>
  <c r="F17" i="33"/>
  <c r="E18" i="33"/>
  <c r="E17" i="33"/>
  <c r="K7" i="33"/>
  <c r="K6" i="33"/>
  <c r="D19" i="33"/>
  <c r="E19" i="33"/>
  <c r="Q8" i="33"/>
  <c r="P8" i="33"/>
  <c r="O8" i="33"/>
  <c r="N8" i="33"/>
  <c r="M8" i="33"/>
  <c r="L8" i="33"/>
  <c r="K8" i="33"/>
  <c r="J8" i="33"/>
  <c r="H8" i="33"/>
  <c r="G8" i="33"/>
  <c r="E8" i="33"/>
  <c r="G18" i="32"/>
  <c r="G17" i="32"/>
  <c r="F18" i="32"/>
  <c r="F17" i="32"/>
  <c r="E18" i="32"/>
  <c r="E17" i="32"/>
  <c r="K7" i="32"/>
  <c r="K6" i="32"/>
  <c r="F19" i="37" l="1"/>
  <c r="E19" i="37"/>
  <c r="G19" i="37"/>
  <c r="G19" i="36"/>
  <c r="K8" i="36"/>
  <c r="E19" i="36"/>
  <c r="F19" i="36"/>
  <c r="F19" i="35"/>
  <c r="G19" i="35"/>
  <c r="F19" i="34"/>
  <c r="G19" i="33"/>
  <c r="F19" i="33" l="1"/>
  <c r="D19" i="32" l="1"/>
  <c r="G19" i="32"/>
  <c r="F19" i="32"/>
  <c r="E19" i="32"/>
  <c r="Q8" i="32"/>
  <c r="P8" i="32"/>
  <c r="O8" i="32"/>
  <c r="N8" i="32"/>
  <c r="M8" i="32"/>
  <c r="L8" i="32"/>
  <c r="K8" i="32"/>
  <c r="J8" i="32"/>
  <c r="H8" i="32"/>
  <c r="G8" i="32"/>
  <c r="E8" i="32"/>
  <c r="G18" i="31" l="1"/>
  <c r="G17" i="31"/>
  <c r="F18" i="31"/>
  <c r="F17" i="31"/>
  <c r="E18" i="31"/>
  <c r="E17" i="31"/>
  <c r="K7" i="31"/>
  <c r="K6" i="31"/>
  <c r="D19" i="31"/>
  <c r="E19" i="31"/>
  <c r="Q8" i="31"/>
  <c r="P8" i="31"/>
  <c r="O8" i="31"/>
  <c r="N8" i="31"/>
  <c r="M8" i="31"/>
  <c r="L8" i="31"/>
  <c r="K8" i="31"/>
  <c r="J8" i="31"/>
  <c r="H8" i="31"/>
  <c r="G8" i="31"/>
  <c r="E8" i="31"/>
  <c r="G18" i="30"/>
  <c r="G17" i="30"/>
  <c r="F18" i="30"/>
  <c r="F17" i="30"/>
  <c r="E18" i="30"/>
  <c r="E17" i="30"/>
  <c r="F19" i="31" l="1"/>
  <c r="G19" i="31"/>
  <c r="M8" i="30"/>
  <c r="K7" i="30"/>
  <c r="K6" i="30"/>
  <c r="E7" i="30"/>
  <c r="E6" i="30"/>
  <c r="D19" i="30"/>
  <c r="E19" i="30"/>
  <c r="Q8" i="30"/>
  <c r="P8" i="30"/>
  <c r="O8" i="30"/>
  <c r="N8" i="30"/>
  <c r="L8" i="30"/>
  <c r="K8" i="30"/>
  <c r="J8" i="30"/>
  <c r="H8" i="30"/>
  <c r="G8" i="30"/>
  <c r="E8" i="30"/>
  <c r="G17" i="29"/>
  <c r="G17" i="28"/>
  <c r="G18" i="29"/>
  <c r="F18" i="29"/>
  <c r="F17" i="29"/>
  <c r="E18" i="29"/>
  <c r="E17" i="29"/>
  <c r="K7" i="29"/>
  <c r="K6" i="29"/>
  <c r="G18" i="28"/>
  <c r="F18" i="28"/>
  <c r="E18" i="28"/>
  <c r="F17" i="27"/>
  <c r="F17" i="28" s="1"/>
  <c r="E17" i="28"/>
  <c r="H8" i="28"/>
  <c r="K7" i="28"/>
  <c r="K6" i="28"/>
  <c r="G19" i="27"/>
  <c r="G19" i="30" l="1"/>
  <c r="F19" i="30"/>
  <c r="F18" i="27" l="1"/>
  <c r="F17" i="8"/>
  <c r="G18" i="27"/>
  <c r="G17" i="27"/>
  <c r="E17" i="27"/>
  <c r="K7" i="27"/>
  <c r="K6" i="27"/>
  <c r="E19" i="29" l="1"/>
  <c r="D19" i="29"/>
  <c r="G19" i="29"/>
  <c r="Q8" i="29"/>
  <c r="P8" i="29"/>
  <c r="O8" i="29"/>
  <c r="N8" i="29"/>
  <c r="M8" i="29"/>
  <c r="L8" i="29"/>
  <c r="K8" i="29"/>
  <c r="J8" i="29"/>
  <c r="H8" i="29"/>
  <c r="G8" i="29"/>
  <c r="E8" i="29"/>
  <c r="E19" i="28"/>
  <c r="D19" i="28"/>
  <c r="G19" i="28"/>
  <c r="Q8" i="28"/>
  <c r="P8" i="28"/>
  <c r="O8" i="28"/>
  <c r="N8" i="28"/>
  <c r="M8" i="28"/>
  <c r="L8" i="28"/>
  <c r="K8" i="28"/>
  <c r="J8" i="28"/>
  <c r="G8" i="28"/>
  <c r="E8" i="28"/>
  <c r="E19" i="27"/>
  <c r="D19" i="27"/>
  <c r="Q8" i="27"/>
  <c r="P8" i="27"/>
  <c r="O8" i="27"/>
  <c r="N8" i="27"/>
  <c r="M8" i="27"/>
  <c r="L8" i="27"/>
  <c r="J8" i="27"/>
  <c r="G8" i="27"/>
  <c r="E8" i="27"/>
  <c r="K8" i="27"/>
  <c r="G17" i="26" l="1"/>
  <c r="G19" i="26" s="1"/>
  <c r="K7" i="26"/>
  <c r="K6" i="26"/>
  <c r="E19" i="26"/>
  <c r="D19" i="26"/>
  <c r="Q8" i="26"/>
  <c r="P8" i="26"/>
  <c r="O8" i="26"/>
  <c r="N8" i="26"/>
  <c r="M8" i="26"/>
  <c r="L8" i="26"/>
  <c r="K8" i="26"/>
  <c r="J8" i="26"/>
  <c r="H8" i="26"/>
  <c r="G8" i="26"/>
  <c r="E8" i="26"/>
  <c r="G17" i="25"/>
  <c r="G19" i="25" s="1"/>
  <c r="E19" i="25"/>
  <c r="D19" i="25"/>
  <c r="Q8" i="25"/>
  <c r="P8" i="25"/>
  <c r="O8" i="25"/>
  <c r="N8" i="25"/>
  <c r="M8" i="25"/>
  <c r="L8" i="25"/>
  <c r="J8" i="25"/>
  <c r="H8" i="25"/>
  <c r="G8" i="25"/>
  <c r="E8" i="25"/>
  <c r="K8" i="25"/>
  <c r="G17" i="24"/>
  <c r="G19" i="24" s="1"/>
  <c r="K7" i="24"/>
  <c r="K6" i="24"/>
  <c r="E19" i="24"/>
  <c r="D19" i="24"/>
  <c r="Q8" i="24"/>
  <c r="P8" i="24"/>
  <c r="O8" i="24"/>
  <c r="N8" i="24"/>
  <c r="M8" i="24"/>
  <c r="L8" i="24"/>
  <c r="K8" i="24"/>
  <c r="J8" i="24"/>
  <c r="H8" i="24"/>
  <c r="G8" i="24"/>
  <c r="E8" i="24"/>
  <c r="G17" i="23"/>
  <c r="G17" i="22"/>
  <c r="E19" i="23" l="1"/>
  <c r="D19" i="23"/>
  <c r="G19" i="23"/>
  <c r="Q8" i="23"/>
  <c r="P8" i="23"/>
  <c r="O8" i="23"/>
  <c r="N8" i="23"/>
  <c r="M8" i="23"/>
  <c r="L8" i="23"/>
  <c r="K8" i="23"/>
  <c r="J8" i="23"/>
  <c r="H8" i="23"/>
  <c r="G8" i="23"/>
  <c r="E8" i="23"/>
  <c r="K7" i="22"/>
  <c r="K6" i="22"/>
  <c r="E19" i="22"/>
  <c r="D19" i="22"/>
  <c r="G19" i="22"/>
  <c r="Q8" i="22"/>
  <c r="P8" i="22"/>
  <c r="O8" i="22"/>
  <c r="N8" i="22"/>
  <c r="M8" i="22"/>
  <c r="L8" i="22"/>
  <c r="K8" i="22"/>
  <c r="J8" i="22"/>
  <c r="H8" i="22"/>
  <c r="G8" i="22"/>
  <c r="E8" i="22"/>
  <c r="G17" i="21"/>
  <c r="G19" i="21" s="1"/>
  <c r="K7" i="21"/>
  <c r="K6" i="21"/>
  <c r="E19" i="21"/>
  <c r="D19" i="21"/>
  <c r="Q8" i="21"/>
  <c r="P8" i="21"/>
  <c r="O8" i="21"/>
  <c r="N8" i="21"/>
  <c r="M8" i="21"/>
  <c r="L8" i="21"/>
  <c r="K8" i="21"/>
  <c r="J8" i="21"/>
  <c r="H8" i="21"/>
  <c r="G8" i="21"/>
  <c r="E8" i="21"/>
  <c r="G17" i="20"/>
  <c r="K7" i="20"/>
  <c r="K6" i="20"/>
  <c r="E19" i="20" l="1"/>
  <c r="D19" i="20"/>
  <c r="G19" i="20"/>
  <c r="Q8" i="20"/>
  <c r="P8" i="20"/>
  <c r="O8" i="20"/>
  <c r="N8" i="20"/>
  <c r="M8" i="20"/>
  <c r="L8" i="20"/>
  <c r="K8" i="20"/>
  <c r="J8" i="20"/>
  <c r="H8" i="20"/>
  <c r="G8" i="20"/>
  <c r="E8" i="20"/>
  <c r="G17" i="18"/>
  <c r="G17" i="19" s="1"/>
  <c r="K7" i="19"/>
  <c r="G19" i="19" l="1"/>
  <c r="E19" i="19"/>
  <c r="D19" i="19"/>
  <c r="Q8" i="19"/>
  <c r="P8" i="19"/>
  <c r="O8" i="19"/>
  <c r="N8" i="19"/>
  <c r="M8" i="19"/>
  <c r="L8" i="19"/>
  <c r="J8" i="19"/>
  <c r="H8" i="19"/>
  <c r="G8" i="19"/>
  <c r="E8" i="19"/>
  <c r="K8" i="19"/>
  <c r="G8" i="18"/>
  <c r="K7" i="18" l="1"/>
  <c r="K6" i="18"/>
  <c r="E19" i="18"/>
  <c r="D19" i="18"/>
  <c r="G19" i="18"/>
  <c r="Q8" i="18"/>
  <c r="P8" i="18"/>
  <c r="O8" i="18"/>
  <c r="N8" i="18"/>
  <c r="M8" i="18"/>
  <c r="L8" i="18"/>
  <c r="K8" i="18"/>
  <c r="J8" i="18"/>
  <c r="H8" i="18"/>
  <c r="E8" i="18"/>
  <c r="G17" i="17"/>
  <c r="G19" i="17" s="1"/>
  <c r="E19" i="17"/>
  <c r="D19" i="17"/>
  <c r="Q8" i="17"/>
  <c r="P8" i="17"/>
  <c r="O8" i="17"/>
  <c r="N8" i="17"/>
  <c r="M8" i="17"/>
  <c r="L8" i="17"/>
  <c r="J8" i="17"/>
  <c r="H8" i="17"/>
  <c r="G8" i="17"/>
  <c r="E8" i="17"/>
  <c r="K8" i="17"/>
  <c r="G17" i="16"/>
  <c r="G19" i="16" s="1"/>
  <c r="K7" i="16"/>
  <c r="E19" i="16"/>
  <c r="D19" i="16"/>
  <c r="Q8" i="16"/>
  <c r="P8" i="16"/>
  <c r="O8" i="16"/>
  <c r="N8" i="16"/>
  <c r="M8" i="16"/>
  <c r="L8" i="16"/>
  <c r="K8" i="16"/>
  <c r="J8" i="16"/>
  <c r="H8" i="16"/>
  <c r="G8" i="16"/>
  <c r="E8" i="16"/>
  <c r="G17" i="15"/>
  <c r="K7" i="15" l="1"/>
  <c r="K6" i="15"/>
  <c r="E19" i="15"/>
  <c r="D19" i="15"/>
  <c r="G19" i="15"/>
  <c r="Q8" i="15"/>
  <c r="P8" i="15"/>
  <c r="O8" i="15"/>
  <c r="N8" i="15"/>
  <c r="M8" i="15"/>
  <c r="L8" i="15"/>
  <c r="K8" i="15"/>
  <c r="J8" i="15"/>
  <c r="H8" i="15"/>
  <c r="G8" i="15"/>
  <c r="E8" i="15"/>
  <c r="G17" i="14"/>
  <c r="K7" i="14"/>
  <c r="K6" i="14"/>
  <c r="G17" i="13"/>
  <c r="E19" i="14" l="1"/>
  <c r="D19" i="14"/>
  <c r="G19" i="14"/>
  <c r="Q8" i="14"/>
  <c r="P8" i="14"/>
  <c r="O8" i="14"/>
  <c r="N8" i="14"/>
  <c r="M8" i="14"/>
  <c r="L8" i="14"/>
  <c r="K8" i="14"/>
  <c r="J8" i="14"/>
  <c r="H8" i="14"/>
  <c r="G8" i="14"/>
  <c r="E8" i="14"/>
  <c r="G19" i="13" l="1"/>
  <c r="E19" i="13"/>
  <c r="D19" i="13"/>
  <c r="Q8" i="13"/>
  <c r="P8" i="13"/>
  <c r="O8" i="13"/>
  <c r="N8" i="13"/>
  <c r="M8" i="13"/>
  <c r="L8" i="13"/>
  <c r="K8" i="13"/>
  <c r="J8" i="13"/>
  <c r="H8" i="13"/>
  <c r="E8" i="13"/>
  <c r="G17" i="12"/>
  <c r="G19" i="12" s="1"/>
  <c r="E19" i="12"/>
  <c r="D19" i="12"/>
  <c r="Q8" i="12"/>
  <c r="P8" i="12"/>
  <c r="O8" i="12"/>
  <c r="N8" i="12"/>
  <c r="M8" i="12"/>
  <c r="L8" i="12"/>
  <c r="K8" i="12"/>
  <c r="J8" i="12"/>
  <c r="H8" i="12"/>
  <c r="G8" i="12"/>
  <c r="E8" i="12"/>
  <c r="G17" i="11"/>
  <c r="G19" i="11" s="1"/>
  <c r="E19" i="11"/>
  <c r="D19" i="11"/>
  <c r="Q8" i="11"/>
  <c r="P8" i="11"/>
  <c r="O8" i="11"/>
  <c r="N8" i="11"/>
  <c r="M8" i="11"/>
  <c r="L8" i="11"/>
  <c r="J8" i="11"/>
  <c r="H8" i="11"/>
  <c r="G8" i="11"/>
  <c r="E8" i="11"/>
  <c r="K8" i="11"/>
  <c r="G17" i="10"/>
  <c r="G19" i="10" l="1"/>
  <c r="E19" i="10"/>
  <c r="D19" i="10"/>
  <c r="Q8" i="10"/>
  <c r="P8" i="10"/>
  <c r="O8" i="10"/>
  <c r="N8" i="10"/>
  <c r="M8" i="10"/>
  <c r="L8" i="10"/>
  <c r="K8" i="10"/>
  <c r="J8" i="10"/>
  <c r="H8" i="10"/>
  <c r="G8" i="10"/>
  <c r="E8" i="10"/>
  <c r="K7" i="10"/>
  <c r="K6" i="10"/>
  <c r="F17" i="9" l="1"/>
  <c r="F17" i="10" s="1"/>
  <c r="G19" i="9"/>
  <c r="G17" i="9"/>
  <c r="L8" i="9"/>
  <c r="K7" i="9"/>
  <c r="K6" i="9"/>
  <c r="F17" i="11" l="1"/>
  <c r="F19" i="10"/>
  <c r="F19" i="9"/>
  <c r="D6" i="4"/>
  <c r="E19" i="9"/>
  <c r="D19" i="9"/>
  <c r="Q8" i="9"/>
  <c r="P8" i="9"/>
  <c r="O8" i="9"/>
  <c r="N8" i="9"/>
  <c r="M8" i="9"/>
  <c r="K8" i="9"/>
  <c r="J8" i="9"/>
  <c r="G8" i="9"/>
  <c r="E8" i="9"/>
  <c r="F19" i="8"/>
  <c r="G17" i="8"/>
  <c r="G19" i="8" s="1"/>
  <c r="K8" i="8"/>
  <c r="J8" i="8"/>
  <c r="E19" i="8"/>
  <c r="D19" i="8"/>
  <c r="Q8" i="8"/>
  <c r="P8" i="8"/>
  <c r="O8" i="8"/>
  <c r="N8" i="8"/>
  <c r="M8" i="8"/>
  <c r="G8" i="8"/>
  <c r="E8" i="8"/>
  <c r="G19" i="7"/>
  <c r="F19" i="7"/>
  <c r="E19" i="7"/>
  <c r="D19" i="7"/>
  <c r="Q8" i="7"/>
  <c r="P8" i="7"/>
  <c r="O8" i="7"/>
  <c r="N8" i="7"/>
  <c r="M8" i="7"/>
  <c r="H8" i="7"/>
  <c r="G8" i="7"/>
  <c r="E8" i="7"/>
  <c r="F19" i="11" l="1"/>
  <c r="F17" i="12"/>
  <c r="H8" i="9"/>
  <c r="G19" i="6"/>
  <c r="F19" i="6"/>
  <c r="E19" i="6"/>
  <c r="D19" i="6"/>
  <c r="Q8" i="6"/>
  <c r="P8" i="6"/>
  <c r="O8" i="6"/>
  <c r="N8" i="6"/>
  <c r="M8" i="6"/>
  <c r="H8" i="6"/>
  <c r="G8" i="6"/>
  <c r="E8" i="6"/>
  <c r="F17" i="13" l="1"/>
  <c r="F19" i="12"/>
  <c r="G19" i="5"/>
  <c r="F19" i="5"/>
  <c r="E19" i="5"/>
  <c r="D19" i="5"/>
  <c r="Q8" i="5"/>
  <c r="P8" i="5"/>
  <c r="O8" i="5"/>
  <c r="N8" i="5"/>
  <c r="M8" i="5"/>
  <c r="H8" i="5"/>
  <c r="G8" i="5"/>
  <c r="E8" i="5"/>
  <c r="F17" i="14" l="1"/>
  <c r="F19" i="13"/>
  <c r="D6" i="3"/>
  <c r="G19" i="4"/>
  <c r="F19" i="4"/>
  <c r="E19" i="4"/>
  <c r="D19" i="4"/>
  <c r="Q8" i="4"/>
  <c r="P8" i="4"/>
  <c r="O8" i="4"/>
  <c r="N8" i="4"/>
  <c r="M8" i="4"/>
  <c r="H8" i="4"/>
  <c r="G8" i="4"/>
  <c r="E8" i="4"/>
  <c r="I6" i="4"/>
  <c r="F6" i="4"/>
  <c r="D6" i="5" s="1"/>
  <c r="D7" i="3"/>
  <c r="F7" i="3" s="1"/>
  <c r="D7" i="4" s="1"/>
  <c r="I7" i="4" s="1"/>
  <c r="I6" i="3"/>
  <c r="G19" i="3"/>
  <c r="F19" i="3"/>
  <c r="E19" i="3"/>
  <c r="D19" i="3"/>
  <c r="Q8" i="3"/>
  <c r="P8" i="3"/>
  <c r="O8" i="3"/>
  <c r="N8" i="3"/>
  <c r="M8" i="3"/>
  <c r="L8" i="3"/>
  <c r="H8" i="3"/>
  <c r="G8" i="3"/>
  <c r="E8" i="3"/>
  <c r="F6" i="3"/>
  <c r="O8" i="1"/>
  <c r="P8" i="1"/>
  <c r="Q8" i="1"/>
  <c r="G19" i="1"/>
  <c r="F19" i="1"/>
  <c r="E19" i="1"/>
  <c r="E8" i="1"/>
  <c r="D6" i="1"/>
  <c r="F6" i="1" s="1"/>
  <c r="D19" i="1"/>
  <c r="M8" i="1"/>
  <c r="N8" i="1"/>
  <c r="L8" i="1"/>
  <c r="H8" i="1"/>
  <c r="G8" i="1"/>
  <c r="F17" i="15" l="1"/>
  <c r="F19" i="14"/>
  <c r="F6" i="5"/>
  <c r="I6" i="5"/>
  <c r="I8" i="4"/>
  <c r="F7" i="4"/>
  <c r="D8" i="4"/>
  <c r="F8" i="3"/>
  <c r="D8" i="3"/>
  <c r="I7" i="3"/>
  <c r="I8" i="3" s="1"/>
  <c r="I6" i="1"/>
  <c r="D7" i="1"/>
  <c r="F8" i="1" s="1"/>
  <c r="F17" i="16" l="1"/>
  <c r="F19" i="15"/>
  <c r="F8" i="4"/>
  <c r="D7" i="5"/>
  <c r="D6" i="6"/>
  <c r="I7" i="1"/>
  <c r="I8" i="1"/>
  <c r="D8" i="1"/>
  <c r="F19" i="16" l="1"/>
  <c r="F17" i="17"/>
  <c r="F7" i="5"/>
  <c r="D8" i="5"/>
  <c r="I7" i="5"/>
  <c r="I8" i="5" s="1"/>
  <c r="F6" i="6"/>
  <c r="I6" i="6"/>
  <c r="F17" i="18" l="1"/>
  <c r="F19" i="17"/>
  <c r="D7" i="6"/>
  <c r="F8" i="5"/>
  <c r="F17" i="19" l="1"/>
  <c r="F19" i="18"/>
  <c r="I7" i="6"/>
  <c r="I8" i="6" s="1"/>
  <c r="F7" i="6"/>
  <c r="D7" i="7" s="1"/>
  <c r="D8" i="6"/>
  <c r="I6" i="7"/>
  <c r="F6" i="7"/>
  <c r="D6" i="8" s="1"/>
  <c r="F17" i="20" l="1"/>
  <c r="F19" i="19"/>
  <c r="F8" i="6"/>
  <c r="F17" i="21" l="1"/>
  <c r="F19" i="20"/>
  <c r="I7" i="7"/>
  <c r="I8" i="7" s="1"/>
  <c r="F7" i="7"/>
  <c r="D8" i="7"/>
  <c r="I6" i="8"/>
  <c r="F6" i="8"/>
  <c r="D6" i="9" s="1"/>
  <c r="I6" i="9" s="1"/>
  <c r="F19" i="21" l="1"/>
  <c r="F17" i="22"/>
  <c r="D7" i="8"/>
  <c r="F8" i="7"/>
  <c r="F17" i="23" l="1"/>
  <c r="F19" i="22"/>
  <c r="F7" i="8"/>
  <c r="D7" i="9" s="1"/>
  <c r="I7" i="8"/>
  <c r="I8" i="8" s="1"/>
  <c r="D8" i="8"/>
  <c r="F6" i="9"/>
  <c r="D6" i="10" s="1"/>
  <c r="I6" i="10" l="1"/>
  <c r="F6" i="10"/>
  <c r="D6" i="11" s="1"/>
  <c r="F17" i="24"/>
  <c r="F19" i="23"/>
  <c r="F8" i="8"/>
  <c r="F6" i="11" l="1"/>
  <c r="D6" i="12" s="1"/>
  <c r="I6" i="11"/>
  <c r="F19" i="24"/>
  <c r="F17" i="25"/>
  <c r="F7" i="9"/>
  <c r="I7" i="9"/>
  <c r="I8" i="9" s="1"/>
  <c r="D8" i="9"/>
  <c r="F6" i="12" l="1"/>
  <c r="D6" i="13" s="1"/>
  <c r="I6" i="12"/>
  <c r="F8" i="9"/>
  <c r="D7" i="10"/>
  <c r="F19" i="25"/>
  <c r="F19" i="29"/>
  <c r="F19" i="28"/>
  <c r="F17" i="26"/>
  <c r="I6" i="13" l="1"/>
  <c r="F6" i="13"/>
  <c r="D6" i="14" s="1"/>
  <c r="D8" i="10"/>
  <c r="I7" i="10"/>
  <c r="I8" i="10" s="1"/>
  <c r="F7" i="10"/>
  <c r="F19" i="26"/>
  <c r="F19" i="27"/>
  <c r="F6" i="14" l="1"/>
  <c r="D6" i="15" s="1"/>
  <c r="I6" i="14"/>
  <c r="D7" i="11"/>
  <c r="F8" i="10"/>
  <c r="F6" i="15" l="1"/>
  <c r="D6" i="16" s="1"/>
  <c r="I6" i="15"/>
  <c r="I7" i="11"/>
  <c r="I8" i="11" s="1"/>
  <c r="F7" i="11"/>
  <c r="D8" i="11"/>
  <c r="F6" i="16" l="1"/>
  <c r="D6" i="17" s="1"/>
  <c r="I6" i="16"/>
  <c r="D7" i="12"/>
  <c r="F8" i="11"/>
  <c r="F6" i="17" l="1"/>
  <c r="D6" i="18" s="1"/>
  <c r="I6" i="17"/>
  <c r="I7" i="12"/>
  <c r="I8" i="12" s="1"/>
  <c r="D8" i="12"/>
  <c r="F7" i="12"/>
  <c r="I6" i="18" l="1"/>
  <c r="F6" i="18"/>
  <c r="D6" i="19" s="1"/>
  <c r="F8" i="12"/>
  <c r="D7" i="13"/>
  <c r="F6" i="19" l="1"/>
  <c r="D6" i="20" s="1"/>
  <c r="I6" i="19"/>
  <c r="I7" i="13"/>
  <c r="I8" i="13" s="1"/>
  <c r="D8" i="13"/>
  <c r="F7" i="13"/>
  <c r="I6" i="20" l="1"/>
  <c r="F6" i="20"/>
  <c r="D6" i="21" s="1"/>
  <c r="F8" i="13"/>
  <c r="D7" i="14"/>
  <c r="I6" i="21" l="1"/>
  <c r="F6" i="21"/>
  <c r="D6" i="22" s="1"/>
  <c r="F7" i="14"/>
  <c r="I7" i="14"/>
  <c r="I8" i="14" s="1"/>
  <c r="D8" i="14"/>
  <c r="I6" i="22" l="1"/>
  <c r="F6" i="22"/>
  <c r="D6" i="23" s="1"/>
  <c r="F8" i="14"/>
  <c r="D7" i="15"/>
  <c r="F6" i="23" l="1"/>
  <c r="D6" i="24" s="1"/>
  <c r="I6" i="23"/>
  <c r="D8" i="15"/>
  <c r="I7" i="15"/>
  <c r="I8" i="15" s="1"/>
  <c r="F7" i="15"/>
  <c r="I6" i="24" l="1"/>
  <c r="F6" i="24"/>
  <c r="D6" i="25" s="1"/>
  <c r="D7" i="16"/>
  <c r="F8" i="15"/>
  <c r="I6" i="25" l="1"/>
  <c r="F6" i="25"/>
  <c r="D6" i="26" s="1"/>
  <c r="I7" i="16"/>
  <c r="I8" i="16" s="1"/>
  <c r="D8" i="16"/>
  <c r="F7" i="16"/>
  <c r="F6" i="26" l="1"/>
  <c r="D6" i="27" s="1"/>
  <c r="I6" i="26"/>
  <c r="D7" i="17"/>
  <c r="F8" i="16"/>
  <c r="F6" i="27" l="1"/>
  <c r="D6" i="28" s="1"/>
  <c r="I6" i="27"/>
  <c r="D8" i="17"/>
  <c r="I7" i="17"/>
  <c r="I8" i="17" s="1"/>
  <c r="F7" i="17"/>
  <c r="I6" i="28" l="1"/>
  <c r="F6" i="28"/>
  <c r="D6" i="29" s="1"/>
  <c r="F8" i="17"/>
  <c r="D7" i="18"/>
  <c r="I6" i="29" l="1"/>
  <c r="F6" i="29"/>
  <c r="D6" i="30" s="1"/>
  <c r="I7" i="18"/>
  <c r="I8" i="18" s="1"/>
  <c r="D8" i="18"/>
  <c r="F7" i="18"/>
  <c r="F6" i="30" l="1"/>
  <c r="D6" i="31" s="1"/>
  <c r="I6" i="30"/>
  <c r="D7" i="19"/>
  <c r="F8" i="18"/>
  <c r="F6" i="31" l="1"/>
  <c r="D6" i="32" s="1"/>
  <c r="I6" i="31"/>
  <c r="I7" i="19"/>
  <c r="I8" i="19" s="1"/>
  <c r="D8" i="19"/>
  <c r="F7" i="19"/>
  <c r="F6" i="32" l="1"/>
  <c r="D6" i="33" s="1"/>
  <c r="I6" i="32"/>
  <c r="D7" i="20"/>
  <c r="F8" i="19"/>
  <c r="I6" i="33" l="1"/>
  <c r="F6" i="33"/>
  <c r="D6" i="34" s="1"/>
  <c r="D8" i="20"/>
  <c r="I7" i="20"/>
  <c r="I8" i="20" s="1"/>
  <c r="F7" i="20"/>
  <c r="F6" i="34" l="1"/>
  <c r="D6" i="35" s="1"/>
  <c r="I6" i="34"/>
  <c r="D7" i="21"/>
  <c r="F8" i="20"/>
  <c r="I6" i="35" l="1"/>
  <c r="F6" i="35"/>
  <c r="D6" i="36" s="1"/>
  <c r="D8" i="21"/>
  <c r="I7" i="21"/>
  <c r="I8" i="21" s="1"/>
  <c r="F7" i="21"/>
  <c r="I6" i="36" l="1"/>
  <c r="F6" i="36"/>
  <c r="D6" i="37" s="1"/>
  <c r="D7" i="22"/>
  <c r="F8" i="21"/>
  <c r="F6" i="37" l="1"/>
  <c r="D6" i="38" s="1"/>
  <c r="F6" i="38" s="1"/>
  <c r="I6" i="37"/>
  <c r="D8" i="22"/>
  <c r="I7" i="22"/>
  <c r="I8" i="22" s="1"/>
  <c r="F7" i="22"/>
  <c r="D6" i="39" l="1"/>
  <c r="F6" i="39" s="1"/>
  <c r="I6" i="38"/>
  <c r="D7" i="23"/>
  <c r="F8" i="22"/>
  <c r="D6" i="40" l="1"/>
  <c r="F6" i="40" s="1"/>
  <c r="I6" i="40" s="1"/>
  <c r="I6" i="39"/>
  <c r="D8" i="23"/>
  <c r="I7" i="23"/>
  <c r="I8" i="23" s="1"/>
  <c r="F7" i="23"/>
  <c r="F8" i="23" l="1"/>
  <c r="D7" i="24"/>
  <c r="D8" i="24" l="1"/>
  <c r="I7" i="24"/>
  <c r="I8" i="24" s="1"/>
  <c r="F7" i="24"/>
  <c r="D7" i="25" l="1"/>
  <c r="F8" i="24"/>
  <c r="I7" i="25" l="1"/>
  <c r="I8" i="25" s="1"/>
  <c r="F7" i="25"/>
  <c r="D8" i="25"/>
  <c r="D7" i="26" l="1"/>
  <c r="F8" i="25"/>
  <c r="D8" i="26" l="1"/>
  <c r="I7" i="26"/>
  <c r="I8" i="26" s="1"/>
  <c r="F7" i="26"/>
  <c r="F8" i="26" l="1"/>
  <c r="D7" i="27"/>
  <c r="I7" i="27" l="1"/>
  <c r="I8" i="27" s="1"/>
  <c r="D8" i="27"/>
  <c r="F7" i="27"/>
  <c r="D7" i="28" l="1"/>
  <c r="F8" i="27"/>
  <c r="I7" i="28" l="1"/>
  <c r="I8" i="28" s="1"/>
  <c r="F7" i="28"/>
  <c r="D8" i="28"/>
  <c r="D7" i="29" l="1"/>
  <c r="F8" i="28"/>
  <c r="I7" i="29" l="1"/>
  <c r="I8" i="29" s="1"/>
  <c r="F7" i="29"/>
  <c r="D8" i="29"/>
  <c r="D7" i="30" l="1"/>
  <c r="F8" i="29"/>
  <c r="I7" i="30" l="1"/>
  <c r="I8" i="30" s="1"/>
  <c r="F7" i="30"/>
  <c r="D8" i="30"/>
  <c r="D7" i="31" l="1"/>
  <c r="F8" i="30"/>
  <c r="F7" i="31" l="1"/>
  <c r="I7" i="31"/>
  <c r="I8" i="31" s="1"/>
  <c r="D8" i="31"/>
  <c r="D7" i="32" l="1"/>
  <c r="F8" i="31"/>
  <c r="F7" i="32" l="1"/>
  <c r="I7" i="32"/>
  <c r="I8" i="32" s="1"/>
  <c r="D8" i="32"/>
  <c r="D7" i="33" l="1"/>
  <c r="F8" i="32"/>
  <c r="F7" i="33" l="1"/>
  <c r="D8" i="33"/>
  <c r="I7" i="33"/>
  <c r="I8" i="33" s="1"/>
  <c r="D7" i="34" l="1"/>
  <c r="F8" i="33"/>
  <c r="I7" i="34" l="1"/>
  <c r="I8" i="34" s="1"/>
  <c r="F7" i="34"/>
  <c r="D8" i="34"/>
  <c r="F8" i="34" l="1"/>
  <c r="D7" i="35"/>
  <c r="I7" i="35" l="1"/>
  <c r="I8" i="35" s="1"/>
  <c r="D8" i="35"/>
  <c r="F7" i="35"/>
  <c r="D7" i="36" l="1"/>
  <c r="F8" i="35"/>
  <c r="D8" i="36" l="1"/>
  <c r="I7" i="36"/>
  <c r="I8" i="36" s="1"/>
  <c r="F7" i="36"/>
  <c r="D7" i="37" l="1"/>
  <c r="F8" i="36"/>
  <c r="I7" i="37" l="1"/>
  <c r="I8" i="37" s="1"/>
  <c r="F7" i="37"/>
  <c r="D8" i="37"/>
  <c r="F8" i="37" l="1"/>
  <c r="D7" i="38"/>
  <c r="F7" i="38" l="1"/>
  <c r="D8" i="38"/>
  <c r="D7" i="39" l="1"/>
  <c r="I7" i="38"/>
  <c r="I8" i="38" s="1"/>
  <c r="F8" i="38"/>
  <c r="D8" i="39" l="1"/>
  <c r="F7" i="39"/>
  <c r="D7" i="40" l="1"/>
  <c r="I7" i="39"/>
  <c r="I8" i="39" s="1"/>
  <c r="F8" i="39"/>
  <c r="D8" i="40" l="1"/>
  <c r="F7" i="40"/>
  <c r="F8" i="40" l="1"/>
  <c r="I7" i="40"/>
  <c r="I8" i="40" s="1"/>
  <c r="T21" i="40" s="1"/>
  <c r="U21" i="40" s="1"/>
</calcChain>
</file>

<file path=xl/sharedStrings.xml><?xml version="1.0" encoding="utf-8"?>
<sst xmlns="http://schemas.openxmlformats.org/spreadsheetml/2006/main" count="1847" uniqueCount="125">
  <si>
    <t>실뱀장어 사육일지</t>
    <phoneticPr fontId="2" type="noConversion"/>
  </si>
  <si>
    <t>일자</t>
    <phoneticPr fontId="2" type="noConversion"/>
  </si>
  <si>
    <t>1호지</t>
    <phoneticPr fontId="2" type="noConversion"/>
  </si>
  <si>
    <t>2호지</t>
    <phoneticPr fontId="2" type="noConversion"/>
  </si>
  <si>
    <t>계</t>
    <phoneticPr fontId="2" type="noConversion"/>
  </si>
  <si>
    <t>○ 원형지 2개 호지/ 직경 3m / 수심 43cm / 물량 3.0톤/ 호지별 소금 20kg 살포(농도 0.7% 정도)</t>
    <phoneticPr fontId="2" type="noConversion"/>
  </si>
  <si>
    <t>○ 사육관리용 기자재 진한 소금물로 약욕처리 후 활용</t>
    <phoneticPr fontId="2" type="noConversion"/>
  </si>
  <si>
    <t>사료급이내역</t>
    <phoneticPr fontId="2" type="noConversion"/>
  </si>
  <si>
    <t>사료종류</t>
    <phoneticPr fontId="2" type="noConversion"/>
  </si>
  <si>
    <t>초기사료</t>
    <phoneticPr fontId="2" type="noConversion"/>
  </si>
  <si>
    <t>백자사료</t>
    <phoneticPr fontId="2" type="noConversion"/>
  </si>
  <si>
    <t>구입(kg)</t>
    <phoneticPr fontId="2" type="noConversion"/>
  </si>
  <si>
    <t>급이(kg)</t>
    <phoneticPr fontId="2" type="noConversion"/>
  </si>
  <si>
    <t>재고(kg)</t>
    <phoneticPr fontId="2" type="noConversion"/>
  </si>
  <si>
    <t>비고</t>
    <phoneticPr fontId="2" type="noConversion"/>
  </si>
  <si>
    <t>사육어종</t>
    <phoneticPr fontId="2" type="noConversion"/>
  </si>
  <si>
    <t>실뱀장어</t>
    <phoneticPr fontId="2" type="noConversion"/>
  </si>
  <si>
    <t>사육내용</t>
    <phoneticPr fontId="2" type="noConversion"/>
  </si>
  <si>
    <t>중량/마리(g)</t>
    <phoneticPr fontId="2" type="noConversion"/>
  </si>
  <si>
    <t>폐사량</t>
    <phoneticPr fontId="2" type="noConversion"/>
  </si>
  <si>
    <t>급이량</t>
    <phoneticPr fontId="2" type="noConversion"/>
  </si>
  <si>
    <t>횟수</t>
    <phoneticPr fontId="2" type="noConversion"/>
  </si>
  <si>
    <t>중량(g)</t>
    <phoneticPr fontId="2" type="noConversion"/>
  </si>
  <si>
    <r>
      <t>수온(</t>
    </r>
    <r>
      <rPr>
        <sz val="11"/>
        <color theme="1"/>
        <rFont val="HyhwpEQ"/>
        <family val="1"/>
        <charset val="129"/>
      </rPr>
      <t>℃</t>
    </r>
    <r>
      <rPr>
        <sz val="11"/>
        <color theme="1"/>
        <rFont val="맑은 고딕"/>
        <family val="3"/>
        <charset val="129"/>
      </rPr>
      <t>)</t>
    </r>
    <phoneticPr fontId="2" type="noConversion"/>
  </si>
  <si>
    <t>pH</t>
    <phoneticPr fontId="2" type="noConversion"/>
  </si>
  <si>
    <t>날씨</t>
    <phoneticPr fontId="2" type="noConversion"/>
  </si>
  <si>
    <t>맑음</t>
    <phoneticPr fontId="2" type="noConversion"/>
  </si>
  <si>
    <t>사료급이일 기준(일)</t>
  </si>
  <si>
    <t>총중량(g)</t>
    <phoneticPr fontId="2" type="noConversion"/>
  </si>
  <si>
    <t>급이량
누계(kg)</t>
    <phoneticPr fontId="2" type="noConversion"/>
  </si>
  <si>
    <t>평균길이(cm)</t>
    <phoneticPr fontId="2" type="noConversion"/>
  </si>
  <si>
    <t>○ 출입구 소독발판 설치</t>
    <phoneticPr fontId="2" type="noConversion"/>
  </si>
  <si>
    <t>입식/
포르말린 30ppm</t>
    <phoneticPr fontId="2" type="noConversion"/>
  </si>
  <si>
    <t>○ 포르말린 30ppm 약욕</t>
    <phoneticPr fontId="2" type="noConversion"/>
  </si>
  <si>
    <t>입식일 기준(일)</t>
  </si>
  <si>
    <t>계/평균</t>
    <phoneticPr fontId="2" type="noConversion"/>
  </si>
  <si>
    <t>입식수량(마리)</t>
    <phoneticPr fontId="2" type="noConversion"/>
  </si>
  <si>
    <t>금일수량(마리)</t>
    <phoneticPr fontId="2" type="noConversion"/>
  </si>
  <si>
    <t>DO
(mg/L)</t>
    <phoneticPr fontId="2" type="noConversion"/>
  </si>
  <si>
    <r>
      <t>NH</t>
    </r>
    <r>
      <rPr>
        <vertAlign val="sub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-N
(mg/L)</t>
    </r>
    <phoneticPr fontId="2" type="noConversion"/>
  </si>
  <si>
    <r>
      <t>NO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-N
(mg/L)</t>
    </r>
    <phoneticPr fontId="2" type="noConversion"/>
  </si>
  <si>
    <r>
      <t>NO</t>
    </r>
    <r>
      <rPr>
        <vertAlign val="sub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-N
(mg/L)</t>
    </r>
    <phoneticPr fontId="2" type="noConversion"/>
  </si>
  <si>
    <t>○ 포르말린 30ppm 약욕, 환수 후 재약욕</t>
    <phoneticPr fontId="2" type="noConversion"/>
  </si>
  <si>
    <t>포르말린 30ppm/
 환수 후 재약욕</t>
    <phoneticPr fontId="2" type="noConversion"/>
  </si>
  <si>
    <t>포르말린 30ppm/
환수 후 재약욕</t>
    <phoneticPr fontId="2" type="noConversion"/>
  </si>
  <si>
    <t>유전자검사 의뢰(15마리)</t>
    <phoneticPr fontId="2" type="noConversion"/>
  </si>
  <si>
    <t>16~17</t>
    <phoneticPr fontId="2" type="noConversion"/>
  </si>
  <si>
    <t>○ 90% 환수</t>
    <phoneticPr fontId="2" type="noConversion"/>
  </si>
  <si>
    <t>질병검사 의뢰(25마리)</t>
    <phoneticPr fontId="2" type="noConversion"/>
  </si>
  <si>
    <t>질병검사 의뢰(26마리)</t>
  </si>
  <si>
    <t>17~20</t>
    <phoneticPr fontId="2" type="noConversion"/>
  </si>
  <si>
    <t>17~20</t>
    <phoneticPr fontId="2" type="noConversion"/>
  </si>
  <si>
    <t>○ 오전 50% 환수 후 오후 90% 환수하고 소금 미살포</t>
    <phoneticPr fontId="2" type="noConversion"/>
  </si>
  <si>
    <t>○ 원형지 2개 호지/ 직경 3m / 수심 43cm / 물량 3.0톤</t>
    <phoneticPr fontId="2" type="noConversion"/>
  </si>
  <si>
    <t>20~23</t>
    <phoneticPr fontId="2" type="noConversion"/>
  </si>
  <si>
    <t>22~26</t>
    <phoneticPr fontId="2" type="noConversion"/>
  </si>
  <si>
    <t>26~29</t>
    <phoneticPr fontId="2" type="noConversion"/>
  </si>
  <si>
    <t>물 600%</t>
    <phoneticPr fontId="2" type="noConversion"/>
  </si>
  <si>
    <t>○ 초기사료 급이(08:00~09:00), (18:00~19:00), 급이 후 마다 90% 환수</t>
    <phoneticPr fontId="2" type="noConversion"/>
  </si>
  <si>
    <t>○ 초기사료 급이(08:00~09:00), (16:00~17:00), 급이 후 마다 90% 환수</t>
    <phoneticPr fontId="2" type="noConversion"/>
  </si>
  <si>
    <t>입붙임 과정 중 폐사</t>
    <phoneticPr fontId="2" type="noConversion"/>
  </si>
  <si>
    <t>○ 초기사료 급이(08:00~09:00), (16:00~17:00), 사료급이대 이용시작, 급이 후 마다 90% 환수</t>
    <phoneticPr fontId="2" type="noConversion"/>
  </si>
  <si>
    <t>물 25%, 일부 급이대 반대편 급이 및 주스급이</t>
    <phoneticPr fontId="2" type="noConversion"/>
  </si>
  <si>
    <t>입붙임 과정 중 폐사
/에어스톤 추가 공급</t>
    <phoneticPr fontId="2" type="noConversion"/>
  </si>
  <si>
    <t>전일수량(마리)</t>
    <phoneticPr fontId="2" type="noConversion"/>
  </si>
  <si>
    <t>물 20%, 일부 급이대 반대편 급이 및 주스급이</t>
    <phoneticPr fontId="2" type="noConversion"/>
  </si>
  <si>
    <t>흐림</t>
    <phoneticPr fontId="2" type="noConversion"/>
  </si>
  <si>
    <t>입붙임 과정 중 폐사/
질병검사 의뢰(1마리)</t>
    <phoneticPr fontId="2" type="noConversion"/>
  </si>
  <si>
    <t>입붙임 과정 중 폐사/
질병검사 의뢰(1마리)</t>
    <phoneticPr fontId="2" type="noConversion"/>
  </si>
  <si>
    <t>물 0%, 일부 급이대 반대편 급이 및 주스급이</t>
    <phoneticPr fontId="2" type="noConversion"/>
  </si>
  <si>
    <t>입붙임 과정 중 폐사/
폐사개체 출혈 발견/
하이네옥시 100ppm 1시간 약욕</t>
    <phoneticPr fontId="2" type="noConversion"/>
  </si>
  <si>
    <t>○ 1번 수조 하이네옥시 100ppm 1시간 약욕</t>
    <phoneticPr fontId="2" type="noConversion"/>
  </si>
  <si>
    <t>일부 급이대 반대편 급이</t>
    <phoneticPr fontId="2" type="noConversion"/>
  </si>
  <si>
    <r>
      <t>○ 환수물 수온에 의해 수온 32.5</t>
    </r>
    <r>
      <rPr>
        <sz val="11"/>
        <color theme="1"/>
        <rFont val="HyhwpEQ"/>
        <family val="1"/>
        <charset val="129"/>
      </rPr>
      <t>℃</t>
    </r>
    <r>
      <rPr>
        <sz val="11"/>
        <color theme="1"/>
        <rFont val="맑은 고딕"/>
        <family val="3"/>
        <charset val="129"/>
      </rPr>
      <t>까지 급상승</t>
    </r>
    <phoneticPr fontId="2" type="noConversion"/>
  </si>
  <si>
    <t>입붙임 과정 중 폐사/
환수물 수온에 의해 수온 32.5℃까지 급상승</t>
    <phoneticPr fontId="2" type="noConversion"/>
  </si>
  <si>
    <t>하이네옥시 100ppm 1시간 약욕
/ 입붙임 과정 중 폐사</t>
    <phoneticPr fontId="2" type="noConversion"/>
  </si>
  <si>
    <t>○ 하이네옥시 100ppm 1시간 약욕</t>
    <phoneticPr fontId="2" type="noConversion"/>
  </si>
  <si>
    <t>비</t>
    <phoneticPr fontId="2" type="noConversion"/>
  </si>
  <si>
    <t>입붙임 과정 중 폐사/
하이네옥시 100ppm 1시간</t>
    <phoneticPr fontId="2" type="noConversion"/>
  </si>
  <si>
    <t>○ 1번 수조 하이네옥시 100ppm 1시간 약욕</t>
    <phoneticPr fontId="2" type="noConversion"/>
  </si>
  <si>
    <t>○ 2번 수조 하이네옥시 100ppm 1시간 약욕</t>
    <phoneticPr fontId="2" type="noConversion"/>
  </si>
  <si>
    <t>입붙임 과정 중 폐사
/질병검사 의뢰
/하이네옥시 100ppm 1시간</t>
    <phoneticPr fontId="2" type="noConversion"/>
  </si>
  <si>
    <t>○ 질병검사 의뢰</t>
    <phoneticPr fontId="2" type="noConversion"/>
  </si>
  <si>
    <t>○ 초기사료 급이(08:00~09:00), 급이 후 마다 90% 환수</t>
    <phoneticPr fontId="2" type="noConversion"/>
  </si>
  <si>
    <t>입붙임 과정 중 폐사/
하이네옥시 100ppm 1.5시간</t>
    <phoneticPr fontId="2" type="noConversion"/>
  </si>
  <si>
    <t>○ 초기사료 급이(16:00~17:00), 급이 후 마다 90% 환수</t>
    <phoneticPr fontId="2" type="noConversion"/>
  </si>
  <si>
    <t>하이네옥시 100ppm 1.5시간</t>
    <phoneticPr fontId="2" type="noConversion"/>
  </si>
  <si>
    <t>입붙임 및 질병 폐사/
급이 시마다 플루메퀸 0.3g</t>
    <phoneticPr fontId="2" type="noConversion"/>
  </si>
  <si>
    <t>○ 질병: 세균 슈도모나스(진단서 2023-66호)</t>
    <phoneticPr fontId="2" type="noConversion"/>
  </si>
  <si>
    <t>○ 하이네옥시 100ppm 1.5시간 약욕</t>
    <phoneticPr fontId="2" type="noConversion"/>
  </si>
  <si>
    <t>○ 1번 수조 플루메퀸 0.3g 사료 혼합 급이</t>
    <phoneticPr fontId="2" type="noConversion"/>
  </si>
  <si>
    <t>입붙임 및 질병 폐사/
하이네옥시 100ppm 1.5시간/
유전자 검사 의뢰(25마리)</t>
    <phoneticPr fontId="2" type="noConversion"/>
  </si>
  <si>
    <t>유전자 검사 의뢰(5마리)/
하이네옥시 100ppm 1.5시간</t>
    <phoneticPr fontId="2" type="noConversion"/>
  </si>
  <si>
    <t>입붙임 및 질병 폐사/
하이네옥시 100ppm 2시간</t>
    <phoneticPr fontId="2" type="noConversion"/>
  </si>
  <si>
    <t>하이네옥시 100ppm 2시간</t>
    <phoneticPr fontId="2" type="noConversion"/>
  </si>
  <si>
    <t>○ 질병: 세균 슈도모나스(진단서 2023-66호)</t>
    <phoneticPr fontId="2" type="noConversion"/>
  </si>
  <si>
    <t>입붙임 및 질병 폐사/
급이 시마다 하이네옥시 0.3g/
하이네옥시 100ppm 2시간</t>
    <phoneticPr fontId="2" type="noConversion"/>
  </si>
  <si>
    <t>급이 시마다 하이네옥시 0.3g/
하이네옥시 100ppm 2시간</t>
    <phoneticPr fontId="2" type="noConversion"/>
  </si>
  <si>
    <t>물 105%</t>
    <phoneticPr fontId="2" type="noConversion"/>
  </si>
  <si>
    <t>물 125%</t>
    <phoneticPr fontId="2" type="noConversion"/>
  </si>
  <si>
    <t>입붙임 및 질병 폐사/
하이네옥시 150ppm 1.5시간</t>
    <phoneticPr fontId="2" type="noConversion"/>
  </si>
  <si>
    <t>하이네옥시 150ppm 1.5시간</t>
    <phoneticPr fontId="2" type="noConversion"/>
  </si>
  <si>
    <t>○ 사료 급이(16:00~17:00), 급이 후 마다 90% 환수</t>
    <phoneticPr fontId="2" type="noConversion"/>
  </si>
  <si>
    <t>○ 사료 급이(08:00~09:00), 급이 후 마다 90% 환수</t>
    <phoneticPr fontId="2" type="noConversion"/>
  </si>
  <si>
    <t>○ 사료 급이(08:00~09:00),(16:00~17:00), 급이 후 마다 90% 환수</t>
    <phoneticPr fontId="2" type="noConversion"/>
  </si>
  <si>
    <t>물 140~160%</t>
    <phoneticPr fontId="2" type="noConversion"/>
  </si>
  <si>
    <t>비 온 뒤 맑음</t>
    <phoneticPr fontId="2" type="noConversion"/>
  </si>
  <si>
    <t>질병 폐사</t>
    <phoneticPr fontId="2" type="noConversion"/>
  </si>
  <si>
    <t>물 140~170%</t>
    <phoneticPr fontId="2" type="noConversion"/>
  </si>
  <si>
    <t>비, 우박</t>
    <phoneticPr fontId="2" type="noConversion"/>
  </si>
  <si>
    <t>질병 폐사/
급이 시마다 로얄플로 3g</t>
    <phoneticPr fontId="2" type="noConversion"/>
  </si>
  <si>
    <t>입붙임 및 질병 폐사/
급이 시마다 하이네옥시 0.3g/
하이네옥시 100ppm 1.5시간/
전염병검사 의뢰(44마리)</t>
    <phoneticPr fontId="2" type="noConversion"/>
  </si>
  <si>
    <t>입붙임 및 질병 폐사/
급이 시마다 하이네옥시 0.3g/
하이네옥시 100ppm 1.5시간/
전염병검사 의뢰(6마리)</t>
    <phoneticPr fontId="2" type="noConversion"/>
  </si>
  <si>
    <t>○ 유전자검사 의뢰(30마리)</t>
    <phoneticPr fontId="2" type="noConversion"/>
  </si>
  <si>
    <t>○ 방류수산생물 전염병검사 의뢰(50마리)</t>
    <phoneticPr fontId="2" type="noConversion"/>
  </si>
  <si>
    <t>○ 소금 0.7% 농도로 투여</t>
    <phoneticPr fontId="2" type="noConversion"/>
  </si>
  <si>
    <t>물 140~190%</t>
    <phoneticPr fontId="2" type="noConversion"/>
  </si>
  <si>
    <t>물 190%</t>
    <phoneticPr fontId="2" type="noConversion"/>
  </si>
  <si>
    <t>○ 소금 0.35% 농도로 투여</t>
    <phoneticPr fontId="2" type="noConversion"/>
  </si>
  <si>
    <t>26~24</t>
    <phoneticPr fontId="2" type="noConversion"/>
  </si>
  <si>
    <t>27~26</t>
    <phoneticPr fontId="2" type="noConversion"/>
  </si>
  <si>
    <t>○ 소금 0.7% 농도로 투여</t>
    <phoneticPr fontId="2" type="noConversion"/>
  </si>
  <si>
    <t>24~23</t>
    <phoneticPr fontId="2" type="noConversion"/>
  </si>
  <si>
    <t>○ 뱀장어 치어 방류 10,000마리/ 단양군 도담삼봉 인근 / 방류시간 15:00~</t>
    <phoneticPr fontId="2" type="noConversion"/>
  </si>
  <si>
    <t>○ 바오밥헬스케어㈜에 뱀장어 치어 100마리 공급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</si>
</sst>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_-* #,##0.0_-;\-* #,##0.0_-;_-* &quot;-&quot;_-;_-@_-"/>
    <numFmt numFmtId="178" formatCode="_-* #,##0.00_-;\-* #,##0.0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yhwpEQ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41" fontId="0" fillId="0" borderId="5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41" fontId="0" fillId="0" borderId="6" xfId="1" applyFont="1" applyBorder="1" applyAlignment="1">
      <alignment horizontal="center" vertical="center" wrapText="1"/>
    </xf>
    <xf numFmtId="41" fontId="0" fillId="3" borderId="1" xfId="1" applyFont="1" applyFill="1" applyBorder="1" applyAlignment="1">
      <alignment vertical="center"/>
    </xf>
    <xf numFmtId="41" fontId="0" fillId="0" borderId="8" xfId="1" applyFont="1" applyBorder="1" applyAlignment="1">
      <alignment horizontal="center" vertical="center"/>
    </xf>
    <xf numFmtId="41" fontId="0" fillId="3" borderId="18" xfId="1" applyFont="1" applyFill="1" applyBorder="1" applyAlignment="1">
      <alignment vertical="center"/>
    </xf>
    <xf numFmtId="41" fontId="0" fillId="3" borderId="30" xfId="1" applyFont="1" applyFill="1" applyBorder="1" applyAlignment="1">
      <alignment vertical="center"/>
    </xf>
    <xf numFmtId="41" fontId="0" fillId="0" borderId="18" xfId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8" fontId="0" fillId="0" borderId="1" xfId="1" applyNumberFormat="1" applyFont="1" applyBorder="1" applyAlignment="1">
      <alignment horizontal="center" vertical="center"/>
    </xf>
    <xf numFmtId="178" fontId="0" fillId="0" borderId="8" xfId="1" applyNumberFormat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21" xfId="1" applyFont="1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  <xf numFmtId="41" fontId="0" fillId="2" borderId="9" xfId="1" applyFont="1" applyFill="1" applyBorder="1" applyAlignment="1">
      <alignment horizontal="center" vertical="center" wrapText="1"/>
    </xf>
    <xf numFmtId="41" fontId="0" fillId="2" borderId="24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41" fontId="0" fillId="2" borderId="18" xfId="1" applyFont="1" applyFill="1" applyBorder="1" applyAlignment="1">
      <alignment horizontal="center" vertical="center"/>
    </xf>
    <xf numFmtId="41" fontId="0" fillId="2" borderId="30" xfId="1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2" borderId="9" xfId="1" applyFont="1" applyFill="1" applyBorder="1" applyAlignment="1">
      <alignment horizontal="center" vertical="center"/>
    </xf>
    <xf numFmtId="41" fontId="0" fillId="2" borderId="25" xfId="1" applyFont="1" applyFill="1" applyBorder="1" applyAlignment="1">
      <alignment horizontal="center" vertical="center"/>
    </xf>
    <xf numFmtId="41" fontId="0" fillId="2" borderId="26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BD7C-0798-48BD-8FD7-136575C5BCBE}">
  <sheetPr codeName="Sheet1">
    <pageSetUpPr fitToPage="1"/>
  </sheetPr>
  <dimension ref="B1:R19"/>
  <sheetViews>
    <sheetView workbookViewId="0">
      <selection activeCell="C21" sqref="C21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9.62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5" t="s">
        <v>1</v>
      </c>
      <c r="C3" s="91">
        <v>45054</v>
      </c>
      <c r="D3" s="91"/>
      <c r="E3" s="6" t="s">
        <v>25</v>
      </c>
      <c r="F3" s="2" t="s">
        <v>26</v>
      </c>
      <c r="G3" s="92" t="s">
        <v>34</v>
      </c>
      <c r="H3" s="93"/>
      <c r="I3" s="13">
        <v>1</v>
      </c>
      <c r="J3" s="94" t="s">
        <v>27</v>
      </c>
      <c r="K3" s="94"/>
      <c r="L3" s="14">
        <v>0</v>
      </c>
      <c r="M3" s="11"/>
      <c r="N3" s="2"/>
      <c r="O3" s="15"/>
      <c r="P3" s="15"/>
      <c r="Q3" s="15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5" t="s">
        <v>1</v>
      </c>
      <c r="C5" s="6" t="s">
        <v>15</v>
      </c>
      <c r="D5" s="6" t="s">
        <v>36</v>
      </c>
      <c r="E5" s="6" t="s">
        <v>19</v>
      </c>
      <c r="F5" s="6" t="s">
        <v>37</v>
      </c>
      <c r="G5" s="6" t="s">
        <v>18</v>
      </c>
      <c r="H5" s="6" t="s">
        <v>30</v>
      </c>
      <c r="I5" s="6" t="s">
        <v>28</v>
      </c>
      <c r="J5" s="6" t="s">
        <v>21</v>
      </c>
      <c r="K5" s="6" t="s">
        <v>22</v>
      </c>
      <c r="L5" s="86"/>
      <c r="M5" s="86"/>
      <c r="N5" s="86"/>
      <c r="O5" s="86"/>
      <c r="P5" s="86"/>
      <c r="Q5" s="86"/>
      <c r="R5" s="97"/>
    </row>
    <row r="6" spans="2:18" ht="33" x14ac:dyDescent="0.3">
      <c r="B6" s="1" t="s">
        <v>2</v>
      </c>
      <c r="C6" s="2" t="s">
        <v>16</v>
      </c>
      <c r="D6" s="2">
        <f>10800/2</f>
        <v>5400</v>
      </c>
      <c r="E6" s="2">
        <v>4</v>
      </c>
      <c r="F6" s="2">
        <f>D6-E6</f>
        <v>5396</v>
      </c>
      <c r="G6" s="4">
        <v>0.1</v>
      </c>
      <c r="H6" s="4">
        <v>5.25</v>
      </c>
      <c r="I6" s="2">
        <f>D6*G6</f>
        <v>540</v>
      </c>
      <c r="J6" s="2">
        <v>0</v>
      </c>
      <c r="K6" s="2">
        <v>0</v>
      </c>
      <c r="L6" s="4">
        <v>14.9</v>
      </c>
      <c r="M6" s="4">
        <v>8.34</v>
      </c>
      <c r="N6" s="4">
        <v>9</v>
      </c>
      <c r="O6" s="16">
        <v>0</v>
      </c>
      <c r="P6" s="16">
        <v>0</v>
      </c>
      <c r="Q6" s="16">
        <v>1.341</v>
      </c>
      <c r="R6" s="10" t="s">
        <v>32</v>
      </c>
    </row>
    <row r="7" spans="2:18" ht="33" x14ac:dyDescent="0.3">
      <c r="B7" s="1" t="s">
        <v>3</v>
      </c>
      <c r="C7" s="2" t="s">
        <v>16</v>
      </c>
      <c r="D7" s="2">
        <f>10800/2</f>
        <v>5400</v>
      </c>
      <c r="E7" s="2">
        <v>0</v>
      </c>
      <c r="F7" s="2">
        <f>D7-E7</f>
        <v>5400</v>
      </c>
      <c r="G7" s="4">
        <v>0.1</v>
      </c>
      <c r="H7" s="4">
        <v>5.25</v>
      </c>
      <c r="I7" s="2">
        <f>D7*G7</f>
        <v>540</v>
      </c>
      <c r="J7" s="2">
        <v>0</v>
      </c>
      <c r="K7" s="2">
        <v>0</v>
      </c>
      <c r="L7" s="4">
        <v>15.2</v>
      </c>
      <c r="M7" s="4">
        <v>8.36</v>
      </c>
      <c r="N7" s="4">
        <v>9.02</v>
      </c>
      <c r="O7" s="16">
        <v>0</v>
      </c>
      <c r="P7" s="16">
        <v>0</v>
      </c>
      <c r="Q7" s="16">
        <v>1.4159999999999999</v>
      </c>
      <c r="R7" s="10" t="s">
        <v>32</v>
      </c>
    </row>
    <row r="8" spans="2:18" ht="20.100000000000001" customHeight="1" x14ac:dyDescent="0.3">
      <c r="B8" s="1" t="s">
        <v>35</v>
      </c>
      <c r="C8" s="2"/>
      <c r="D8" s="2">
        <f>SUM(D6:D7)</f>
        <v>10800</v>
      </c>
      <c r="E8" s="2">
        <f t="shared" ref="E8:F8" si="0">SUM(E6:E7)</f>
        <v>4</v>
      </c>
      <c r="F8" s="2">
        <f t="shared" si="0"/>
        <v>10796</v>
      </c>
      <c r="G8" s="4">
        <f>AVERAGE(G6:G7)</f>
        <v>0.1</v>
      </c>
      <c r="H8" s="4">
        <f>AVERAGE(H6:H7)</f>
        <v>5.25</v>
      </c>
      <c r="I8" s="2">
        <f t="shared" ref="I8" si="1">SUM(I6:I7)</f>
        <v>1080</v>
      </c>
      <c r="J8" s="2">
        <v>0</v>
      </c>
      <c r="K8" s="2">
        <v>0</v>
      </c>
      <c r="L8" s="4">
        <f>AVERAGE(L6:L7)</f>
        <v>15.05</v>
      </c>
      <c r="M8" s="4">
        <f t="shared" ref="M8:N8" si="2">AVERAGE(M6:M7)</f>
        <v>8.35</v>
      </c>
      <c r="N8" s="4">
        <f t="shared" si="2"/>
        <v>9.01</v>
      </c>
      <c r="O8" s="4">
        <f t="shared" ref="O8" si="3">AVERAGE(O6:O7)</f>
        <v>0</v>
      </c>
      <c r="P8" s="4">
        <f t="shared" ref="P8" si="4">AVERAGE(P6:P7)</f>
        <v>0</v>
      </c>
      <c r="Q8" s="4">
        <f t="shared" ref="Q8" si="5">AVERAGE(Q6:Q7)</f>
        <v>1.3784999999999998</v>
      </c>
      <c r="R8" s="3"/>
    </row>
    <row r="9" spans="2:18" ht="20.100000000000001" customHeight="1" x14ac:dyDescent="0.3">
      <c r="B9" s="70" t="s">
        <v>5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33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" si="6">SUM(E17:E18)</f>
        <v>0</v>
      </c>
      <c r="F19" s="12">
        <f t="shared" ref="F19" si="7">SUM(F17:F18)</f>
        <v>98</v>
      </c>
      <c r="G19" s="12">
        <f t="shared" ref="G19" si="8">SUM(G17:G18)</f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O4:O5"/>
    <mergeCell ref="P4:P5"/>
    <mergeCell ref="Q4:Q5"/>
    <mergeCell ref="B2:R2"/>
    <mergeCell ref="C3:D3"/>
    <mergeCell ref="B11:R11"/>
    <mergeCell ref="G3:H3"/>
    <mergeCell ref="J3:K3"/>
    <mergeCell ref="L4:L5"/>
    <mergeCell ref="M4:M5"/>
    <mergeCell ref="N4:N5"/>
    <mergeCell ref="R4:R5"/>
    <mergeCell ref="B4:I4"/>
    <mergeCell ref="J4:K4"/>
    <mergeCell ref="B16:B18"/>
    <mergeCell ref="H16:R16"/>
    <mergeCell ref="H17:R17"/>
    <mergeCell ref="H18:R18"/>
    <mergeCell ref="B9:R9"/>
    <mergeCell ref="B10:R10"/>
    <mergeCell ref="B14:R14"/>
    <mergeCell ref="B12:R12"/>
    <mergeCell ref="B13:R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3A0B-6E56-4912-9815-1A3B69A922F3}">
  <sheetPr codeName="Sheet10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4" t="s">
        <v>1</v>
      </c>
      <c r="C3" s="91">
        <v>45063</v>
      </c>
      <c r="D3" s="91"/>
      <c r="E3" s="33" t="s">
        <v>25</v>
      </c>
      <c r="F3" s="2" t="s">
        <v>26</v>
      </c>
      <c r="G3" s="92" t="s">
        <v>34</v>
      </c>
      <c r="H3" s="93"/>
      <c r="I3" s="13">
        <v>10</v>
      </c>
      <c r="J3" s="94" t="s">
        <v>27</v>
      </c>
      <c r="K3" s="94"/>
      <c r="L3" s="14">
        <v>4</v>
      </c>
      <c r="M3" s="11"/>
      <c r="N3" s="2"/>
      <c r="O3" s="32"/>
      <c r="P3" s="32"/>
      <c r="Q3" s="32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4" t="s">
        <v>1</v>
      </c>
      <c r="C5" s="33" t="s">
        <v>15</v>
      </c>
      <c r="D5" s="33" t="s">
        <v>64</v>
      </c>
      <c r="E5" s="33" t="s">
        <v>19</v>
      </c>
      <c r="F5" s="33" t="s">
        <v>37</v>
      </c>
      <c r="G5" s="33" t="s">
        <v>18</v>
      </c>
      <c r="H5" s="33" t="s">
        <v>30</v>
      </c>
      <c r="I5" s="33" t="s">
        <v>28</v>
      </c>
      <c r="J5" s="33" t="s">
        <v>21</v>
      </c>
      <c r="K5" s="33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16.'!F6</f>
        <v>5304</v>
      </c>
      <c r="E6" s="2">
        <v>7</v>
      </c>
      <c r="F6" s="2">
        <f>D6-E6</f>
        <v>5297</v>
      </c>
      <c r="G6" s="4">
        <v>0.1</v>
      </c>
      <c r="H6" s="4">
        <v>5.25</v>
      </c>
      <c r="I6" s="2">
        <f>D6*G6</f>
        <v>530.4</v>
      </c>
      <c r="J6" s="2">
        <v>2</v>
      </c>
      <c r="K6" s="2">
        <v>500</v>
      </c>
      <c r="L6" s="4">
        <v>28.9</v>
      </c>
      <c r="M6" s="4">
        <v>8.5500000000000007</v>
      </c>
      <c r="N6" s="4">
        <v>7.7</v>
      </c>
      <c r="O6" s="16">
        <v>0</v>
      </c>
      <c r="P6" s="16">
        <v>0</v>
      </c>
      <c r="Q6" s="16">
        <v>2.9929999999999999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16.'!F7</f>
        <v>5279</v>
      </c>
      <c r="E7" s="2">
        <v>5</v>
      </c>
      <c r="F7" s="2">
        <f>D7-E7</f>
        <v>5274</v>
      </c>
      <c r="G7" s="4">
        <v>0.1</v>
      </c>
      <c r="H7" s="4">
        <v>5.25</v>
      </c>
      <c r="I7" s="2">
        <f>D7*G7</f>
        <v>527.9</v>
      </c>
      <c r="J7" s="2">
        <v>2</v>
      </c>
      <c r="K7" s="2">
        <v>500</v>
      </c>
      <c r="L7" s="4">
        <v>28.9</v>
      </c>
      <c r="M7" s="4">
        <v>8.56</v>
      </c>
      <c r="N7" s="4">
        <v>7.43</v>
      </c>
      <c r="O7" s="16">
        <v>0</v>
      </c>
      <c r="P7" s="16">
        <v>0</v>
      </c>
      <c r="Q7" s="16">
        <v>3.153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10583</v>
      </c>
      <c r="E8" s="2">
        <f t="shared" ref="E8:F8" si="0">SUM(E6:E7)</f>
        <v>12</v>
      </c>
      <c r="F8" s="2">
        <f t="shared" si="0"/>
        <v>10571</v>
      </c>
      <c r="G8" s="4">
        <f>AVERAGE(G6:G7)</f>
        <v>0.1</v>
      </c>
      <c r="H8" s="4">
        <f>AVERAGE(H6:H7)</f>
        <v>5.25</v>
      </c>
      <c r="I8" s="2">
        <f>SUM(I6:I7)</f>
        <v>1058.3</v>
      </c>
      <c r="J8" s="2">
        <f>AVERAGE(J6:J7)</f>
        <v>2</v>
      </c>
      <c r="K8" s="2">
        <f>SUM(K6:K7)</f>
        <v>1000</v>
      </c>
      <c r="L8" s="4">
        <f>AVERAGE(L6:L7)</f>
        <v>28.9</v>
      </c>
      <c r="M8" s="4">
        <f t="shared" ref="M8:Q8" si="1">AVERAGE(M6:M7)</f>
        <v>8.5549999999999997</v>
      </c>
      <c r="N8" s="4">
        <f t="shared" si="1"/>
        <v>7.5649999999999995</v>
      </c>
      <c r="O8" s="4">
        <f t="shared" si="1"/>
        <v>0</v>
      </c>
      <c r="P8" s="4">
        <f t="shared" si="1"/>
        <v>0</v>
      </c>
      <c r="Q8" s="4">
        <f t="shared" si="1"/>
        <v>3.073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61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</v>
      </c>
      <c r="F17" s="27">
        <f>'5. 16.'!F17-'5. 17.'!E17</f>
        <v>54.96</v>
      </c>
      <c r="G17" s="27">
        <f>E17+'5. 16.'!G17</f>
        <v>3.04</v>
      </c>
      <c r="H17" s="67" t="s">
        <v>62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</v>
      </c>
      <c r="F19" s="28">
        <f>SUM(F17:F18)</f>
        <v>94.960000000000008</v>
      </c>
      <c r="G19" s="28">
        <f>SUM(G17:G18)</f>
        <v>3.04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1A7C-644D-4D58-8F7F-3DB20A4BC484}">
  <sheetPr codeName="Sheet11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4" t="s">
        <v>1</v>
      </c>
      <c r="C3" s="91">
        <v>45064</v>
      </c>
      <c r="D3" s="91"/>
      <c r="E3" s="33" t="s">
        <v>25</v>
      </c>
      <c r="F3" s="2" t="s">
        <v>26</v>
      </c>
      <c r="G3" s="92" t="s">
        <v>34</v>
      </c>
      <c r="H3" s="93"/>
      <c r="I3" s="13">
        <v>11</v>
      </c>
      <c r="J3" s="94" t="s">
        <v>27</v>
      </c>
      <c r="K3" s="94"/>
      <c r="L3" s="14">
        <v>5</v>
      </c>
      <c r="M3" s="11"/>
      <c r="N3" s="2"/>
      <c r="O3" s="32"/>
      <c r="P3" s="32"/>
      <c r="Q3" s="32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4" t="s">
        <v>1</v>
      </c>
      <c r="C5" s="33" t="s">
        <v>15</v>
      </c>
      <c r="D5" s="33" t="s">
        <v>64</v>
      </c>
      <c r="E5" s="33" t="s">
        <v>19</v>
      </c>
      <c r="F5" s="33" t="s">
        <v>37</v>
      </c>
      <c r="G5" s="33" t="s">
        <v>18</v>
      </c>
      <c r="H5" s="33" t="s">
        <v>30</v>
      </c>
      <c r="I5" s="33" t="s">
        <v>28</v>
      </c>
      <c r="J5" s="33" t="s">
        <v>21</v>
      </c>
      <c r="K5" s="33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17.'!F6</f>
        <v>5297</v>
      </c>
      <c r="E6" s="2">
        <v>8</v>
      </c>
      <c r="F6" s="2">
        <f>D6-E6</f>
        <v>5289</v>
      </c>
      <c r="G6" s="4">
        <v>0.1</v>
      </c>
      <c r="H6" s="4">
        <v>5.25</v>
      </c>
      <c r="I6" s="2">
        <f>D6*G6</f>
        <v>529.70000000000005</v>
      </c>
      <c r="J6" s="2">
        <v>2</v>
      </c>
      <c r="K6" s="2">
        <v>490</v>
      </c>
      <c r="L6" s="4">
        <v>29.4</v>
      </c>
      <c r="M6" s="4">
        <v>8.5399999999999991</v>
      </c>
      <c r="N6" s="4">
        <v>5.43</v>
      </c>
      <c r="O6" s="16">
        <v>0.41199999999999998</v>
      </c>
      <c r="P6" s="16">
        <v>0</v>
      </c>
      <c r="Q6" s="16">
        <v>3.3929999999999998</v>
      </c>
      <c r="R6" s="10" t="s">
        <v>63</v>
      </c>
    </row>
    <row r="7" spans="2:20" ht="33" x14ac:dyDescent="0.3">
      <c r="B7" s="1" t="s">
        <v>3</v>
      </c>
      <c r="C7" s="2" t="s">
        <v>16</v>
      </c>
      <c r="D7" s="2">
        <f>'5. 17.'!F7</f>
        <v>5274</v>
      </c>
      <c r="E7" s="2">
        <v>8</v>
      </c>
      <c r="F7" s="2">
        <f>D7-E7</f>
        <v>5266</v>
      </c>
      <c r="G7" s="4">
        <v>0.1</v>
      </c>
      <c r="H7" s="4">
        <v>5.25</v>
      </c>
      <c r="I7" s="2">
        <f>D7*G7</f>
        <v>527.4</v>
      </c>
      <c r="J7" s="2">
        <v>2</v>
      </c>
      <c r="K7" s="2">
        <v>490</v>
      </c>
      <c r="L7" s="4">
        <v>29.4</v>
      </c>
      <c r="M7" s="4">
        <v>8.5500000000000007</v>
      </c>
      <c r="N7" s="4">
        <v>5.24</v>
      </c>
      <c r="O7" s="16">
        <v>0.36299999999999999</v>
      </c>
      <c r="P7" s="16">
        <v>0</v>
      </c>
      <c r="Q7" s="16">
        <v>3.3</v>
      </c>
      <c r="R7" s="10" t="s">
        <v>63</v>
      </c>
    </row>
    <row r="8" spans="2:20" x14ac:dyDescent="0.3">
      <c r="B8" s="1" t="s">
        <v>35</v>
      </c>
      <c r="C8" s="2"/>
      <c r="D8" s="2">
        <f>SUM(D6:D7)</f>
        <v>10571</v>
      </c>
      <c r="E8" s="2">
        <f t="shared" ref="E8:F8" si="0">SUM(E6:E7)</f>
        <v>16</v>
      </c>
      <c r="F8" s="2">
        <f t="shared" si="0"/>
        <v>10555</v>
      </c>
      <c r="G8" s="4">
        <f>AVERAGE(G6:G7)</f>
        <v>0.1</v>
      </c>
      <c r="H8" s="4">
        <f>AVERAGE(H6:H7)</f>
        <v>5.25</v>
      </c>
      <c r="I8" s="2">
        <f>SUM(I6:I7)</f>
        <v>1057.0999999999999</v>
      </c>
      <c r="J8" s="2">
        <f>AVERAGE(J6:J7)</f>
        <v>2</v>
      </c>
      <c r="K8" s="2">
        <f>SUM(K6:K7)</f>
        <v>980</v>
      </c>
      <c r="L8" s="4">
        <f>AVERAGE(L6:L7)</f>
        <v>29.4</v>
      </c>
      <c r="M8" s="4">
        <f t="shared" ref="M8:Q8" si="1">AVERAGE(M6:M7)</f>
        <v>8.5449999999999999</v>
      </c>
      <c r="N8" s="4">
        <f t="shared" si="1"/>
        <v>5.335</v>
      </c>
      <c r="O8" s="4">
        <f t="shared" si="1"/>
        <v>0.38749999999999996</v>
      </c>
      <c r="P8" s="4">
        <f t="shared" si="1"/>
        <v>0</v>
      </c>
      <c r="Q8" s="4">
        <f t="shared" si="1"/>
        <v>3.3464999999999998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0.98</v>
      </c>
      <c r="F17" s="27">
        <f>'5. 17.'!F17-'5. 18.'!E17</f>
        <v>53.980000000000004</v>
      </c>
      <c r="G17" s="27">
        <f>E17+'5. 17.'!G17</f>
        <v>4.0199999999999996</v>
      </c>
      <c r="H17" s="67" t="s">
        <v>62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0.98</v>
      </c>
      <c r="F19" s="28">
        <f>SUM(F17:F18)</f>
        <v>93.98</v>
      </c>
      <c r="G19" s="28">
        <f>SUM(G17:G18)</f>
        <v>4.0199999999999996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808A-9F11-4CA9-BC59-009238249B77}">
  <sheetPr codeName="Sheet12">
    <pageSetUpPr fitToPage="1"/>
  </sheetPr>
  <dimension ref="B1:T19"/>
  <sheetViews>
    <sheetView workbookViewId="0">
      <selection activeCell="B9" sqref="B9:R9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4" t="s">
        <v>1</v>
      </c>
      <c r="C3" s="91">
        <v>45065</v>
      </c>
      <c r="D3" s="91"/>
      <c r="E3" s="33" t="s">
        <v>25</v>
      </c>
      <c r="F3" s="2" t="s">
        <v>26</v>
      </c>
      <c r="G3" s="92" t="s">
        <v>34</v>
      </c>
      <c r="H3" s="93"/>
      <c r="I3" s="13">
        <v>12</v>
      </c>
      <c r="J3" s="94" t="s">
        <v>27</v>
      </c>
      <c r="K3" s="94"/>
      <c r="L3" s="14">
        <v>6</v>
      </c>
      <c r="M3" s="11"/>
      <c r="N3" s="2"/>
      <c r="O3" s="32"/>
      <c r="P3" s="32"/>
      <c r="Q3" s="32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4" t="s">
        <v>1</v>
      </c>
      <c r="C5" s="33" t="s">
        <v>15</v>
      </c>
      <c r="D5" s="33" t="s">
        <v>64</v>
      </c>
      <c r="E5" s="33" t="s">
        <v>19</v>
      </c>
      <c r="F5" s="33" t="s">
        <v>37</v>
      </c>
      <c r="G5" s="33" t="s">
        <v>18</v>
      </c>
      <c r="H5" s="33" t="s">
        <v>30</v>
      </c>
      <c r="I5" s="33" t="s">
        <v>28</v>
      </c>
      <c r="J5" s="33" t="s">
        <v>21</v>
      </c>
      <c r="K5" s="33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18.'!F6</f>
        <v>5289</v>
      </c>
      <c r="E6" s="2">
        <v>8</v>
      </c>
      <c r="F6" s="2">
        <f>D6-E6</f>
        <v>5281</v>
      </c>
      <c r="G6" s="4">
        <v>0.1</v>
      </c>
      <c r="H6" s="4">
        <v>5.25</v>
      </c>
      <c r="I6" s="2">
        <f>D6*G6</f>
        <v>528.9</v>
      </c>
      <c r="J6" s="2">
        <v>2</v>
      </c>
      <c r="K6" s="2">
        <v>500</v>
      </c>
      <c r="L6" s="4">
        <v>29.3</v>
      </c>
      <c r="M6" s="4">
        <v>8.57</v>
      </c>
      <c r="N6" s="4">
        <v>6.84</v>
      </c>
      <c r="O6" s="16">
        <v>0.192</v>
      </c>
      <c r="P6" s="16">
        <v>0</v>
      </c>
      <c r="Q6" s="16">
        <v>2.7869999999999999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18.'!F7</f>
        <v>5266</v>
      </c>
      <c r="E7" s="2">
        <v>10</v>
      </c>
      <c r="F7" s="2">
        <f>D7-E7</f>
        <v>5256</v>
      </c>
      <c r="G7" s="4">
        <v>0.1</v>
      </c>
      <c r="H7" s="4">
        <v>5.25</v>
      </c>
      <c r="I7" s="2">
        <f>D7*G7</f>
        <v>526.6</v>
      </c>
      <c r="J7" s="2">
        <v>2</v>
      </c>
      <c r="K7" s="2">
        <v>500</v>
      </c>
      <c r="L7" s="4">
        <v>28.8</v>
      </c>
      <c r="M7" s="4">
        <v>8.52</v>
      </c>
      <c r="N7" s="4">
        <v>6.69</v>
      </c>
      <c r="O7" s="16">
        <v>0</v>
      </c>
      <c r="P7" s="16">
        <v>0</v>
      </c>
      <c r="Q7" s="16">
        <v>2.5590000000000002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10555</v>
      </c>
      <c r="E8" s="2">
        <f t="shared" ref="E8:F8" si="0">SUM(E6:E7)</f>
        <v>18</v>
      </c>
      <c r="F8" s="2">
        <f t="shared" si="0"/>
        <v>10537</v>
      </c>
      <c r="G8" s="4">
        <f>AVERAGE(G6:G7)</f>
        <v>0.1</v>
      </c>
      <c r="H8" s="4">
        <f>AVERAGE(H6:H7)</f>
        <v>5.25</v>
      </c>
      <c r="I8" s="2">
        <f>SUM(I6:I7)</f>
        <v>1055.5</v>
      </c>
      <c r="J8" s="2">
        <f>AVERAGE(J6:J7)</f>
        <v>2</v>
      </c>
      <c r="K8" s="2">
        <f>SUM(K6:K7)</f>
        <v>1000</v>
      </c>
      <c r="L8" s="4">
        <f>AVERAGE(L6:L7)</f>
        <v>29.05</v>
      </c>
      <c r="M8" s="4">
        <f t="shared" ref="M8:Q8" si="1">AVERAGE(M6:M7)</f>
        <v>8.5449999999999999</v>
      </c>
      <c r="N8" s="4">
        <f t="shared" si="1"/>
        <v>6.7650000000000006</v>
      </c>
      <c r="O8" s="4">
        <f t="shared" si="1"/>
        <v>9.6000000000000002E-2</v>
      </c>
      <c r="P8" s="4">
        <f t="shared" si="1"/>
        <v>0</v>
      </c>
      <c r="Q8" s="4">
        <f t="shared" si="1"/>
        <v>2.673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</v>
      </c>
      <c r="F17" s="27">
        <f>'5. 18.'!F17-'5. 19.'!E17</f>
        <v>52.980000000000004</v>
      </c>
      <c r="G17" s="27">
        <f>E17+'5. 18.'!G17</f>
        <v>5.0199999999999996</v>
      </c>
      <c r="H17" s="67" t="s">
        <v>65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</v>
      </c>
      <c r="F19" s="28">
        <f>SUM(F17:F18)</f>
        <v>92.98</v>
      </c>
      <c r="G19" s="28">
        <f>SUM(G17:G18)</f>
        <v>5.0199999999999996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BC36-D3BC-4BE1-BEC6-CBDF3BCD505B}">
  <sheetPr codeName="Sheet13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6" t="s">
        <v>1</v>
      </c>
      <c r="C3" s="91">
        <v>45066</v>
      </c>
      <c r="D3" s="91"/>
      <c r="E3" s="35" t="s">
        <v>25</v>
      </c>
      <c r="F3" s="2" t="s">
        <v>26</v>
      </c>
      <c r="G3" s="92" t="s">
        <v>34</v>
      </c>
      <c r="H3" s="93"/>
      <c r="I3" s="13">
        <v>13</v>
      </c>
      <c r="J3" s="94" t="s">
        <v>27</v>
      </c>
      <c r="K3" s="94"/>
      <c r="L3" s="14">
        <v>7</v>
      </c>
      <c r="M3" s="11"/>
      <c r="N3" s="2"/>
      <c r="O3" s="37"/>
      <c r="P3" s="37"/>
      <c r="Q3" s="37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6" t="s">
        <v>1</v>
      </c>
      <c r="C5" s="35" t="s">
        <v>15</v>
      </c>
      <c r="D5" s="35" t="s">
        <v>64</v>
      </c>
      <c r="E5" s="35" t="s">
        <v>19</v>
      </c>
      <c r="F5" s="35" t="s">
        <v>37</v>
      </c>
      <c r="G5" s="35" t="s">
        <v>18</v>
      </c>
      <c r="H5" s="35" t="s">
        <v>30</v>
      </c>
      <c r="I5" s="35" t="s">
        <v>28</v>
      </c>
      <c r="J5" s="35" t="s">
        <v>21</v>
      </c>
      <c r="K5" s="35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19.'!F6</f>
        <v>5281</v>
      </c>
      <c r="E6" s="2">
        <v>9</v>
      </c>
      <c r="F6" s="2">
        <f>D6-E6</f>
        <v>5272</v>
      </c>
      <c r="G6" s="4">
        <v>0.1</v>
      </c>
      <c r="H6" s="4">
        <v>5.25</v>
      </c>
      <c r="I6" s="2">
        <f>D6*G6</f>
        <v>528.1</v>
      </c>
      <c r="J6" s="2">
        <v>2</v>
      </c>
      <c r="K6" s="2">
        <f>270+310</f>
        <v>580</v>
      </c>
      <c r="L6" s="4">
        <v>29.4</v>
      </c>
      <c r="M6" s="4">
        <v>8.57</v>
      </c>
      <c r="N6" s="4">
        <v>6.84</v>
      </c>
      <c r="O6" s="16">
        <v>0.39500000000000002</v>
      </c>
      <c r="P6" s="16">
        <v>0</v>
      </c>
      <c r="Q6" s="16">
        <v>3.4990000000000001</v>
      </c>
      <c r="R6" s="10" t="s">
        <v>67</v>
      </c>
    </row>
    <row r="7" spans="2:20" ht="33" x14ac:dyDescent="0.3">
      <c r="B7" s="1" t="s">
        <v>3</v>
      </c>
      <c r="C7" s="2" t="s">
        <v>16</v>
      </c>
      <c r="D7" s="2">
        <f>'5. 19.'!F7</f>
        <v>5256</v>
      </c>
      <c r="E7" s="2">
        <v>9</v>
      </c>
      <c r="F7" s="2">
        <f>D7-E7</f>
        <v>5247</v>
      </c>
      <c r="G7" s="4">
        <v>0.1</v>
      </c>
      <c r="H7" s="4">
        <v>5.25</v>
      </c>
      <c r="I7" s="2">
        <f>D7*G7</f>
        <v>525.6</v>
      </c>
      <c r="J7" s="2">
        <v>2</v>
      </c>
      <c r="K7" s="2">
        <f>270+310</f>
        <v>580</v>
      </c>
      <c r="L7" s="4">
        <v>29.3</v>
      </c>
      <c r="M7" s="4">
        <v>8.5299999999999994</v>
      </c>
      <c r="N7" s="4">
        <v>7.01</v>
      </c>
      <c r="O7" s="16">
        <v>0.41099999999999998</v>
      </c>
      <c r="P7" s="16">
        <v>0</v>
      </c>
      <c r="Q7" s="16">
        <v>4.0830000000000002</v>
      </c>
      <c r="R7" s="10" t="s">
        <v>68</v>
      </c>
    </row>
    <row r="8" spans="2:20" x14ac:dyDescent="0.3">
      <c r="B8" s="1" t="s">
        <v>35</v>
      </c>
      <c r="C8" s="2"/>
      <c r="D8" s="2">
        <f>SUM(D6:D7)</f>
        <v>10537</v>
      </c>
      <c r="E8" s="2">
        <f t="shared" ref="E8:F8" si="0">SUM(E6:E7)</f>
        <v>18</v>
      </c>
      <c r="F8" s="2">
        <f t="shared" si="0"/>
        <v>10519</v>
      </c>
      <c r="G8" s="4">
        <f>AVERAGE(G6:G7)</f>
        <v>0.1</v>
      </c>
      <c r="H8" s="4">
        <f>AVERAGE(H6:H7)</f>
        <v>5.25</v>
      </c>
      <c r="I8" s="2">
        <f>SUM(I6:I7)</f>
        <v>1053.7</v>
      </c>
      <c r="J8" s="2">
        <f>AVERAGE(J6:J7)</f>
        <v>2</v>
      </c>
      <c r="K8" s="2">
        <f>SUM(K6:K7)</f>
        <v>1160</v>
      </c>
      <c r="L8" s="4">
        <f>AVERAGE(L6:L7)</f>
        <v>29.35</v>
      </c>
      <c r="M8" s="4">
        <f t="shared" ref="M8:Q8" si="1">AVERAGE(M6:M7)</f>
        <v>8.5500000000000007</v>
      </c>
      <c r="N8" s="4">
        <f t="shared" si="1"/>
        <v>6.9249999999999998</v>
      </c>
      <c r="O8" s="4">
        <f t="shared" si="1"/>
        <v>0.40300000000000002</v>
      </c>
      <c r="P8" s="4">
        <f t="shared" si="1"/>
        <v>0</v>
      </c>
      <c r="Q8" s="4">
        <f t="shared" si="1"/>
        <v>3.7910000000000004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1.1599999999999999</v>
      </c>
      <c r="F17" s="27">
        <f>'5. 19.'!F17-'5. 20.'!E17</f>
        <v>51.820000000000007</v>
      </c>
      <c r="G17" s="27">
        <f>E17+'5. 19.'!G17</f>
        <v>6.18</v>
      </c>
      <c r="H17" s="67" t="s">
        <v>65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1.1599999999999999</v>
      </c>
      <c r="F19" s="28">
        <f>SUM(F17:F18)</f>
        <v>91.820000000000007</v>
      </c>
      <c r="G19" s="28">
        <f>SUM(G17:G18)</f>
        <v>6.18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8048-DC65-4425-A936-3591BF2D9423}">
  <sheetPr codeName="Sheet14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6" t="s">
        <v>1</v>
      </c>
      <c r="C3" s="91">
        <v>45067</v>
      </c>
      <c r="D3" s="91"/>
      <c r="E3" s="35" t="s">
        <v>25</v>
      </c>
      <c r="F3" s="2" t="s">
        <v>66</v>
      </c>
      <c r="G3" s="92" t="s">
        <v>34</v>
      </c>
      <c r="H3" s="93"/>
      <c r="I3" s="13">
        <v>14</v>
      </c>
      <c r="J3" s="94" t="s">
        <v>27</v>
      </c>
      <c r="K3" s="94"/>
      <c r="L3" s="14">
        <v>8</v>
      </c>
      <c r="M3" s="11"/>
      <c r="N3" s="2"/>
      <c r="O3" s="37"/>
      <c r="P3" s="37"/>
      <c r="Q3" s="37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6" t="s">
        <v>1</v>
      </c>
      <c r="C5" s="35" t="s">
        <v>15</v>
      </c>
      <c r="D5" s="35" t="s">
        <v>64</v>
      </c>
      <c r="E5" s="35" t="s">
        <v>19</v>
      </c>
      <c r="F5" s="35" t="s">
        <v>37</v>
      </c>
      <c r="G5" s="35" t="s">
        <v>18</v>
      </c>
      <c r="H5" s="35" t="s">
        <v>30</v>
      </c>
      <c r="I5" s="35" t="s">
        <v>28</v>
      </c>
      <c r="J5" s="35" t="s">
        <v>21</v>
      </c>
      <c r="K5" s="35" t="s">
        <v>22</v>
      </c>
      <c r="L5" s="86"/>
      <c r="M5" s="86"/>
      <c r="N5" s="86"/>
      <c r="O5" s="86"/>
      <c r="P5" s="86"/>
      <c r="Q5" s="86"/>
      <c r="R5" s="97"/>
    </row>
    <row r="6" spans="2:20" ht="49.5" x14ac:dyDescent="0.3">
      <c r="B6" s="1" t="s">
        <v>2</v>
      </c>
      <c r="C6" s="2" t="s">
        <v>16</v>
      </c>
      <c r="D6" s="2">
        <f>'5. 20.'!F6</f>
        <v>5272</v>
      </c>
      <c r="E6" s="2">
        <v>5</v>
      </c>
      <c r="F6" s="2">
        <f>D6-E6</f>
        <v>5267</v>
      </c>
      <c r="G6" s="4">
        <v>0.1</v>
      </c>
      <c r="H6" s="4">
        <v>5.25</v>
      </c>
      <c r="I6" s="2">
        <f>D6*G6</f>
        <v>527.20000000000005</v>
      </c>
      <c r="J6" s="2">
        <v>2</v>
      </c>
      <c r="K6" s="2">
        <f>310+310</f>
        <v>620</v>
      </c>
      <c r="L6" s="4">
        <v>29.4</v>
      </c>
      <c r="M6" s="4">
        <v>8.44</v>
      </c>
      <c r="N6" s="4">
        <v>7.12</v>
      </c>
      <c r="O6" s="16">
        <v>0.35299999999999998</v>
      </c>
      <c r="P6" s="16">
        <v>0</v>
      </c>
      <c r="Q6" s="16">
        <v>3.3090000000000002</v>
      </c>
      <c r="R6" s="10" t="s">
        <v>74</v>
      </c>
    </row>
    <row r="7" spans="2:20" ht="49.5" x14ac:dyDescent="0.3">
      <c r="B7" s="1" t="s">
        <v>3</v>
      </c>
      <c r="C7" s="2" t="s">
        <v>16</v>
      </c>
      <c r="D7" s="2">
        <f>'5. 20.'!F7</f>
        <v>5247</v>
      </c>
      <c r="E7" s="2">
        <v>2</v>
      </c>
      <c r="F7" s="2">
        <f>D7-E7</f>
        <v>5245</v>
      </c>
      <c r="G7" s="4">
        <v>0.1</v>
      </c>
      <c r="H7" s="4">
        <v>5.25</v>
      </c>
      <c r="I7" s="2">
        <f>D7*G7</f>
        <v>524.70000000000005</v>
      </c>
      <c r="J7" s="2">
        <v>2</v>
      </c>
      <c r="K7" s="2">
        <f>310+310</f>
        <v>620</v>
      </c>
      <c r="L7" s="4">
        <v>28.9</v>
      </c>
      <c r="M7" s="4">
        <v>8.2899999999999991</v>
      </c>
      <c r="N7" s="4">
        <v>6.88</v>
      </c>
      <c r="O7" s="16">
        <v>0.21199999999999999</v>
      </c>
      <c r="P7" s="16">
        <v>0</v>
      </c>
      <c r="Q7" s="16">
        <v>3.2879999999999998</v>
      </c>
      <c r="R7" s="10" t="s">
        <v>74</v>
      </c>
    </row>
    <row r="8" spans="2:20" x14ac:dyDescent="0.3">
      <c r="B8" s="1" t="s">
        <v>35</v>
      </c>
      <c r="C8" s="2"/>
      <c r="D8" s="2">
        <f>SUM(D6:D7)</f>
        <v>10519</v>
      </c>
      <c r="E8" s="2">
        <f t="shared" ref="E8:F8" si="0">SUM(E6:E7)</f>
        <v>7</v>
      </c>
      <c r="F8" s="2">
        <f t="shared" si="0"/>
        <v>10512</v>
      </c>
      <c r="G8" s="4">
        <f>AVERAGE(G6:G7)</f>
        <v>0.1</v>
      </c>
      <c r="H8" s="4">
        <f>AVERAGE(H6:H7)</f>
        <v>5.25</v>
      </c>
      <c r="I8" s="2">
        <f>SUM(I6:I7)</f>
        <v>1051.9000000000001</v>
      </c>
      <c r="J8" s="2">
        <f>AVERAGE(J6:J7)</f>
        <v>2</v>
      </c>
      <c r="K8" s="2">
        <f>SUM(K6:K7)</f>
        <v>1240</v>
      </c>
      <c r="L8" s="4">
        <f>AVERAGE(L6:L7)</f>
        <v>29.15</v>
      </c>
      <c r="M8" s="4">
        <f t="shared" ref="M8:Q8" si="1">AVERAGE(M6:M7)</f>
        <v>8.3649999999999984</v>
      </c>
      <c r="N8" s="4">
        <f t="shared" si="1"/>
        <v>7</v>
      </c>
      <c r="O8" s="4">
        <f t="shared" si="1"/>
        <v>0.28249999999999997</v>
      </c>
      <c r="P8" s="4">
        <f t="shared" si="1"/>
        <v>0</v>
      </c>
      <c r="Q8" s="4">
        <f t="shared" si="1"/>
        <v>3.2984999999999998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73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1.24</v>
      </c>
      <c r="F17" s="27">
        <f>'5. 20.'!F17-'5. 21.'!E17</f>
        <v>50.580000000000005</v>
      </c>
      <c r="G17" s="27">
        <f>E17+'5. 20.'!G17</f>
        <v>7.42</v>
      </c>
      <c r="H17" s="67" t="s">
        <v>69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1.24</v>
      </c>
      <c r="F19" s="28">
        <f>SUM(F17:F18)</f>
        <v>90.580000000000013</v>
      </c>
      <c r="G19" s="28">
        <f>SUM(G17:G18)</f>
        <v>7.42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AD4C-5F3A-4E97-9DBE-31B134058D3B}">
  <sheetPr codeName="Sheet15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0" t="s">
        <v>1</v>
      </c>
      <c r="C3" s="91">
        <v>45068</v>
      </c>
      <c r="D3" s="91"/>
      <c r="E3" s="39" t="s">
        <v>25</v>
      </c>
      <c r="F3" s="2" t="s">
        <v>26</v>
      </c>
      <c r="G3" s="92" t="s">
        <v>34</v>
      </c>
      <c r="H3" s="93"/>
      <c r="I3" s="13">
        <v>15</v>
      </c>
      <c r="J3" s="94" t="s">
        <v>27</v>
      </c>
      <c r="K3" s="94"/>
      <c r="L3" s="14">
        <v>9</v>
      </c>
      <c r="M3" s="11"/>
      <c r="N3" s="2"/>
      <c r="O3" s="38"/>
      <c r="P3" s="38"/>
      <c r="Q3" s="38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0" t="s">
        <v>1</v>
      </c>
      <c r="C5" s="39" t="s">
        <v>15</v>
      </c>
      <c r="D5" s="39" t="s">
        <v>64</v>
      </c>
      <c r="E5" s="39" t="s">
        <v>19</v>
      </c>
      <c r="F5" s="39" t="s">
        <v>37</v>
      </c>
      <c r="G5" s="39" t="s">
        <v>18</v>
      </c>
      <c r="H5" s="39" t="s">
        <v>30</v>
      </c>
      <c r="I5" s="39" t="s">
        <v>28</v>
      </c>
      <c r="J5" s="39" t="s">
        <v>21</v>
      </c>
      <c r="K5" s="39" t="s">
        <v>22</v>
      </c>
      <c r="L5" s="86"/>
      <c r="M5" s="86"/>
      <c r="N5" s="86"/>
      <c r="O5" s="86"/>
      <c r="P5" s="86"/>
      <c r="Q5" s="86"/>
      <c r="R5" s="97"/>
    </row>
    <row r="6" spans="2:20" ht="49.5" x14ac:dyDescent="0.3">
      <c r="B6" s="1" t="s">
        <v>2</v>
      </c>
      <c r="C6" s="2" t="s">
        <v>16</v>
      </c>
      <c r="D6" s="2">
        <f>'5. 21.'!F6</f>
        <v>5267</v>
      </c>
      <c r="E6" s="2">
        <v>3</v>
      </c>
      <c r="F6" s="2">
        <f>D6-E6</f>
        <v>5264</v>
      </c>
      <c r="G6" s="4">
        <v>0.1</v>
      </c>
      <c r="H6" s="4">
        <v>5.25</v>
      </c>
      <c r="I6" s="2">
        <f>D6*G6</f>
        <v>526.70000000000005</v>
      </c>
      <c r="J6" s="2">
        <v>1</v>
      </c>
      <c r="K6" s="2">
        <v>320</v>
      </c>
      <c r="L6" s="4">
        <v>29.4</v>
      </c>
      <c r="M6" s="4">
        <v>8.56</v>
      </c>
      <c r="N6" s="4">
        <v>6.68</v>
      </c>
      <c r="O6" s="16">
        <v>0.40699999999999997</v>
      </c>
      <c r="P6" s="16">
        <v>0</v>
      </c>
      <c r="Q6" s="16">
        <v>3.3660000000000001</v>
      </c>
      <c r="R6" s="10" t="s">
        <v>70</v>
      </c>
    </row>
    <row r="7" spans="2:20" x14ac:dyDescent="0.3">
      <c r="B7" s="1" t="s">
        <v>3</v>
      </c>
      <c r="C7" s="2" t="s">
        <v>16</v>
      </c>
      <c r="D7" s="2">
        <f>'5. 21.'!F7</f>
        <v>5245</v>
      </c>
      <c r="E7" s="2">
        <v>1</v>
      </c>
      <c r="F7" s="2">
        <f>D7-E7</f>
        <v>5244</v>
      </c>
      <c r="G7" s="4">
        <v>0.1</v>
      </c>
      <c r="H7" s="4">
        <v>5.25</v>
      </c>
      <c r="I7" s="2">
        <f>D7*G7</f>
        <v>524.5</v>
      </c>
      <c r="J7" s="2">
        <v>2</v>
      </c>
      <c r="K7" s="2">
        <f>350+320</f>
        <v>670</v>
      </c>
      <c r="L7" s="4">
        <v>28.8</v>
      </c>
      <c r="M7" s="4">
        <v>8.5500000000000007</v>
      </c>
      <c r="N7" s="4">
        <v>6.95</v>
      </c>
      <c r="O7" s="16">
        <v>0.372</v>
      </c>
      <c r="P7" s="16">
        <v>0</v>
      </c>
      <c r="Q7" s="16">
        <v>3.98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10512</v>
      </c>
      <c r="E8" s="2">
        <f t="shared" ref="E8:F8" si="0">SUM(E6:E7)</f>
        <v>4</v>
      </c>
      <c r="F8" s="2">
        <f t="shared" si="0"/>
        <v>10508</v>
      </c>
      <c r="G8" s="4">
        <f>AVERAGE(G6:G7)</f>
        <v>0.1</v>
      </c>
      <c r="H8" s="4">
        <f>AVERAGE(H6:H7)</f>
        <v>5.25</v>
      </c>
      <c r="I8" s="2">
        <f>SUM(I6:I7)</f>
        <v>1051.2</v>
      </c>
      <c r="J8" s="2">
        <f>AVERAGE(J6:J7)</f>
        <v>1.5</v>
      </c>
      <c r="K8" s="2">
        <f>SUM(K6:K7)</f>
        <v>990</v>
      </c>
      <c r="L8" s="4">
        <f>AVERAGE(L6:L7)</f>
        <v>29.1</v>
      </c>
      <c r="M8" s="4">
        <f t="shared" ref="M8:Q8" si="1">AVERAGE(M6:M7)</f>
        <v>8.5549999999999997</v>
      </c>
      <c r="N8" s="4">
        <f t="shared" si="1"/>
        <v>6.8149999999999995</v>
      </c>
      <c r="O8" s="4">
        <f t="shared" si="1"/>
        <v>0.38949999999999996</v>
      </c>
      <c r="P8" s="4">
        <f t="shared" si="1"/>
        <v>0</v>
      </c>
      <c r="Q8" s="4">
        <f t="shared" si="1"/>
        <v>3.673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71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0.99</v>
      </c>
      <c r="F17" s="27">
        <f>'5. 21.'!F17-'5. 22.'!E17</f>
        <v>49.59</v>
      </c>
      <c r="G17" s="27">
        <f>E17+'5. 21.'!G17</f>
        <v>8.41</v>
      </c>
      <c r="H17" s="67" t="s">
        <v>72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0.99</v>
      </c>
      <c r="F19" s="28">
        <f>SUM(F17:F18)</f>
        <v>89.59</v>
      </c>
      <c r="G19" s="28">
        <f>SUM(G17:G18)</f>
        <v>8.41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B7-B0D5-4503-B338-8D34EA11763B}">
  <sheetPr codeName="Sheet16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0" t="s">
        <v>1</v>
      </c>
      <c r="C3" s="91">
        <v>45069</v>
      </c>
      <c r="D3" s="91"/>
      <c r="E3" s="39" t="s">
        <v>25</v>
      </c>
      <c r="F3" s="2" t="s">
        <v>26</v>
      </c>
      <c r="G3" s="92" t="s">
        <v>34</v>
      </c>
      <c r="H3" s="93"/>
      <c r="I3" s="13">
        <v>16</v>
      </c>
      <c r="J3" s="94" t="s">
        <v>27</v>
      </c>
      <c r="K3" s="94"/>
      <c r="L3" s="14">
        <v>10</v>
      </c>
      <c r="M3" s="11"/>
      <c r="N3" s="2"/>
      <c r="O3" s="38"/>
      <c r="P3" s="38"/>
      <c r="Q3" s="38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0" t="s">
        <v>1</v>
      </c>
      <c r="C5" s="39" t="s">
        <v>15</v>
      </c>
      <c r="D5" s="39" t="s">
        <v>64</v>
      </c>
      <c r="E5" s="39" t="s">
        <v>19</v>
      </c>
      <c r="F5" s="39" t="s">
        <v>37</v>
      </c>
      <c r="G5" s="39" t="s">
        <v>18</v>
      </c>
      <c r="H5" s="39" t="s">
        <v>30</v>
      </c>
      <c r="I5" s="39" t="s">
        <v>28</v>
      </c>
      <c r="J5" s="39" t="s">
        <v>21</v>
      </c>
      <c r="K5" s="39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22.'!F6</f>
        <v>5264</v>
      </c>
      <c r="E6" s="2">
        <v>6</v>
      </c>
      <c r="F6" s="2">
        <f>D6-E6</f>
        <v>5258</v>
      </c>
      <c r="G6" s="4">
        <v>0.1</v>
      </c>
      <c r="H6" s="4">
        <v>5.25</v>
      </c>
      <c r="I6" s="2">
        <f>D6*G6</f>
        <v>526.4</v>
      </c>
      <c r="J6" s="2">
        <v>1</v>
      </c>
      <c r="K6" s="2">
        <v>350</v>
      </c>
      <c r="L6" s="4">
        <v>28.4</v>
      </c>
      <c r="M6" s="4">
        <v>8.5399999999999991</v>
      </c>
      <c r="N6" s="4">
        <v>7.1</v>
      </c>
      <c r="O6" s="16">
        <v>0.40699999999999997</v>
      </c>
      <c r="P6" s="16">
        <v>0</v>
      </c>
      <c r="Q6" s="16">
        <v>3.835</v>
      </c>
      <c r="R6" s="10" t="s">
        <v>75</v>
      </c>
    </row>
    <row r="7" spans="2:20" ht="33" x14ac:dyDescent="0.3">
      <c r="B7" s="1" t="s">
        <v>3</v>
      </c>
      <c r="C7" s="2" t="s">
        <v>16</v>
      </c>
      <c r="D7" s="2">
        <f>'5. 22.'!F7</f>
        <v>5244</v>
      </c>
      <c r="E7" s="2">
        <v>3</v>
      </c>
      <c r="F7" s="2">
        <f>D7-E7</f>
        <v>5241</v>
      </c>
      <c r="G7" s="4">
        <v>0.1</v>
      </c>
      <c r="H7" s="4">
        <v>5.25</v>
      </c>
      <c r="I7" s="2">
        <f>D7*G7</f>
        <v>524.4</v>
      </c>
      <c r="J7" s="2">
        <v>1</v>
      </c>
      <c r="K7" s="2">
        <v>350</v>
      </c>
      <c r="L7" s="4">
        <v>28.8</v>
      </c>
      <c r="M7" s="4">
        <v>8.56</v>
      </c>
      <c r="N7" s="4">
        <v>6.7</v>
      </c>
      <c r="O7" s="16">
        <v>0.53200000000000003</v>
      </c>
      <c r="P7" s="16">
        <v>0</v>
      </c>
      <c r="Q7" s="16">
        <v>3.7970000000000002</v>
      </c>
      <c r="R7" s="10" t="s">
        <v>75</v>
      </c>
    </row>
    <row r="8" spans="2:20" x14ac:dyDescent="0.3">
      <c r="B8" s="1" t="s">
        <v>35</v>
      </c>
      <c r="C8" s="2"/>
      <c r="D8" s="2">
        <f>SUM(D6:D7)</f>
        <v>10508</v>
      </c>
      <c r="E8" s="2">
        <f t="shared" ref="E8:F8" si="0">SUM(E6:E7)</f>
        <v>9</v>
      </c>
      <c r="F8" s="2">
        <f t="shared" si="0"/>
        <v>10499</v>
      </c>
      <c r="G8" s="4">
        <f>AVERAGE(G6:G7)</f>
        <v>0.1</v>
      </c>
      <c r="H8" s="4">
        <f>AVERAGE(H6:H7)</f>
        <v>5.25</v>
      </c>
      <c r="I8" s="2">
        <f>SUM(I6:I7)</f>
        <v>1050.8</v>
      </c>
      <c r="J8" s="2">
        <f>AVERAGE(J6:J7)</f>
        <v>1</v>
      </c>
      <c r="K8" s="2">
        <f>SUM(K6:K7)</f>
        <v>700</v>
      </c>
      <c r="L8" s="4">
        <f>AVERAGE(L6:L7)</f>
        <v>28.6</v>
      </c>
      <c r="M8" s="4">
        <f t="shared" ref="M8:Q8" si="1">AVERAGE(M6:M7)</f>
        <v>8.5500000000000007</v>
      </c>
      <c r="N8" s="4">
        <f t="shared" si="1"/>
        <v>6.9</v>
      </c>
      <c r="O8" s="4">
        <f t="shared" si="1"/>
        <v>0.46950000000000003</v>
      </c>
      <c r="P8" s="4">
        <f t="shared" si="1"/>
        <v>0</v>
      </c>
      <c r="Q8" s="4">
        <f t="shared" si="1"/>
        <v>3.8159999999999998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76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0.7</v>
      </c>
      <c r="F17" s="27">
        <f>'5. 22.'!F17-'5. 23.'!E17</f>
        <v>48.89</v>
      </c>
      <c r="G17" s="27">
        <f>E17+'5. 22.'!G17</f>
        <v>9.11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0.7</v>
      </c>
      <c r="F19" s="28">
        <f>SUM(F17:F18)</f>
        <v>88.89</v>
      </c>
      <c r="G19" s="28">
        <f>SUM(G17:G18)</f>
        <v>9.11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E1E1-1E0A-44F7-B671-EE64198D272E}">
  <sheetPr codeName="Sheet17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0" t="s">
        <v>1</v>
      </c>
      <c r="C3" s="91">
        <v>45070</v>
      </c>
      <c r="D3" s="91"/>
      <c r="E3" s="39" t="s">
        <v>25</v>
      </c>
      <c r="F3" s="2" t="s">
        <v>26</v>
      </c>
      <c r="G3" s="92" t="s">
        <v>34</v>
      </c>
      <c r="H3" s="93"/>
      <c r="I3" s="13">
        <v>17</v>
      </c>
      <c r="J3" s="94" t="s">
        <v>27</v>
      </c>
      <c r="K3" s="94"/>
      <c r="L3" s="14">
        <v>11</v>
      </c>
      <c r="M3" s="11"/>
      <c r="N3" s="2"/>
      <c r="O3" s="38"/>
      <c r="P3" s="38"/>
      <c r="Q3" s="38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0" t="s">
        <v>1</v>
      </c>
      <c r="C5" s="39" t="s">
        <v>15</v>
      </c>
      <c r="D5" s="39" t="s">
        <v>64</v>
      </c>
      <c r="E5" s="39" t="s">
        <v>19</v>
      </c>
      <c r="F5" s="39" t="s">
        <v>37</v>
      </c>
      <c r="G5" s="39" t="s">
        <v>18</v>
      </c>
      <c r="H5" s="39" t="s">
        <v>30</v>
      </c>
      <c r="I5" s="39" t="s">
        <v>28</v>
      </c>
      <c r="J5" s="39" t="s">
        <v>21</v>
      </c>
      <c r="K5" s="39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23.'!F6</f>
        <v>5258</v>
      </c>
      <c r="E6" s="2">
        <v>7</v>
      </c>
      <c r="F6" s="2">
        <f>D6-E6</f>
        <v>5251</v>
      </c>
      <c r="G6" s="4">
        <v>0.1</v>
      </c>
      <c r="H6" s="4">
        <v>5.25</v>
      </c>
      <c r="I6" s="2">
        <f>D6*G6</f>
        <v>525.80000000000007</v>
      </c>
      <c r="J6" s="2">
        <v>1</v>
      </c>
      <c r="K6" s="2">
        <f>350+390</f>
        <v>740</v>
      </c>
      <c r="L6" s="4">
        <v>27.3</v>
      </c>
      <c r="M6" s="4">
        <v>8.52</v>
      </c>
      <c r="N6" s="4">
        <v>7.29</v>
      </c>
      <c r="O6" s="16">
        <v>0.40100000000000002</v>
      </c>
      <c r="P6" s="16">
        <v>0</v>
      </c>
      <c r="Q6" s="16">
        <v>3.024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23.'!F7</f>
        <v>5241</v>
      </c>
      <c r="E7" s="2">
        <v>3</v>
      </c>
      <c r="F7" s="2">
        <f>D7-E7</f>
        <v>5238</v>
      </c>
      <c r="G7" s="4">
        <v>0.1</v>
      </c>
      <c r="H7" s="4">
        <v>5.25</v>
      </c>
      <c r="I7" s="2">
        <f>D7*G7</f>
        <v>524.1</v>
      </c>
      <c r="J7" s="2">
        <v>1</v>
      </c>
      <c r="K7" s="2">
        <f>350+350</f>
        <v>700</v>
      </c>
      <c r="L7" s="4">
        <v>27.4</v>
      </c>
      <c r="M7" s="4">
        <v>8.49</v>
      </c>
      <c r="N7" s="4">
        <v>7.28</v>
      </c>
      <c r="O7" s="16">
        <v>0.54100000000000004</v>
      </c>
      <c r="P7" s="16">
        <v>0</v>
      </c>
      <c r="Q7" s="16">
        <v>3.6720000000000002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10499</v>
      </c>
      <c r="E8" s="2">
        <f t="shared" ref="E8:F8" si="0">SUM(E6:E7)</f>
        <v>10</v>
      </c>
      <c r="F8" s="2">
        <f t="shared" si="0"/>
        <v>10489</v>
      </c>
      <c r="G8" s="4">
        <f>AVERAGE(G6:G7)</f>
        <v>0.1</v>
      </c>
      <c r="H8" s="4">
        <f>AVERAGE(H6:H7)</f>
        <v>5.25</v>
      </c>
      <c r="I8" s="2">
        <f>SUM(I6:I7)</f>
        <v>1049.9000000000001</v>
      </c>
      <c r="J8" s="2">
        <f>AVERAGE(J6:J7)</f>
        <v>1</v>
      </c>
      <c r="K8" s="2">
        <f>SUM(K6:K7)</f>
        <v>1440</v>
      </c>
      <c r="L8" s="4">
        <f>AVERAGE(L6:L7)</f>
        <v>27.35</v>
      </c>
      <c r="M8" s="4">
        <f t="shared" ref="M8:Q8" si="1">AVERAGE(M6:M7)</f>
        <v>8.504999999999999</v>
      </c>
      <c r="N8" s="4">
        <f t="shared" si="1"/>
        <v>7.2850000000000001</v>
      </c>
      <c r="O8" s="4">
        <f t="shared" si="1"/>
        <v>0.47100000000000003</v>
      </c>
      <c r="P8" s="4">
        <f t="shared" si="1"/>
        <v>0</v>
      </c>
      <c r="Q8" s="4">
        <f t="shared" si="1"/>
        <v>3.3479999999999999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1.44</v>
      </c>
      <c r="F17" s="27">
        <f>'5. 23.'!F17-'5. 24.'!E17</f>
        <v>47.45</v>
      </c>
      <c r="G17" s="27">
        <f>E17+'5. 23.'!G17</f>
        <v>10.549999999999999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1.44</v>
      </c>
      <c r="F19" s="28">
        <f>SUM(F17:F18)</f>
        <v>87.45</v>
      </c>
      <c r="G19" s="28">
        <f>SUM(G17:G18)</f>
        <v>10.549999999999999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F447-FA78-41CA-8028-055DFBF0D2DA}">
  <sheetPr codeName="Sheet18">
    <pageSetUpPr fitToPage="1"/>
  </sheetPr>
  <dimension ref="B1:T19"/>
  <sheetViews>
    <sheetView workbookViewId="0">
      <selection activeCell="R7" sqref="R7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3" t="s">
        <v>1</v>
      </c>
      <c r="C3" s="91">
        <v>45071</v>
      </c>
      <c r="D3" s="91"/>
      <c r="E3" s="42" t="s">
        <v>25</v>
      </c>
      <c r="F3" s="2" t="s">
        <v>77</v>
      </c>
      <c r="G3" s="92" t="s">
        <v>34</v>
      </c>
      <c r="H3" s="93"/>
      <c r="I3" s="13">
        <v>18</v>
      </c>
      <c r="J3" s="94" t="s">
        <v>27</v>
      </c>
      <c r="K3" s="94"/>
      <c r="L3" s="14">
        <v>12</v>
      </c>
      <c r="M3" s="11"/>
      <c r="N3" s="2"/>
      <c r="O3" s="41"/>
      <c r="P3" s="41"/>
      <c r="Q3" s="41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3" t="s">
        <v>1</v>
      </c>
      <c r="C5" s="42" t="s">
        <v>15</v>
      </c>
      <c r="D5" s="42" t="s">
        <v>64</v>
      </c>
      <c r="E5" s="42" t="s">
        <v>19</v>
      </c>
      <c r="F5" s="42" t="s">
        <v>37</v>
      </c>
      <c r="G5" s="42" t="s">
        <v>18</v>
      </c>
      <c r="H5" s="42" t="s">
        <v>30</v>
      </c>
      <c r="I5" s="42" t="s">
        <v>28</v>
      </c>
      <c r="J5" s="42" t="s">
        <v>21</v>
      </c>
      <c r="K5" s="42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24.'!F6</f>
        <v>5251</v>
      </c>
      <c r="E6" s="2">
        <v>8</v>
      </c>
      <c r="F6" s="2">
        <f>D6-E6</f>
        <v>5243</v>
      </c>
      <c r="G6" s="4">
        <v>0.22</v>
      </c>
      <c r="H6" s="4">
        <v>6.2</v>
      </c>
      <c r="I6" s="2">
        <f>D6*G6</f>
        <v>1155.22</v>
      </c>
      <c r="J6" s="2">
        <v>1</v>
      </c>
      <c r="K6" s="2">
        <v>310</v>
      </c>
      <c r="L6" s="4">
        <v>26.8</v>
      </c>
      <c r="M6" s="4">
        <v>8.52</v>
      </c>
      <c r="N6" s="4">
        <v>7.58</v>
      </c>
      <c r="O6" s="16">
        <v>0.45500000000000002</v>
      </c>
      <c r="P6" s="16">
        <v>0</v>
      </c>
      <c r="Q6" s="16">
        <v>3.4</v>
      </c>
      <c r="R6" s="10" t="s">
        <v>78</v>
      </c>
    </row>
    <row r="7" spans="2:20" x14ac:dyDescent="0.3">
      <c r="B7" s="1" t="s">
        <v>3</v>
      </c>
      <c r="C7" s="2" t="s">
        <v>16</v>
      </c>
      <c r="D7" s="2">
        <f>'5. 24.'!F7</f>
        <v>5238</v>
      </c>
      <c r="E7" s="2">
        <v>0</v>
      </c>
      <c r="F7" s="2">
        <f>D7-E7</f>
        <v>5238</v>
      </c>
      <c r="G7" s="4">
        <v>0.22</v>
      </c>
      <c r="H7" s="4">
        <v>6.2</v>
      </c>
      <c r="I7" s="2">
        <f>D7*G7</f>
        <v>1152.3599999999999</v>
      </c>
      <c r="J7" s="2">
        <v>2</v>
      </c>
      <c r="K7" s="2">
        <f>390+430</f>
        <v>820</v>
      </c>
      <c r="L7" s="4">
        <v>27.3</v>
      </c>
      <c r="M7" s="4">
        <v>8.5299999999999994</v>
      </c>
      <c r="N7" s="4">
        <v>7.59</v>
      </c>
      <c r="O7" s="16">
        <v>1.9379999999999999</v>
      </c>
      <c r="P7" s="16">
        <v>0</v>
      </c>
      <c r="Q7" s="16">
        <v>3.8809999999999998</v>
      </c>
      <c r="R7" s="10"/>
    </row>
    <row r="8" spans="2:20" x14ac:dyDescent="0.3">
      <c r="B8" s="1" t="s">
        <v>35</v>
      </c>
      <c r="C8" s="2"/>
      <c r="D8" s="2">
        <f>SUM(D6:D7)</f>
        <v>10489</v>
      </c>
      <c r="E8" s="2">
        <f t="shared" ref="E8:F8" si="0">SUM(E6:E7)</f>
        <v>8</v>
      </c>
      <c r="F8" s="2">
        <f t="shared" si="0"/>
        <v>10481</v>
      </c>
      <c r="G8" s="4">
        <f>AVERAGE(G6:G7)</f>
        <v>0.22</v>
      </c>
      <c r="H8" s="4">
        <f>AVERAGE(H6:H7)</f>
        <v>6.2</v>
      </c>
      <c r="I8" s="2">
        <f>SUM(I6:I7)</f>
        <v>2307.58</v>
      </c>
      <c r="J8" s="2">
        <f>AVERAGE(J6:J7)</f>
        <v>1.5</v>
      </c>
      <c r="K8" s="2">
        <f>SUM(K6:K7)</f>
        <v>1130</v>
      </c>
      <c r="L8" s="4">
        <f>AVERAGE(L6:L7)</f>
        <v>27.05</v>
      </c>
      <c r="M8" s="4">
        <f t="shared" ref="M8:Q8" si="1">AVERAGE(M6:M7)</f>
        <v>8.5249999999999986</v>
      </c>
      <c r="N8" s="4">
        <f t="shared" si="1"/>
        <v>7.585</v>
      </c>
      <c r="O8" s="4">
        <f t="shared" si="1"/>
        <v>1.1964999999999999</v>
      </c>
      <c r="P8" s="4">
        <f t="shared" si="1"/>
        <v>0</v>
      </c>
      <c r="Q8" s="4">
        <f t="shared" si="1"/>
        <v>3.6404999999999998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79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1.1299999999999999</v>
      </c>
      <c r="F17" s="27">
        <f>'5. 24.'!F17-'5. 25.'!E17</f>
        <v>46.32</v>
      </c>
      <c r="G17" s="27">
        <f>E17+'5. 24.'!G17</f>
        <v>11.68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1.1299999999999999</v>
      </c>
      <c r="F19" s="28">
        <f>SUM(F17:F18)</f>
        <v>86.32</v>
      </c>
      <c r="G19" s="28">
        <f>SUM(G17:G18)</f>
        <v>11.68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0761-93BD-44FC-B44A-4A507D5FDAF3}">
  <sheetPr codeName="Sheet19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45072</v>
      </c>
      <c r="D3" s="91"/>
      <c r="E3" s="45" t="s">
        <v>25</v>
      </c>
      <c r="F3" s="2" t="s">
        <v>26</v>
      </c>
      <c r="G3" s="92" t="s">
        <v>34</v>
      </c>
      <c r="H3" s="93"/>
      <c r="I3" s="13">
        <v>19</v>
      </c>
      <c r="J3" s="94" t="s">
        <v>27</v>
      </c>
      <c r="K3" s="94"/>
      <c r="L3" s="14">
        <v>13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25.'!F6</f>
        <v>5243</v>
      </c>
      <c r="E6" s="2">
        <v>1</v>
      </c>
      <c r="F6" s="2">
        <f>D6-E6</f>
        <v>5242</v>
      </c>
      <c r="G6" s="4">
        <v>0.22</v>
      </c>
      <c r="H6" s="4">
        <v>6.2</v>
      </c>
      <c r="I6" s="2">
        <f>D6*G6</f>
        <v>1153.46</v>
      </c>
      <c r="J6" s="2">
        <v>2</v>
      </c>
      <c r="K6" s="2">
        <f>350+350</f>
        <v>700</v>
      </c>
      <c r="L6" s="4">
        <v>26.7</v>
      </c>
      <c r="M6" s="4">
        <v>8.4499999999999993</v>
      </c>
      <c r="N6" s="4">
        <v>7.65</v>
      </c>
      <c r="O6" s="16">
        <v>0.22600000000000001</v>
      </c>
      <c r="P6" s="16">
        <v>0</v>
      </c>
      <c r="Q6" s="16">
        <v>0.97599999999999998</v>
      </c>
      <c r="R6" s="10" t="s">
        <v>60</v>
      </c>
    </row>
    <row r="7" spans="2:20" ht="49.5" x14ac:dyDescent="0.3">
      <c r="B7" s="1" t="s">
        <v>3</v>
      </c>
      <c r="C7" s="2" t="s">
        <v>16</v>
      </c>
      <c r="D7" s="2">
        <f>'5. 25.'!F7</f>
        <v>5238</v>
      </c>
      <c r="E7" s="2">
        <v>2</v>
      </c>
      <c r="F7" s="2">
        <f>D7-E7</f>
        <v>5236</v>
      </c>
      <c r="G7" s="4">
        <v>0.22</v>
      </c>
      <c r="H7" s="4">
        <v>6.2</v>
      </c>
      <c r="I7" s="2">
        <f>D7*G7</f>
        <v>1152.3599999999999</v>
      </c>
      <c r="J7" s="2">
        <v>1</v>
      </c>
      <c r="K7" s="2">
        <f>390</f>
        <v>390</v>
      </c>
      <c r="L7" s="4">
        <v>27.3</v>
      </c>
      <c r="M7" s="4">
        <v>8.4</v>
      </c>
      <c r="N7" s="4">
        <v>7.3</v>
      </c>
      <c r="O7" s="16">
        <v>0.876</v>
      </c>
      <c r="P7" s="16">
        <v>0</v>
      </c>
      <c r="Q7" s="16">
        <v>7.1470000000000002</v>
      </c>
      <c r="R7" s="10" t="s">
        <v>81</v>
      </c>
    </row>
    <row r="8" spans="2:20" x14ac:dyDescent="0.3">
      <c r="B8" s="1" t="s">
        <v>35</v>
      </c>
      <c r="C8" s="2"/>
      <c r="D8" s="2">
        <f>SUM(D6:D7)</f>
        <v>10481</v>
      </c>
      <c r="E8" s="2">
        <f t="shared" ref="E8:F8" si="0">SUM(E6:E7)</f>
        <v>3</v>
      </c>
      <c r="F8" s="2">
        <f t="shared" si="0"/>
        <v>10478</v>
      </c>
      <c r="G8" s="4">
        <f>AVERAGE(G6:G7)</f>
        <v>0.22</v>
      </c>
      <c r="H8" s="4">
        <f>AVERAGE(H6:H7)</f>
        <v>6.2</v>
      </c>
      <c r="I8" s="2">
        <f>SUM(I6:I7)</f>
        <v>2305.8199999999997</v>
      </c>
      <c r="J8" s="2">
        <f>AVERAGE(J6:J7)</f>
        <v>1.5</v>
      </c>
      <c r="K8" s="2">
        <f>SUM(K6:K7)</f>
        <v>1090</v>
      </c>
      <c r="L8" s="4">
        <f>AVERAGE(L6:L7)</f>
        <v>27</v>
      </c>
      <c r="M8" s="4">
        <f t="shared" ref="M8:Q8" si="1">AVERAGE(M6:M7)</f>
        <v>8.4250000000000007</v>
      </c>
      <c r="N8" s="4">
        <f t="shared" si="1"/>
        <v>7.4749999999999996</v>
      </c>
      <c r="O8" s="4">
        <f t="shared" si="1"/>
        <v>0.55100000000000005</v>
      </c>
      <c r="P8" s="4">
        <f t="shared" si="1"/>
        <v>0</v>
      </c>
      <c r="Q8" s="4">
        <f t="shared" si="1"/>
        <v>4.0615000000000006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82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1.0900000000000001</v>
      </c>
      <c r="F17" s="27">
        <f>'5. 25.'!F17-'5. 26.'!E17</f>
        <v>45.23</v>
      </c>
      <c r="G17" s="27">
        <f>E17+'5. 25.'!G17</f>
        <v>12.77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1.0900000000000001</v>
      </c>
      <c r="F19" s="28">
        <f>SUM(F17:F18)</f>
        <v>85.22999999999999</v>
      </c>
      <c r="G19" s="28">
        <f>SUM(G17:G18)</f>
        <v>12.77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3EED-C267-46BA-BCE2-6E84BE862EAA}">
  <sheetPr codeName="Sheet2">
    <pageSetUpPr fitToPage="1"/>
  </sheetPr>
  <dimension ref="B1:R19"/>
  <sheetViews>
    <sheetView tabSelected="1" workbookViewId="0">
      <selection activeCell="T9" sqref="T9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5" t="s">
        <v>1</v>
      </c>
      <c r="C3" s="91">
        <v>45055</v>
      </c>
      <c r="D3" s="91"/>
      <c r="E3" s="6" t="s">
        <v>25</v>
      </c>
      <c r="F3" s="2" t="s">
        <v>26</v>
      </c>
      <c r="G3" s="92" t="s">
        <v>34</v>
      </c>
      <c r="H3" s="93"/>
      <c r="I3" s="13">
        <v>2</v>
      </c>
      <c r="J3" s="94" t="s">
        <v>27</v>
      </c>
      <c r="K3" s="94"/>
      <c r="L3" s="14">
        <v>0</v>
      </c>
      <c r="M3" s="11"/>
      <c r="N3" s="2"/>
      <c r="O3" s="15"/>
      <c r="P3" s="15"/>
      <c r="Q3" s="15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5" t="s">
        <v>1</v>
      </c>
      <c r="C5" s="6" t="s">
        <v>15</v>
      </c>
      <c r="D5" s="6" t="s">
        <v>36</v>
      </c>
      <c r="E5" s="6" t="s">
        <v>19</v>
      </c>
      <c r="F5" s="6" t="s">
        <v>37</v>
      </c>
      <c r="G5" s="6" t="s">
        <v>18</v>
      </c>
      <c r="H5" s="6" t="s">
        <v>30</v>
      </c>
      <c r="I5" s="6" t="s">
        <v>28</v>
      </c>
      <c r="J5" s="6" t="s">
        <v>21</v>
      </c>
      <c r="K5" s="6" t="s">
        <v>22</v>
      </c>
      <c r="L5" s="86"/>
      <c r="M5" s="86"/>
      <c r="N5" s="86"/>
      <c r="O5" s="86"/>
      <c r="P5" s="86"/>
      <c r="Q5" s="86"/>
      <c r="R5" s="97"/>
    </row>
    <row r="6" spans="2:18" ht="33" x14ac:dyDescent="0.3">
      <c r="B6" s="1" t="s">
        <v>2</v>
      </c>
      <c r="C6" s="2" t="s">
        <v>16</v>
      </c>
      <c r="D6" s="2">
        <f>'5. 8.'!F6</f>
        <v>5396</v>
      </c>
      <c r="E6" s="2">
        <v>4</v>
      </c>
      <c r="F6" s="2">
        <f>D6-E6</f>
        <v>5392</v>
      </c>
      <c r="G6" s="4">
        <v>0.1</v>
      </c>
      <c r="H6" s="4">
        <v>5.25</v>
      </c>
      <c r="I6" s="2">
        <f>D6*G6</f>
        <v>539.6</v>
      </c>
      <c r="J6" s="2">
        <v>0</v>
      </c>
      <c r="K6" s="2">
        <v>0</v>
      </c>
      <c r="L6" s="4">
        <v>15.3</v>
      </c>
      <c r="M6" s="4">
        <v>8.33</v>
      </c>
      <c r="N6" s="4">
        <v>8.9700000000000006</v>
      </c>
      <c r="O6" s="16">
        <v>1.1499999999999999</v>
      </c>
      <c r="P6" s="16">
        <v>0</v>
      </c>
      <c r="Q6" s="16">
        <v>6.5910000000000002</v>
      </c>
      <c r="R6" s="10" t="s">
        <v>43</v>
      </c>
    </row>
    <row r="7" spans="2:18" ht="33" x14ac:dyDescent="0.3">
      <c r="B7" s="1" t="s">
        <v>3</v>
      </c>
      <c r="C7" s="2" t="s">
        <v>16</v>
      </c>
      <c r="D7" s="2">
        <f>'5. 8.'!F7</f>
        <v>5400</v>
      </c>
      <c r="E7" s="2">
        <v>1</v>
      </c>
      <c r="F7" s="2">
        <f>D7-E7</f>
        <v>5399</v>
      </c>
      <c r="G7" s="4">
        <v>0.1</v>
      </c>
      <c r="H7" s="4">
        <v>5.25</v>
      </c>
      <c r="I7" s="2">
        <f>D7*G7</f>
        <v>540</v>
      </c>
      <c r="J7" s="2">
        <v>0</v>
      </c>
      <c r="K7" s="2">
        <v>0</v>
      </c>
      <c r="L7" s="4">
        <v>15.7</v>
      </c>
      <c r="M7" s="4">
        <v>8.39</v>
      </c>
      <c r="N7" s="4">
        <v>8.93</v>
      </c>
      <c r="O7" s="16">
        <v>2.5230000000000001</v>
      </c>
      <c r="P7" s="16">
        <v>0</v>
      </c>
      <c r="Q7" s="16">
        <v>18.004999999999999</v>
      </c>
      <c r="R7" s="10" t="s">
        <v>44</v>
      </c>
    </row>
    <row r="8" spans="2:18" ht="20.100000000000001" customHeight="1" x14ac:dyDescent="0.3">
      <c r="B8" s="1" t="s">
        <v>35</v>
      </c>
      <c r="C8" s="2"/>
      <c r="D8" s="2">
        <f>SUM(D6:D7)</f>
        <v>10796</v>
      </c>
      <c r="E8" s="2">
        <f t="shared" ref="E8:F8" si="0">SUM(E6:E7)</f>
        <v>5</v>
      </c>
      <c r="F8" s="2">
        <f t="shared" si="0"/>
        <v>10791</v>
      </c>
      <c r="G8" s="4">
        <f>AVERAGE(G6:G7)</f>
        <v>0.1</v>
      </c>
      <c r="H8" s="4">
        <f>AVERAGE(H6:H7)</f>
        <v>5.25</v>
      </c>
      <c r="I8" s="2">
        <f t="shared" ref="I8" si="1">SUM(I6:I7)</f>
        <v>1079.5999999999999</v>
      </c>
      <c r="J8" s="2">
        <v>0</v>
      </c>
      <c r="K8" s="2">
        <v>0</v>
      </c>
      <c r="L8" s="4">
        <f>AVERAGE(L6:L7)</f>
        <v>15.5</v>
      </c>
      <c r="M8" s="4">
        <f t="shared" ref="M8:Q8" si="2">AVERAGE(M6:M7)</f>
        <v>8.36</v>
      </c>
      <c r="N8" s="4">
        <f t="shared" si="2"/>
        <v>8.9499999999999993</v>
      </c>
      <c r="O8" s="4">
        <f t="shared" si="2"/>
        <v>1.8365</v>
      </c>
      <c r="P8" s="4">
        <f t="shared" si="2"/>
        <v>0</v>
      </c>
      <c r="Q8" s="4">
        <f t="shared" si="2"/>
        <v>12.298</v>
      </c>
      <c r="R8" s="3"/>
    </row>
    <row r="9" spans="2:18" ht="20.100000000000001" customHeight="1" x14ac:dyDescent="0.3">
      <c r="B9" s="70" t="s">
        <v>5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42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:G19" si="3">SUM(E17:E18)</f>
        <v>0</v>
      </c>
      <c r="F19" s="12">
        <f t="shared" si="3"/>
        <v>98</v>
      </c>
      <c r="G19" s="12">
        <f t="shared" si="3"/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9ED8-3668-4FCB-819A-E9517F02C109}">
  <sheetPr codeName="Sheet20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45073</v>
      </c>
      <c r="D3" s="91"/>
      <c r="E3" s="45" t="s">
        <v>25</v>
      </c>
      <c r="F3" s="2" t="s">
        <v>77</v>
      </c>
      <c r="G3" s="92" t="s">
        <v>34</v>
      </c>
      <c r="H3" s="93"/>
      <c r="I3" s="13">
        <v>20</v>
      </c>
      <c r="J3" s="94" t="s">
        <v>27</v>
      </c>
      <c r="K3" s="94"/>
      <c r="L3" s="14">
        <v>14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26.'!F6</f>
        <v>5242</v>
      </c>
      <c r="E6" s="2">
        <v>1</v>
      </c>
      <c r="F6" s="2">
        <f>D6-E6</f>
        <v>5241</v>
      </c>
      <c r="G6" s="4">
        <v>0.22</v>
      </c>
      <c r="H6" s="4">
        <v>6.2</v>
      </c>
      <c r="I6" s="2">
        <f>D6*G6</f>
        <v>1153.24</v>
      </c>
      <c r="J6" s="2">
        <v>2</v>
      </c>
      <c r="K6" s="2">
        <f>270+300</f>
        <v>570</v>
      </c>
      <c r="L6" s="4">
        <v>26.7</v>
      </c>
      <c r="M6" s="4">
        <v>8.48</v>
      </c>
      <c r="N6" s="4">
        <v>7.39</v>
      </c>
      <c r="O6" s="16">
        <v>0.57799999999999996</v>
      </c>
      <c r="P6" s="16">
        <v>0</v>
      </c>
      <c r="Q6" s="16">
        <v>2.6850000000000001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26.'!F7</f>
        <v>5236</v>
      </c>
      <c r="E7" s="2">
        <v>2</v>
      </c>
      <c r="F7" s="2">
        <f>D7-E7</f>
        <v>5234</v>
      </c>
      <c r="G7" s="4">
        <v>0.22</v>
      </c>
      <c r="H7" s="4">
        <v>6.2</v>
      </c>
      <c r="I7" s="2">
        <f>D7*G7</f>
        <v>1151.92</v>
      </c>
      <c r="J7" s="2">
        <v>2</v>
      </c>
      <c r="K7" s="2">
        <f>390+400</f>
        <v>790</v>
      </c>
      <c r="L7" s="4">
        <v>27</v>
      </c>
      <c r="M7" s="4">
        <v>8.51</v>
      </c>
      <c r="N7" s="4">
        <v>7.28</v>
      </c>
      <c r="O7" s="16">
        <v>0.74099999999999999</v>
      </c>
      <c r="P7" s="16">
        <v>0</v>
      </c>
      <c r="Q7" s="16">
        <v>2.6150000000000002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10478</v>
      </c>
      <c r="E8" s="2">
        <f t="shared" ref="E8:F8" si="0">SUM(E6:E7)</f>
        <v>3</v>
      </c>
      <c r="F8" s="2">
        <f t="shared" si="0"/>
        <v>10475</v>
      </c>
      <c r="G8" s="4">
        <f>AVERAGE(G6:G7)</f>
        <v>0.22</v>
      </c>
      <c r="H8" s="4">
        <f>AVERAGE(H6:H7)</f>
        <v>6.2</v>
      </c>
      <c r="I8" s="2">
        <f>SUM(I6:I7)</f>
        <v>2305.16</v>
      </c>
      <c r="J8" s="2">
        <f>AVERAGE(J6:J7)</f>
        <v>2</v>
      </c>
      <c r="K8" s="2">
        <f>SUM(K6:K7)</f>
        <v>1360</v>
      </c>
      <c r="L8" s="4">
        <f>AVERAGE(L6:L7)</f>
        <v>26.85</v>
      </c>
      <c r="M8" s="4">
        <f t="shared" ref="M8:Q8" si="1">AVERAGE(M6:M7)</f>
        <v>8.495000000000001</v>
      </c>
      <c r="N8" s="4">
        <f t="shared" si="1"/>
        <v>7.335</v>
      </c>
      <c r="O8" s="4">
        <f t="shared" si="1"/>
        <v>0.65949999999999998</v>
      </c>
      <c r="P8" s="4">
        <f t="shared" si="1"/>
        <v>0</v>
      </c>
      <c r="Q8" s="4">
        <f t="shared" si="1"/>
        <v>2.6500000000000004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1.36</v>
      </c>
      <c r="F17" s="27">
        <f>'5. 26.'!F17-'5. 27.'!E17</f>
        <v>43.87</v>
      </c>
      <c r="G17" s="27">
        <f>E17+'5. 26.'!G17</f>
        <v>14.129999999999999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1.36</v>
      </c>
      <c r="F19" s="28">
        <f>SUM(F17:F18)</f>
        <v>83.87</v>
      </c>
      <c r="G19" s="28">
        <f>SUM(G17:G18)</f>
        <v>14.129999999999999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D020-9731-42CD-8DC2-FF6C37CAECB7}">
  <sheetPr codeName="Sheet21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45074</v>
      </c>
      <c r="D3" s="91"/>
      <c r="E3" s="45" t="s">
        <v>25</v>
      </c>
      <c r="F3" s="2" t="s">
        <v>77</v>
      </c>
      <c r="G3" s="92" t="s">
        <v>34</v>
      </c>
      <c r="H3" s="93"/>
      <c r="I3" s="13">
        <v>21</v>
      </c>
      <c r="J3" s="94" t="s">
        <v>27</v>
      </c>
      <c r="K3" s="94"/>
      <c r="L3" s="14">
        <v>15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27.'!F6</f>
        <v>5241</v>
      </c>
      <c r="E6" s="2">
        <v>6</v>
      </c>
      <c r="F6" s="2">
        <f>D6-E6</f>
        <v>5235</v>
      </c>
      <c r="G6" s="4">
        <v>0.22</v>
      </c>
      <c r="H6" s="4">
        <v>6.2</v>
      </c>
      <c r="I6" s="2">
        <f>D6*G6</f>
        <v>1153.02</v>
      </c>
      <c r="J6" s="2">
        <v>2</v>
      </c>
      <c r="K6" s="2">
        <f>280+300</f>
        <v>580</v>
      </c>
      <c r="L6" s="4">
        <v>27.1</v>
      </c>
      <c r="M6" s="4">
        <v>8.4499999999999993</v>
      </c>
      <c r="N6" s="4">
        <v>7.28</v>
      </c>
      <c r="O6" s="16">
        <v>0.436</v>
      </c>
      <c r="P6" s="16">
        <v>0</v>
      </c>
      <c r="Q6" s="16">
        <v>3.78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27.'!F7</f>
        <v>5234</v>
      </c>
      <c r="E7" s="2">
        <v>2</v>
      </c>
      <c r="F7" s="2">
        <f>D7-E7</f>
        <v>5232</v>
      </c>
      <c r="G7" s="4">
        <v>0.22</v>
      </c>
      <c r="H7" s="4">
        <v>6.2</v>
      </c>
      <c r="I7" s="2">
        <f>D7*G7</f>
        <v>1151.48</v>
      </c>
      <c r="J7" s="2">
        <v>2</v>
      </c>
      <c r="K7" s="2">
        <f>410+440</f>
        <v>850</v>
      </c>
      <c r="L7" s="4">
        <v>27.2</v>
      </c>
      <c r="M7" s="4">
        <v>8.49</v>
      </c>
      <c r="N7" s="4">
        <v>7.27</v>
      </c>
      <c r="O7" s="16">
        <v>0.67300000000000004</v>
      </c>
      <c r="P7" s="16">
        <v>0</v>
      </c>
      <c r="Q7" s="16">
        <v>3.0209999999999999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10475</v>
      </c>
      <c r="E8" s="2">
        <f t="shared" ref="E8:F8" si="0">SUM(E6:E7)</f>
        <v>8</v>
      </c>
      <c r="F8" s="2">
        <f t="shared" si="0"/>
        <v>10467</v>
      </c>
      <c r="G8" s="4">
        <f>AVERAGE(G6:G7)</f>
        <v>0.22</v>
      </c>
      <c r="H8" s="4">
        <f>AVERAGE(H6:H7)</f>
        <v>6.2</v>
      </c>
      <c r="I8" s="2">
        <f>SUM(I6:I7)</f>
        <v>2304.5</v>
      </c>
      <c r="J8" s="2">
        <f>AVERAGE(J6:J7)</f>
        <v>2</v>
      </c>
      <c r="K8" s="2">
        <f>SUM(K6:K7)</f>
        <v>1430</v>
      </c>
      <c r="L8" s="4">
        <f>AVERAGE(L6:L7)</f>
        <v>27.15</v>
      </c>
      <c r="M8" s="4">
        <f t="shared" ref="M8:Q8" si="1">AVERAGE(M6:M7)</f>
        <v>8.4699999999999989</v>
      </c>
      <c r="N8" s="4">
        <f t="shared" si="1"/>
        <v>7.2750000000000004</v>
      </c>
      <c r="O8" s="4">
        <f t="shared" si="1"/>
        <v>0.55449999999999999</v>
      </c>
      <c r="P8" s="4">
        <f t="shared" si="1"/>
        <v>0</v>
      </c>
      <c r="Q8" s="4">
        <f t="shared" si="1"/>
        <v>3.4005000000000001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1.36</v>
      </c>
      <c r="F17" s="27">
        <f>'5. 27.'!F17-'5. 28.'!E17</f>
        <v>42.51</v>
      </c>
      <c r="G17" s="27">
        <f>E17+'5. 27.'!G17</f>
        <v>15.489999999999998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1.36</v>
      </c>
      <c r="F19" s="28">
        <f>SUM(F17:F18)</f>
        <v>82.509999999999991</v>
      </c>
      <c r="G19" s="28">
        <f>SUM(G17:G18)</f>
        <v>15.489999999999998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1128-0728-4AA9-BD0D-5437123F8F88}">
  <sheetPr codeName="Sheet22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45075</v>
      </c>
      <c r="D3" s="91"/>
      <c r="E3" s="45" t="s">
        <v>25</v>
      </c>
      <c r="F3" s="2" t="s">
        <v>77</v>
      </c>
      <c r="G3" s="92" t="s">
        <v>34</v>
      </c>
      <c r="H3" s="93"/>
      <c r="I3" s="13">
        <v>22</v>
      </c>
      <c r="J3" s="94" t="s">
        <v>27</v>
      </c>
      <c r="K3" s="94"/>
      <c r="L3" s="14">
        <v>16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28.'!F6</f>
        <v>5235</v>
      </c>
      <c r="E6" s="2">
        <v>10</v>
      </c>
      <c r="F6" s="2">
        <f>D6-E6</f>
        <v>5225</v>
      </c>
      <c r="G6" s="4">
        <v>0.22</v>
      </c>
      <c r="H6" s="4">
        <v>6.2</v>
      </c>
      <c r="I6" s="2">
        <f>D6*G6</f>
        <v>1151.7</v>
      </c>
      <c r="J6" s="2">
        <v>1</v>
      </c>
      <c r="K6" s="2">
        <v>310</v>
      </c>
      <c r="L6" s="4">
        <v>27.2</v>
      </c>
      <c r="M6" s="4">
        <v>8.4700000000000006</v>
      </c>
      <c r="N6" s="4">
        <v>7.64</v>
      </c>
      <c r="O6" s="16">
        <v>0.504</v>
      </c>
      <c r="P6" s="16">
        <v>0</v>
      </c>
      <c r="Q6" s="16">
        <v>3.157</v>
      </c>
      <c r="R6" s="10" t="s">
        <v>78</v>
      </c>
    </row>
    <row r="7" spans="2:20" ht="33" x14ac:dyDescent="0.3">
      <c r="B7" s="1" t="s">
        <v>3</v>
      </c>
      <c r="C7" s="2" t="s">
        <v>16</v>
      </c>
      <c r="D7" s="2">
        <f>'5. 28.'!F7</f>
        <v>5232</v>
      </c>
      <c r="E7" s="2">
        <v>1</v>
      </c>
      <c r="F7" s="2">
        <f>D7-E7</f>
        <v>5231</v>
      </c>
      <c r="G7" s="4">
        <v>0.22</v>
      </c>
      <c r="H7" s="4">
        <v>6.2</v>
      </c>
      <c r="I7" s="2">
        <f>D7*G7</f>
        <v>1151.04</v>
      </c>
      <c r="J7" s="2">
        <v>1</v>
      </c>
      <c r="K7" s="2">
        <v>450</v>
      </c>
      <c r="L7" s="4">
        <v>26.8</v>
      </c>
      <c r="M7" s="4">
        <v>8.5</v>
      </c>
      <c r="N7" s="4">
        <v>7.3</v>
      </c>
      <c r="O7" s="16">
        <v>0.71699999999999997</v>
      </c>
      <c r="P7" s="16">
        <v>0</v>
      </c>
      <c r="Q7" s="16">
        <v>2.9670000000000001</v>
      </c>
      <c r="R7" s="10" t="s">
        <v>78</v>
      </c>
    </row>
    <row r="8" spans="2:20" x14ac:dyDescent="0.3">
      <c r="B8" s="1" t="s">
        <v>35</v>
      </c>
      <c r="C8" s="2"/>
      <c r="D8" s="2">
        <f>SUM(D6:D7)</f>
        <v>10467</v>
      </c>
      <c r="E8" s="2">
        <f t="shared" ref="E8:F8" si="0">SUM(E6:E7)</f>
        <v>11</v>
      </c>
      <c r="F8" s="2">
        <f t="shared" si="0"/>
        <v>10456</v>
      </c>
      <c r="G8" s="4">
        <f>AVERAGE(G6:G7)</f>
        <v>0.22</v>
      </c>
      <c r="H8" s="4">
        <f>AVERAGE(H6:H7)</f>
        <v>6.2</v>
      </c>
      <c r="I8" s="2">
        <f>SUM(I6:I7)</f>
        <v>2302.7399999999998</v>
      </c>
      <c r="J8" s="2">
        <f>AVERAGE(J6:J7)</f>
        <v>1</v>
      </c>
      <c r="K8" s="2">
        <f>SUM(K6:K7)</f>
        <v>760</v>
      </c>
      <c r="L8" s="4">
        <f>AVERAGE(L6:L7)</f>
        <v>27</v>
      </c>
      <c r="M8" s="4">
        <f t="shared" ref="M8:Q8" si="1">AVERAGE(M6:M7)</f>
        <v>8.4849999999999994</v>
      </c>
      <c r="N8" s="4">
        <f t="shared" si="1"/>
        <v>7.47</v>
      </c>
      <c r="O8" s="4">
        <f t="shared" si="1"/>
        <v>0.61050000000000004</v>
      </c>
      <c r="P8" s="4">
        <f t="shared" si="1"/>
        <v>0</v>
      </c>
      <c r="Q8" s="4">
        <f t="shared" si="1"/>
        <v>3.0620000000000003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83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76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0.76</v>
      </c>
      <c r="F17" s="27">
        <f>'5. 28.'!F17-'5. 29.'!E17</f>
        <v>41.75</v>
      </c>
      <c r="G17" s="27">
        <f>E17+'5. 28.'!G17</f>
        <v>16.25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0.76</v>
      </c>
      <c r="F19" s="28">
        <f>SUM(F17:F18)</f>
        <v>81.75</v>
      </c>
      <c r="G19" s="28">
        <f>SUM(G17:G18)</f>
        <v>16.25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7A3A-7D87-469C-B303-26374CAAE109}">
  <sheetPr codeName="Sheet23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45076</v>
      </c>
      <c r="D3" s="91"/>
      <c r="E3" s="45" t="s">
        <v>25</v>
      </c>
      <c r="F3" s="2" t="s">
        <v>26</v>
      </c>
      <c r="G3" s="92" t="s">
        <v>34</v>
      </c>
      <c r="H3" s="93"/>
      <c r="I3" s="13">
        <v>23</v>
      </c>
      <c r="J3" s="94" t="s">
        <v>27</v>
      </c>
      <c r="K3" s="94"/>
      <c r="L3" s="14">
        <v>17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29.'!F6</f>
        <v>5225</v>
      </c>
      <c r="E6" s="2">
        <v>2</v>
      </c>
      <c r="F6" s="2">
        <f>D6-E6</f>
        <v>5223</v>
      </c>
      <c r="G6" s="4">
        <v>0.22</v>
      </c>
      <c r="H6" s="4">
        <v>6.2</v>
      </c>
      <c r="I6" s="2">
        <f>D6*G6</f>
        <v>1149.5</v>
      </c>
      <c r="J6" s="2">
        <v>2</v>
      </c>
      <c r="K6" s="2">
        <f>460+470</f>
        <v>930</v>
      </c>
      <c r="L6" s="4">
        <v>27.3</v>
      </c>
      <c r="M6" s="4">
        <v>8.48</v>
      </c>
      <c r="N6" s="4">
        <v>7.67</v>
      </c>
      <c r="O6" s="16">
        <v>0.24099999999999999</v>
      </c>
      <c r="P6" s="16">
        <v>0</v>
      </c>
      <c r="Q6" s="16">
        <v>3.1669999999999998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29.'!F7</f>
        <v>5231</v>
      </c>
      <c r="E7" s="2">
        <v>0</v>
      </c>
      <c r="F7" s="2">
        <f>D7-E7</f>
        <v>5231</v>
      </c>
      <c r="G7" s="4">
        <v>0.22</v>
      </c>
      <c r="H7" s="4">
        <v>6.2</v>
      </c>
      <c r="I7" s="2">
        <f>D7*G7</f>
        <v>1150.82</v>
      </c>
      <c r="J7" s="2">
        <v>2</v>
      </c>
      <c r="K7" s="2">
        <f>K6</f>
        <v>930</v>
      </c>
      <c r="L7" s="4">
        <v>27.7</v>
      </c>
      <c r="M7" s="4">
        <v>8.5</v>
      </c>
      <c r="N7" s="4">
        <v>7.41</v>
      </c>
      <c r="O7" s="16">
        <v>0.22900000000000001</v>
      </c>
      <c r="P7" s="16">
        <v>0</v>
      </c>
      <c r="Q7" s="16">
        <v>2.927</v>
      </c>
      <c r="R7" s="10"/>
    </row>
    <row r="8" spans="2:20" x14ac:dyDescent="0.3">
      <c r="B8" s="1" t="s">
        <v>35</v>
      </c>
      <c r="C8" s="2"/>
      <c r="D8" s="2">
        <f>SUM(D6:D7)</f>
        <v>10456</v>
      </c>
      <c r="E8" s="2">
        <f t="shared" ref="E8:F8" si="0">SUM(E6:E7)</f>
        <v>2</v>
      </c>
      <c r="F8" s="2">
        <f t="shared" si="0"/>
        <v>10454</v>
      </c>
      <c r="G8" s="4">
        <f>AVERAGE(G6:G7)</f>
        <v>0.22</v>
      </c>
      <c r="H8" s="4">
        <f>AVERAGE(H6:H7)</f>
        <v>6.2</v>
      </c>
      <c r="I8" s="2">
        <f>SUM(I6:I7)</f>
        <v>2300.3199999999997</v>
      </c>
      <c r="J8" s="2">
        <f>AVERAGE(J6:J7)</f>
        <v>2</v>
      </c>
      <c r="K8" s="2">
        <f>SUM(K6:K7)</f>
        <v>1860</v>
      </c>
      <c r="L8" s="4">
        <f>AVERAGE(L6:L7)</f>
        <v>27.5</v>
      </c>
      <c r="M8" s="4">
        <f t="shared" ref="M8:Q8" si="1">AVERAGE(M6:M7)</f>
        <v>8.49</v>
      </c>
      <c r="N8" s="4">
        <f t="shared" si="1"/>
        <v>7.54</v>
      </c>
      <c r="O8" s="4">
        <f t="shared" si="1"/>
        <v>0.23499999999999999</v>
      </c>
      <c r="P8" s="4">
        <f t="shared" si="1"/>
        <v>0</v>
      </c>
      <c r="Q8" s="4">
        <f t="shared" si="1"/>
        <v>3.0469999999999997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83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1.86</v>
      </c>
      <c r="F17" s="27">
        <f>'5. 29.'!F17-'5. 30.'!E17</f>
        <v>39.89</v>
      </c>
      <c r="G17" s="27">
        <f>E17+'5. 29.'!G17</f>
        <v>18.11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1.86</v>
      </c>
      <c r="F19" s="28">
        <f>SUM(F17:F18)</f>
        <v>79.89</v>
      </c>
      <c r="G19" s="28">
        <f>SUM(G17:G18)</f>
        <v>18.11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FFC3-528E-46A3-A1C5-7BB087A78F36}">
  <sheetPr codeName="Sheet24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45077</v>
      </c>
      <c r="D3" s="91"/>
      <c r="E3" s="45" t="s">
        <v>25</v>
      </c>
      <c r="F3" s="2" t="s">
        <v>26</v>
      </c>
      <c r="G3" s="92" t="s">
        <v>34</v>
      </c>
      <c r="H3" s="93"/>
      <c r="I3" s="13">
        <v>24</v>
      </c>
      <c r="J3" s="94" t="s">
        <v>27</v>
      </c>
      <c r="K3" s="94"/>
      <c r="L3" s="14">
        <v>18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30.'!F6</f>
        <v>5223</v>
      </c>
      <c r="E6" s="2">
        <v>1</v>
      </c>
      <c r="F6" s="2">
        <f>D6-E6</f>
        <v>5222</v>
      </c>
      <c r="G6" s="4">
        <v>0.22</v>
      </c>
      <c r="H6" s="4">
        <v>6.2</v>
      </c>
      <c r="I6" s="2">
        <f>D6*G6</f>
        <v>1149.06</v>
      </c>
      <c r="J6" s="2">
        <v>1</v>
      </c>
      <c r="K6" s="2">
        <v>480</v>
      </c>
      <c r="L6" s="4">
        <v>27.3</v>
      </c>
      <c r="M6" s="4">
        <v>8.3800000000000008</v>
      </c>
      <c r="N6" s="4">
        <v>7.7</v>
      </c>
      <c r="O6" s="16">
        <v>0.75900000000000001</v>
      </c>
      <c r="P6" s="16">
        <v>0</v>
      </c>
      <c r="Q6" s="16">
        <v>1.0349999999999999</v>
      </c>
      <c r="R6" s="10" t="s">
        <v>84</v>
      </c>
    </row>
    <row r="7" spans="2:20" x14ac:dyDescent="0.3">
      <c r="B7" s="1" t="s">
        <v>3</v>
      </c>
      <c r="C7" s="2" t="s">
        <v>16</v>
      </c>
      <c r="D7" s="2">
        <f>'5. 30.'!F7</f>
        <v>5231</v>
      </c>
      <c r="E7" s="2">
        <v>0</v>
      </c>
      <c r="F7" s="2">
        <f>D7-E7</f>
        <v>5231</v>
      </c>
      <c r="G7" s="4">
        <v>0.22</v>
      </c>
      <c r="H7" s="4">
        <v>6.2</v>
      </c>
      <c r="I7" s="2">
        <f>D7*G7</f>
        <v>1150.82</v>
      </c>
      <c r="J7" s="2">
        <v>1</v>
      </c>
      <c r="K7" s="2">
        <v>480</v>
      </c>
      <c r="L7" s="4">
        <v>27.1</v>
      </c>
      <c r="M7" s="4">
        <v>8.3800000000000008</v>
      </c>
      <c r="N7" s="4">
        <v>7.48</v>
      </c>
      <c r="O7" s="16">
        <v>1.141</v>
      </c>
      <c r="P7" s="16">
        <v>0</v>
      </c>
      <c r="Q7" s="16">
        <v>3.1749999999999998</v>
      </c>
      <c r="R7" s="10" t="s">
        <v>86</v>
      </c>
    </row>
    <row r="8" spans="2:20" x14ac:dyDescent="0.3">
      <c r="B8" s="1" t="s">
        <v>35</v>
      </c>
      <c r="C8" s="2"/>
      <c r="D8" s="2">
        <f>SUM(D6:D7)</f>
        <v>10454</v>
      </c>
      <c r="E8" s="2">
        <f t="shared" ref="E8:F8" si="0">SUM(E6:E7)</f>
        <v>1</v>
      </c>
      <c r="F8" s="2">
        <f t="shared" si="0"/>
        <v>10453</v>
      </c>
      <c r="G8" s="4">
        <f>AVERAGE(G6:G7)</f>
        <v>0.22</v>
      </c>
      <c r="H8" s="4">
        <f>AVERAGE(H6:H7)</f>
        <v>6.2</v>
      </c>
      <c r="I8" s="2">
        <f>SUM(I6:I7)</f>
        <v>2299.88</v>
      </c>
      <c r="J8" s="2">
        <f>AVERAGE(J6:J7)</f>
        <v>1</v>
      </c>
      <c r="K8" s="2">
        <f>SUM(K6:K7)</f>
        <v>960</v>
      </c>
      <c r="L8" s="4">
        <f>AVERAGE(L6:L7)</f>
        <v>27.200000000000003</v>
      </c>
      <c r="M8" s="4">
        <f t="shared" ref="M8:Q8" si="1">AVERAGE(M6:M7)</f>
        <v>8.3800000000000008</v>
      </c>
      <c r="N8" s="4">
        <f t="shared" si="1"/>
        <v>7.59</v>
      </c>
      <c r="O8" s="4">
        <f t="shared" si="1"/>
        <v>0.95</v>
      </c>
      <c r="P8" s="4">
        <f t="shared" si="1"/>
        <v>0</v>
      </c>
      <c r="Q8" s="4">
        <f t="shared" si="1"/>
        <v>2.105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85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88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0.96</v>
      </c>
      <c r="F17" s="27">
        <f>'5. 30.'!F17-'5. 31.'!E17</f>
        <v>38.93</v>
      </c>
      <c r="G17" s="27">
        <f>E17+'5. 30.'!G17</f>
        <v>19.07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0.96</v>
      </c>
      <c r="F19" s="28">
        <f>SUM(F17:F18)</f>
        <v>78.930000000000007</v>
      </c>
      <c r="G19" s="28">
        <f>SUM(G17:G18)</f>
        <v>19.07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FAFA-7D9C-4AF2-9225-0FBF3702093A}">
  <sheetPr codeName="Sheet25">
    <pageSetUpPr fitToPage="1"/>
  </sheetPr>
  <dimension ref="B1:T19"/>
  <sheetViews>
    <sheetView workbookViewId="0">
      <selection activeCell="T16" sqref="T16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6" t="s">
        <v>1</v>
      </c>
      <c r="C3" s="91">
        <v>45078</v>
      </c>
      <c r="D3" s="91"/>
      <c r="E3" s="45" t="s">
        <v>25</v>
      </c>
      <c r="F3" s="2" t="s">
        <v>26</v>
      </c>
      <c r="G3" s="92" t="s">
        <v>34</v>
      </c>
      <c r="H3" s="93"/>
      <c r="I3" s="13">
        <v>25</v>
      </c>
      <c r="J3" s="94" t="s">
        <v>27</v>
      </c>
      <c r="K3" s="94"/>
      <c r="L3" s="14">
        <v>19</v>
      </c>
      <c r="M3" s="11"/>
      <c r="N3" s="2"/>
      <c r="O3" s="44"/>
      <c r="P3" s="44"/>
      <c r="Q3" s="44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6" t="s">
        <v>1</v>
      </c>
      <c r="C5" s="45" t="s">
        <v>15</v>
      </c>
      <c r="D5" s="45" t="s">
        <v>64</v>
      </c>
      <c r="E5" s="45" t="s">
        <v>19</v>
      </c>
      <c r="F5" s="45" t="s">
        <v>37</v>
      </c>
      <c r="G5" s="45" t="s">
        <v>18</v>
      </c>
      <c r="H5" s="45" t="s">
        <v>30</v>
      </c>
      <c r="I5" s="45" t="s">
        <v>28</v>
      </c>
      <c r="J5" s="45" t="s">
        <v>21</v>
      </c>
      <c r="K5" s="45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'5. 31.'!F6</f>
        <v>5222</v>
      </c>
      <c r="E6" s="2">
        <v>5</v>
      </c>
      <c r="F6" s="2">
        <f>D6-E6</f>
        <v>5217</v>
      </c>
      <c r="G6" s="4">
        <v>0.22</v>
      </c>
      <c r="H6" s="4">
        <v>6.2</v>
      </c>
      <c r="I6" s="2">
        <f>D6*G6</f>
        <v>1148.8399999999999</v>
      </c>
      <c r="J6" s="2">
        <v>2</v>
      </c>
      <c r="K6" s="2">
        <f>480*2</f>
        <v>960</v>
      </c>
      <c r="L6" s="4">
        <v>27.2</v>
      </c>
      <c r="M6" s="4">
        <v>8.52</v>
      </c>
      <c r="N6" s="4">
        <v>7.58</v>
      </c>
      <c r="O6" s="16">
        <v>0.52100000000000002</v>
      </c>
      <c r="P6" s="16">
        <v>0</v>
      </c>
      <c r="Q6" s="16">
        <v>3.3170000000000002</v>
      </c>
      <c r="R6" s="10" t="s">
        <v>87</v>
      </c>
    </row>
    <row r="7" spans="2:20" x14ac:dyDescent="0.3">
      <c r="B7" s="1" t="s">
        <v>3</v>
      </c>
      <c r="C7" s="2" t="s">
        <v>16</v>
      </c>
      <c r="D7" s="2">
        <f>'5. 31.'!F7</f>
        <v>5231</v>
      </c>
      <c r="E7" s="2">
        <v>0</v>
      </c>
      <c r="F7" s="2">
        <f>D7-E7</f>
        <v>5231</v>
      </c>
      <c r="G7" s="4">
        <v>0.22</v>
      </c>
      <c r="H7" s="4">
        <v>6.2</v>
      </c>
      <c r="I7" s="2">
        <f>D7*G7</f>
        <v>1150.82</v>
      </c>
      <c r="J7" s="2">
        <v>2</v>
      </c>
      <c r="K7" s="2">
        <f>480*2</f>
        <v>960</v>
      </c>
      <c r="L7" s="4">
        <v>27.3</v>
      </c>
      <c r="M7" s="4">
        <v>8.5</v>
      </c>
      <c r="N7" s="4">
        <v>7.47</v>
      </c>
      <c r="O7" s="16">
        <v>0.72899999999999998</v>
      </c>
      <c r="P7" s="16">
        <v>0</v>
      </c>
      <c r="Q7" s="16">
        <v>3.0779999999999998</v>
      </c>
      <c r="R7" s="10"/>
    </row>
    <row r="8" spans="2:20" x14ac:dyDescent="0.3">
      <c r="B8" s="1" t="s">
        <v>35</v>
      </c>
      <c r="C8" s="2"/>
      <c r="D8" s="2">
        <f>SUM(D6:D7)</f>
        <v>10453</v>
      </c>
      <c r="E8" s="2">
        <f t="shared" ref="E8:F8" si="0">SUM(E6:E7)</f>
        <v>5</v>
      </c>
      <c r="F8" s="2">
        <f t="shared" si="0"/>
        <v>10448</v>
      </c>
      <c r="G8" s="4">
        <f>AVERAGE(G6:G7)</f>
        <v>0.22</v>
      </c>
      <c r="H8" s="4">
        <f>AVERAGE(H6:H7)</f>
        <v>6.2</v>
      </c>
      <c r="I8" s="2">
        <f>SUM(I6:I7)</f>
        <v>2299.66</v>
      </c>
      <c r="J8" s="2">
        <f>AVERAGE(J6:J7)</f>
        <v>2</v>
      </c>
      <c r="K8" s="2">
        <f>SUM(K6:K7)</f>
        <v>1920</v>
      </c>
      <c r="L8" s="4">
        <f>AVERAGE(L6:L7)</f>
        <v>27.25</v>
      </c>
      <c r="M8" s="4">
        <f t="shared" ref="M8:Q8" si="1">AVERAGE(M6:M7)</f>
        <v>8.51</v>
      </c>
      <c r="N8" s="4">
        <f t="shared" si="1"/>
        <v>7.5250000000000004</v>
      </c>
      <c r="O8" s="4">
        <f t="shared" si="1"/>
        <v>0.625</v>
      </c>
      <c r="P8" s="4">
        <f t="shared" si="1"/>
        <v>0</v>
      </c>
      <c r="Q8" s="4">
        <f t="shared" si="1"/>
        <v>3.1974999999999998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85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90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88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1.92</v>
      </c>
      <c r="F17" s="27">
        <f>'5. 31.'!F17-'6. 1.'!E17</f>
        <v>37.01</v>
      </c>
      <c r="G17" s="27">
        <f>E17+'5. 31.'!G17</f>
        <v>20.990000000000002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1.92</v>
      </c>
      <c r="F19" s="28">
        <f>SUM(F17:F18)</f>
        <v>77.009999999999991</v>
      </c>
      <c r="G19" s="28">
        <f>SUM(G17:G18)</f>
        <v>20.990000000000002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8ED4-1FDE-4330-B1AF-93560022C572}">
  <sheetPr codeName="Sheet26">
    <pageSetUpPr fitToPage="1"/>
  </sheetPr>
  <dimension ref="B1:T19"/>
  <sheetViews>
    <sheetView workbookViewId="0">
      <selection activeCell="O7" sqref="O7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9" t="s">
        <v>1</v>
      </c>
      <c r="C3" s="91">
        <v>45079</v>
      </c>
      <c r="D3" s="91"/>
      <c r="E3" s="48" t="s">
        <v>25</v>
      </c>
      <c r="F3" s="2" t="s">
        <v>26</v>
      </c>
      <c r="G3" s="92" t="s">
        <v>34</v>
      </c>
      <c r="H3" s="93"/>
      <c r="I3" s="13">
        <v>26</v>
      </c>
      <c r="J3" s="94" t="s">
        <v>27</v>
      </c>
      <c r="K3" s="94"/>
      <c r="L3" s="14">
        <v>20</v>
      </c>
      <c r="M3" s="11"/>
      <c r="N3" s="2"/>
      <c r="O3" s="47"/>
      <c r="P3" s="47"/>
      <c r="Q3" s="47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9" t="s">
        <v>1</v>
      </c>
      <c r="C5" s="48" t="s">
        <v>15</v>
      </c>
      <c r="D5" s="48" t="s">
        <v>64</v>
      </c>
      <c r="E5" s="48" t="s">
        <v>19</v>
      </c>
      <c r="F5" s="48" t="s">
        <v>37</v>
      </c>
      <c r="G5" s="48" t="s">
        <v>18</v>
      </c>
      <c r="H5" s="48" t="s">
        <v>30</v>
      </c>
      <c r="I5" s="48" t="s">
        <v>28</v>
      </c>
      <c r="J5" s="48" t="s">
        <v>21</v>
      </c>
      <c r="K5" s="48" t="s">
        <v>22</v>
      </c>
      <c r="L5" s="86"/>
      <c r="M5" s="86"/>
      <c r="N5" s="86"/>
      <c r="O5" s="86"/>
      <c r="P5" s="86"/>
      <c r="Q5" s="86"/>
      <c r="R5" s="97"/>
    </row>
    <row r="6" spans="2:20" ht="49.5" x14ac:dyDescent="0.3">
      <c r="B6" s="1" t="s">
        <v>2</v>
      </c>
      <c r="C6" s="2" t="s">
        <v>16</v>
      </c>
      <c r="D6" s="2">
        <f>'6. 1.'!F6</f>
        <v>5217</v>
      </c>
      <c r="E6" s="2">
        <v>28</v>
      </c>
      <c r="F6" s="2">
        <f>D6-E6</f>
        <v>5189</v>
      </c>
      <c r="G6" s="4">
        <v>0.49020000000000002</v>
      </c>
      <c r="H6" s="4">
        <v>7.3</v>
      </c>
      <c r="I6" s="2">
        <f>D6*G6</f>
        <v>2557.3733999999999</v>
      </c>
      <c r="J6" s="2">
        <v>1</v>
      </c>
      <c r="K6" s="2">
        <f>480+50</f>
        <v>530</v>
      </c>
      <c r="L6" s="4">
        <v>27.4</v>
      </c>
      <c r="M6" s="4">
        <v>8.52</v>
      </c>
      <c r="N6" s="4">
        <v>7.33</v>
      </c>
      <c r="O6" s="16">
        <v>0.84199999999999997</v>
      </c>
      <c r="P6" s="16">
        <v>0</v>
      </c>
      <c r="Q6" s="16">
        <v>3.3109999999999999</v>
      </c>
      <c r="R6" s="10" t="s">
        <v>91</v>
      </c>
    </row>
    <row r="7" spans="2:20" ht="33" x14ac:dyDescent="0.3">
      <c r="B7" s="1" t="s">
        <v>3</v>
      </c>
      <c r="C7" s="2" t="s">
        <v>16</v>
      </c>
      <c r="D7" s="2">
        <f>'6. 1.'!F7</f>
        <v>5231</v>
      </c>
      <c r="E7" s="2">
        <v>5</v>
      </c>
      <c r="F7" s="2">
        <f>D7-E7</f>
        <v>5226</v>
      </c>
      <c r="G7" s="4">
        <v>0.49020000000000002</v>
      </c>
      <c r="H7" s="4">
        <v>7.3</v>
      </c>
      <c r="I7" s="2">
        <f>D7*G7</f>
        <v>2564.2362000000003</v>
      </c>
      <c r="J7" s="2">
        <v>1</v>
      </c>
      <c r="K7" s="2">
        <f>480+50</f>
        <v>530</v>
      </c>
      <c r="L7" s="4">
        <v>27.4</v>
      </c>
      <c r="M7" s="4">
        <v>8.5</v>
      </c>
      <c r="N7" s="4">
        <v>7.13</v>
      </c>
      <c r="O7" s="16">
        <v>1.2310000000000001</v>
      </c>
      <c r="P7" s="16">
        <v>0</v>
      </c>
      <c r="Q7" s="16">
        <v>3.15</v>
      </c>
      <c r="R7" s="10" t="s">
        <v>92</v>
      </c>
    </row>
    <row r="8" spans="2:20" x14ac:dyDescent="0.3">
      <c r="B8" s="1" t="s">
        <v>35</v>
      </c>
      <c r="C8" s="2"/>
      <c r="D8" s="2">
        <f>SUM(D6:D7)</f>
        <v>10448</v>
      </c>
      <c r="E8" s="2">
        <f t="shared" ref="E8:F8" si="0">SUM(E6:E7)</f>
        <v>33</v>
      </c>
      <c r="F8" s="2">
        <f t="shared" si="0"/>
        <v>10415</v>
      </c>
      <c r="G8" s="4">
        <f>AVERAGE(G6:G7)</f>
        <v>0.49020000000000002</v>
      </c>
      <c r="H8" s="4">
        <f>AVERAGE(H6:H7)</f>
        <v>7.3</v>
      </c>
      <c r="I8" s="2">
        <f>SUM(I6:I7)</f>
        <v>5121.6095999999998</v>
      </c>
      <c r="J8" s="2">
        <f>AVERAGE(J6:J7)</f>
        <v>1</v>
      </c>
      <c r="K8" s="2">
        <f>SUM(K6:K7)</f>
        <v>1060</v>
      </c>
      <c r="L8" s="4">
        <f>AVERAGE(L6:L7)</f>
        <v>27.4</v>
      </c>
      <c r="M8" s="4">
        <f t="shared" ref="M8:Q8" si="1">AVERAGE(M6:M7)</f>
        <v>8.51</v>
      </c>
      <c r="N8" s="4">
        <f t="shared" si="1"/>
        <v>7.23</v>
      </c>
      <c r="O8" s="4">
        <f t="shared" si="1"/>
        <v>1.0365</v>
      </c>
      <c r="P8" s="4">
        <f t="shared" si="1"/>
        <v>0</v>
      </c>
      <c r="Q8" s="4">
        <f t="shared" si="1"/>
        <v>3.2305000000000001</v>
      </c>
      <c r="R8" s="3"/>
    </row>
    <row r="9" spans="2:20" ht="20.100000000000001" customHeight="1" x14ac:dyDescent="0.3">
      <c r="B9" s="102" t="s">
        <v>53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4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113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0.48+0.48</f>
        <v>0.96</v>
      </c>
      <c r="F17" s="27">
        <f>'6. 1.'!F17-'6. 2.'!E17</f>
        <v>36.049999999999997</v>
      </c>
      <c r="G17" s="27">
        <f>E17+'6. 1.'!G17</f>
        <v>21.950000000000003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0.1</v>
      </c>
      <c r="F18" s="27">
        <f>'6. 1.'!F18-'6. 2.'!E18</f>
        <v>39.9</v>
      </c>
      <c r="G18" s="27">
        <f>E18+'6. 1.'!G18</f>
        <v>0.1</v>
      </c>
      <c r="H18" s="67" t="s">
        <v>98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1.06</v>
      </c>
      <c r="F19" s="28">
        <f>SUM(F17:F18)</f>
        <v>75.949999999999989</v>
      </c>
      <c r="G19" s="28">
        <f>SUM(G17:G18)</f>
        <v>22.050000000000004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0B28-1F3E-4887-A75A-51BBCD0A2935}">
  <sheetPr codeName="Sheet27">
    <pageSetUpPr fitToPage="1"/>
  </sheetPr>
  <dimension ref="B1:T19"/>
  <sheetViews>
    <sheetView workbookViewId="0">
      <selection activeCell="I29" sqref="I29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9" t="s">
        <v>1</v>
      </c>
      <c r="C3" s="91">
        <v>45080</v>
      </c>
      <c r="D3" s="91"/>
      <c r="E3" s="48" t="s">
        <v>25</v>
      </c>
      <c r="F3" s="2" t="s">
        <v>26</v>
      </c>
      <c r="G3" s="92" t="s">
        <v>34</v>
      </c>
      <c r="H3" s="93"/>
      <c r="I3" s="13">
        <v>27</v>
      </c>
      <c r="J3" s="94" t="s">
        <v>27</v>
      </c>
      <c r="K3" s="94"/>
      <c r="L3" s="14">
        <v>21</v>
      </c>
      <c r="M3" s="11"/>
      <c r="N3" s="2"/>
      <c r="O3" s="47"/>
      <c r="P3" s="47"/>
      <c r="Q3" s="47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9" t="s">
        <v>1</v>
      </c>
      <c r="C5" s="48" t="s">
        <v>15</v>
      </c>
      <c r="D5" s="48" t="s">
        <v>64</v>
      </c>
      <c r="E5" s="48" t="s">
        <v>19</v>
      </c>
      <c r="F5" s="48" t="s">
        <v>37</v>
      </c>
      <c r="G5" s="48" t="s">
        <v>18</v>
      </c>
      <c r="H5" s="48" t="s">
        <v>30</v>
      </c>
      <c r="I5" s="48" t="s">
        <v>28</v>
      </c>
      <c r="J5" s="48" t="s">
        <v>21</v>
      </c>
      <c r="K5" s="48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'6. 2.'!F6</f>
        <v>5189</v>
      </c>
      <c r="E6" s="2">
        <v>13</v>
      </c>
      <c r="F6" s="2">
        <f>D6-E6</f>
        <v>5176</v>
      </c>
      <c r="G6" s="4">
        <v>0.49020000000000002</v>
      </c>
      <c r="H6" s="4">
        <v>7.3</v>
      </c>
      <c r="I6" s="2">
        <f>D6*G6</f>
        <v>2543.6478000000002</v>
      </c>
      <c r="J6" s="2">
        <v>1</v>
      </c>
      <c r="K6" s="2">
        <f>380+40</f>
        <v>420</v>
      </c>
      <c r="L6" s="4">
        <v>26.7</v>
      </c>
      <c r="M6" s="4">
        <v>8.44</v>
      </c>
      <c r="N6" s="4">
        <v>7.44</v>
      </c>
      <c r="O6" s="16">
        <v>0.75</v>
      </c>
      <c r="P6" s="16">
        <v>0</v>
      </c>
      <c r="Q6" s="16">
        <v>3.2549999999999999</v>
      </c>
      <c r="R6" s="10" t="s">
        <v>93</v>
      </c>
    </row>
    <row r="7" spans="2:20" x14ac:dyDescent="0.3">
      <c r="B7" s="1" t="s">
        <v>3</v>
      </c>
      <c r="C7" s="2" t="s">
        <v>16</v>
      </c>
      <c r="D7" s="2">
        <f>'6. 2.'!F7</f>
        <v>5226</v>
      </c>
      <c r="E7" s="2">
        <v>0</v>
      </c>
      <c r="F7" s="2">
        <f>D7-E7</f>
        <v>5226</v>
      </c>
      <c r="G7" s="4">
        <v>0.49020000000000002</v>
      </c>
      <c r="H7" s="4">
        <v>7.3</v>
      </c>
      <c r="I7" s="2">
        <f>D7*G7</f>
        <v>2561.7852000000003</v>
      </c>
      <c r="J7" s="2">
        <v>1</v>
      </c>
      <c r="K7" s="2">
        <f>380+40</f>
        <v>420</v>
      </c>
      <c r="L7" s="4">
        <v>27.1</v>
      </c>
      <c r="M7" s="4">
        <v>8.43</v>
      </c>
      <c r="N7" s="4">
        <v>7.26</v>
      </c>
      <c r="O7" s="16">
        <v>1.167</v>
      </c>
      <c r="P7" s="16">
        <v>0</v>
      </c>
      <c r="Q7" s="16">
        <v>2.8010000000000002</v>
      </c>
      <c r="R7" s="10" t="s">
        <v>94</v>
      </c>
    </row>
    <row r="8" spans="2:20" x14ac:dyDescent="0.3">
      <c r="B8" s="1" t="s">
        <v>35</v>
      </c>
      <c r="C8" s="2"/>
      <c r="D8" s="2">
        <f>SUM(D6:D7)</f>
        <v>10415</v>
      </c>
      <c r="E8" s="2">
        <f t="shared" ref="E8:F8" si="0">SUM(E6:E7)</f>
        <v>13</v>
      </c>
      <c r="F8" s="2">
        <f t="shared" si="0"/>
        <v>10402</v>
      </c>
      <c r="G8" s="4">
        <f>AVERAGE(G6:G7)</f>
        <v>0.49020000000000002</v>
      </c>
      <c r="H8" s="4">
        <f>AVERAGE(H6:H7)</f>
        <v>7.3</v>
      </c>
      <c r="I8" s="2">
        <f>SUM(I6:I7)</f>
        <v>5105.4330000000009</v>
      </c>
      <c r="J8" s="2">
        <f>AVERAGE(J6:J7)</f>
        <v>1</v>
      </c>
      <c r="K8" s="2">
        <f>SUM(K6:K7)</f>
        <v>840</v>
      </c>
      <c r="L8" s="4">
        <f>AVERAGE(L6:L7)</f>
        <v>26.9</v>
      </c>
      <c r="M8" s="4">
        <f t="shared" ref="M8:Q8" si="1">AVERAGE(M6:M7)</f>
        <v>8.4349999999999987</v>
      </c>
      <c r="N8" s="4">
        <f t="shared" si="1"/>
        <v>7.35</v>
      </c>
      <c r="O8" s="4">
        <f t="shared" si="1"/>
        <v>0.95850000000000002</v>
      </c>
      <c r="P8" s="4">
        <f t="shared" si="1"/>
        <v>0</v>
      </c>
      <c r="Q8" s="4">
        <f t="shared" si="1"/>
        <v>3.028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95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0.38+0.38</f>
        <v>0.76</v>
      </c>
      <c r="F17" s="27">
        <f>'6. 2.'!F17-'6. 3.'!E17</f>
        <v>35.29</v>
      </c>
      <c r="G17" s="27">
        <f>E17+'6. 2.'!G17</f>
        <v>22.710000000000004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0.04+0.04</f>
        <v>0.08</v>
      </c>
      <c r="F18" s="27">
        <f>'6. 2.'!F18-'6. 3.'!E18</f>
        <v>39.82</v>
      </c>
      <c r="G18" s="27">
        <f>E18+'6. 2.'!G18</f>
        <v>0.18</v>
      </c>
      <c r="H18" s="67" t="s">
        <v>99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0.84</v>
      </c>
      <c r="F19" s="28">
        <f>SUM(F17:F18)</f>
        <v>75.11</v>
      </c>
      <c r="G19" s="28">
        <f>SUM(G17:G18)</f>
        <v>22.890000000000004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64A7-59E9-43B8-AB80-2B76F4CECB5F}">
  <sheetPr codeName="Sheet28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49" t="s">
        <v>1</v>
      </c>
      <c r="C3" s="91">
        <v>45081</v>
      </c>
      <c r="D3" s="91"/>
      <c r="E3" s="48" t="s">
        <v>25</v>
      </c>
      <c r="F3" s="2" t="s">
        <v>26</v>
      </c>
      <c r="G3" s="92" t="s">
        <v>34</v>
      </c>
      <c r="H3" s="93"/>
      <c r="I3" s="13">
        <v>28</v>
      </c>
      <c r="J3" s="94" t="s">
        <v>27</v>
      </c>
      <c r="K3" s="94"/>
      <c r="L3" s="14">
        <v>22</v>
      </c>
      <c r="M3" s="11"/>
      <c r="N3" s="2"/>
      <c r="O3" s="47"/>
      <c r="P3" s="47"/>
      <c r="Q3" s="47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49" t="s">
        <v>1</v>
      </c>
      <c r="C5" s="48" t="s">
        <v>15</v>
      </c>
      <c r="D5" s="48" t="s">
        <v>64</v>
      </c>
      <c r="E5" s="48" t="s">
        <v>19</v>
      </c>
      <c r="F5" s="48" t="s">
        <v>37</v>
      </c>
      <c r="G5" s="48" t="s">
        <v>18</v>
      </c>
      <c r="H5" s="48" t="s">
        <v>30</v>
      </c>
      <c r="I5" s="48" t="s">
        <v>28</v>
      </c>
      <c r="J5" s="48" t="s">
        <v>21</v>
      </c>
      <c r="K5" s="48" t="s">
        <v>22</v>
      </c>
      <c r="L5" s="86"/>
      <c r="M5" s="86"/>
      <c r="N5" s="86"/>
      <c r="O5" s="86"/>
      <c r="P5" s="86"/>
      <c r="Q5" s="86"/>
      <c r="R5" s="97"/>
    </row>
    <row r="6" spans="2:20" ht="49.5" x14ac:dyDescent="0.3">
      <c r="B6" s="1" t="s">
        <v>2</v>
      </c>
      <c r="C6" s="2" t="s">
        <v>16</v>
      </c>
      <c r="D6" s="2">
        <f>'6. 3.'!F6</f>
        <v>5176</v>
      </c>
      <c r="E6" s="2">
        <v>10</v>
      </c>
      <c r="F6" s="2">
        <f>D6-E6</f>
        <v>5166</v>
      </c>
      <c r="G6" s="4">
        <v>0.49020000000000002</v>
      </c>
      <c r="H6" s="4">
        <v>7.3</v>
      </c>
      <c r="I6" s="2">
        <f>D6*G6</f>
        <v>2537.2752</v>
      </c>
      <c r="J6" s="2">
        <v>1</v>
      </c>
      <c r="K6" s="2">
        <f>830+80</f>
        <v>910</v>
      </c>
      <c r="L6" s="4">
        <v>27.3</v>
      </c>
      <c r="M6" s="4">
        <v>8.48</v>
      </c>
      <c r="N6" s="4">
        <v>7.36</v>
      </c>
      <c r="O6" s="16">
        <v>0.441</v>
      </c>
      <c r="P6" s="16">
        <v>0</v>
      </c>
      <c r="Q6" s="16">
        <v>3.2730000000000001</v>
      </c>
      <c r="R6" s="10" t="s">
        <v>96</v>
      </c>
    </row>
    <row r="7" spans="2:20" ht="33" x14ac:dyDescent="0.3">
      <c r="B7" s="1" t="s">
        <v>3</v>
      </c>
      <c r="C7" s="2" t="s">
        <v>16</v>
      </c>
      <c r="D7" s="2">
        <f>'6. 3.'!F7</f>
        <v>5226</v>
      </c>
      <c r="E7" s="2">
        <v>0</v>
      </c>
      <c r="F7" s="2">
        <f>D7-E7</f>
        <v>5226</v>
      </c>
      <c r="G7" s="4">
        <v>0.49020000000000002</v>
      </c>
      <c r="H7" s="4">
        <v>7.3</v>
      </c>
      <c r="I7" s="2">
        <f>D7*G7</f>
        <v>2561.7852000000003</v>
      </c>
      <c r="J7" s="2">
        <v>1</v>
      </c>
      <c r="K7" s="2">
        <f>830+80</f>
        <v>910</v>
      </c>
      <c r="L7" s="4">
        <v>27.3</v>
      </c>
      <c r="M7" s="4">
        <v>8.4700000000000006</v>
      </c>
      <c r="N7" s="4">
        <v>7.24</v>
      </c>
      <c r="O7" s="16">
        <v>1.2370000000000001</v>
      </c>
      <c r="P7" s="16">
        <v>0</v>
      </c>
      <c r="Q7" s="16">
        <v>3.2549999999999999</v>
      </c>
      <c r="R7" s="10" t="s">
        <v>97</v>
      </c>
    </row>
    <row r="8" spans="2:20" x14ac:dyDescent="0.3">
      <c r="B8" s="1" t="s">
        <v>35</v>
      </c>
      <c r="C8" s="2"/>
      <c r="D8" s="2">
        <f>SUM(D6:D7)</f>
        <v>10402</v>
      </c>
      <c r="E8" s="2">
        <f t="shared" ref="E8:F8" si="0">SUM(E6:E7)</f>
        <v>10</v>
      </c>
      <c r="F8" s="2">
        <f t="shared" si="0"/>
        <v>10392</v>
      </c>
      <c r="G8" s="4">
        <f>AVERAGE(G6:G7)</f>
        <v>0.49020000000000002</v>
      </c>
      <c r="H8" s="4">
        <f>AVERAGE(H6:H7)</f>
        <v>7.3</v>
      </c>
      <c r="I8" s="2">
        <f>SUM(I6:I7)</f>
        <v>5099.0604000000003</v>
      </c>
      <c r="J8" s="2">
        <f>AVERAGE(J6:J7)</f>
        <v>1</v>
      </c>
      <c r="K8" s="2">
        <f>SUM(K6:K7)</f>
        <v>1820</v>
      </c>
      <c r="L8" s="4">
        <f>AVERAGE(L6:L7)</f>
        <v>27.3</v>
      </c>
      <c r="M8" s="4">
        <f t="shared" ref="M8:Q8" si="1">AVERAGE(M6:M7)</f>
        <v>8.4750000000000014</v>
      </c>
      <c r="N8" s="4">
        <f t="shared" si="1"/>
        <v>7.3000000000000007</v>
      </c>
      <c r="O8" s="4">
        <f t="shared" si="1"/>
        <v>0.83900000000000008</v>
      </c>
      <c r="P8" s="4">
        <f t="shared" si="1"/>
        <v>0</v>
      </c>
      <c r="Q8" s="4">
        <f t="shared" si="1"/>
        <v>3.2640000000000002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95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0.83+0.83</f>
        <v>1.66</v>
      </c>
      <c r="F17" s="27">
        <f>'6. 3.'!F17-'6. 4.'!E17</f>
        <v>33.630000000000003</v>
      </c>
      <c r="G17" s="27">
        <f>E17+'6. 3.'!G17</f>
        <v>24.370000000000005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0.08+0.08</f>
        <v>0.16</v>
      </c>
      <c r="F18" s="27">
        <f>'6. 3.'!F18-'6. 4.'!E18</f>
        <v>39.660000000000004</v>
      </c>
      <c r="G18" s="27">
        <f>E18+'6. 3.'!G18</f>
        <v>0.33999999999999997</v>
      </c>
      <c r="H18" s="67" t="s">
        <v>99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1.8199999999999998</v>
      </c>
      <c r="F19" s="28">
        <f>SUM(F17:F18)</f>
        <v>73.290000000000006</v>
      </c>
      <c r="G19" s="28">
        <f>SUM(G17:G18)</f>
        <v>24.710000000000004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CC87-74B6-40B1-A9D3-3ADCB0A2E655}">
  <sheetPr codeName="Sheet29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2" t="s">
        <v>1</v>
      </c>
      <c r="C3" s="91">
        <v>45082</v>
      </c>
      <c r="D3" s="91"/>
      <c r="E3" s="51" t="s">
        <v>25</v>
      </c>
      <c r="F3" s="2" t="s">
        <v>26</v>
      </c>
      <c r="G3" s="92" t="s">
        <v>34</v>
      </c>
      <c r="H3" s="93"/>
      <c r="I3" s="13">
        <v>29</v>
      </c>
      <c r="J3" s="94" t="s">
        <v>27</v>
      </c>
      <c r="K3" s="94"/>
      <c r="L3" s="14">
        <v>23</v>
      </c>
      <c r="M3" s="11"/>
      <c r="N3" s="2"/>
      <c r="O3" s="50"/>
      <c r="P3" s="50"/>
      <c r="Q3" s="50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2" t="s">
        <v>1</v>
      </c>
      <c r="C5" s="51" t="s">
        <v>15</v>
      </c>
      <c r="D5" s="51" t="s">
        <v>64</v>
      </c>
      <c r="E5" s="51" t="s">
        <v>19</v>
      </c>
      <c r="F5" s="51" t="s">
        <v>37</v>
      </c>
      <c r="G5" s="51" t="s">
        <v>18</v>
      </c>
      <c r="H5" s="51" t="s">
        <v>30</v>
      </c>
      <c r="I5" s="51" t="s">
        <v>28</v>
      </c>
      <c r="J5" s="51" t="s">
        <v>21</v>
      </c>
      <c r="K5" s="51" t="s">
        <v>22</v>
      </c>
      <c r="L5" s="86"/>
      <c r="M5" s="86"/>
      <c r="N5" s="86"/>
      <c r="O5" s="86"/>
      <c r="P5" s="86"/>
      <c r="Q5" s="86"/>
      <c r="R5" s="97"/>
    </row>
    <row r="6" spans="2:20" ht="66" x14ac:dyDescent="0.3">
      <c r="B6" s="1" t="s">
        <v>2</v>
      </c>
      <c r="C6" s="2" t="s">
        <v>16</v>
      </c>
      <c r="D6" s="2">
        <f>'6. 4.'!F6</f>
        <v>5166</v>
      </c>
      <c r="E6" s="2">
        <f>4+44</f>
        <v>48</v>
      </c>
      <c r="F6" s="2">
        <f>D6-E6</f>
        <v>5118</v>
      </c>
      <c r="G6" s="4">
        <v>0.49020000000000002</v>
      </c>
      <c r="H6" s="4">
        <v>7.3</v>
      </c>
      <c r="I6" s="2">
        <f>D6*G6</f>
        <v>2532.3732</v>
      </c>
      <c r="J6" s="2">
        <v>1</v>
      </c>
      <c r="K6" s="2">
        <f>420+80</f>
        <v>500</v>
      </c>
      <c r="L6" s="4">
        <v>27</v>
      </c>
      <c r="M6" s="4">
        <v>8.4700000000000006</v>
      </c>
      <c r="N6" s="4">
        <v>7.61</v>
      </c>
      <c r="O6" s="16">
        <v>0.46100000000000002</v>
      </c>
      <c r="P6" s="16">
        <v>0</v>
      </c>
      <c r="Q6" s="16">
        <v>3.8069999999999999</v>
      </c>
      <c r="R6" s="10" t="s">
        <v>111</v>
      </c>
    </row>
    <row r="7" spans="2:20" ht="66" x14ac:dyDescent="0.3">
      <c r="B7" s="1" t="s">
        <v>3</v>
      </c>
      <c r="C7" s="2" t="s">
        <v>16</v>
      </c>
      <c r="D7" s="2">
        <f>'6. 4.'!F7</f>
        <v>5226</v>
      </c>
      <c r="E7" s="2">
        <f>1+6</f>
        <v>7</v>
      </c>
      <c r="F7" s="2">
        <f>D7-E7</f>
        <v>5219</v>
      </c>
      <c r="G7" s="4">
        <v>0.49020000000000002</v>
      </c>
      <c r="H7" s="4">
        <v>7.3</v>
      </c>
      <c r="I7" s="2">
        <f>D7*G7</f>
        <v>2561.7852000000003</v>
      </c>
      <c r="J7" s="2">
        <v>1</v>
      </c>
      <c r="K7" s="2">
        <f>500+100</f>
        <v>600</v>
      </c>
      <c r="L7" s="4">
        <v>27.2</v>
      </c>
      <c r="M7" s="4">
        <v>8.4700000000000006</v>
      </c>
      <c r="N7" s="4">
        <v>7.24</v>
      </c>
      <c r="O7" s="16">
        <v>0.89900000000000002</v>
      </c>
      <c r="P7" s="16">
        <v>0</v>
      </c>
      <c r="Q7" s="16">
        <v>2.944</v>
      </c>
      <c r="R7" s="10" t="s">
        <v>112</v>
      </c>
    </row>
    <row r="8" spans="2:20" x14ac:dyDescent="0.3">
      <c r="B8" s="1" t="s">
        <v>35</v>
      </c>
      <c r="C8" s="2"/>
      <c r="D8" s="2">
        <f>SUM(D6:D7)</f>
        <v>10392</v>
      </c>
      <c r="E8" s="2">
        <f t="shared" ref="E8:F8" si="0">SUM(E6:E7)</f>
        <v>55</v>
      </c>
      <c r="F8" s="2">
        <f t="shared" si="0"/>
        <v>10337</v>
      </c>
      <c r="G8" s="4">
        <f>AVERAGE(G6:G7)</f>
        <v>0.49020000000000002</v>
      </c>
      <c r="H8" s="4">
        <f>AVERAGE(H6:H7)</f>
        <v>7.3</v>
      </c>
      <c r="I8" s="2">
        <f>SUM(I6:I7)</f>
        <v>5094.1584000000003</v>
      </c>
      <c r="J8" s="2">
        <f>AVERAGE(J6:J7)</f>
        <v>1</v>
      </c>
      <c r="K8" s="2">
        <f>SUM(K6:K7)</f>
        <v>1100</v>
      </c>
      <c r="L8" s="4">
        <f>AVERAGE(L6:L7)</f>
        <v>27.1</v>
      </c>
      <c r="M8" s="4">
        <f t="shared" ref="M8:Q8" si="1">AVERAGE(M6:M7)</f>
        <v>8.4700000000000006</v>
      </c>
      <c r="N8" s="4">
        <f t="shared" si="1"/>
        <v>7.4250000000000007</v>
      </c>
      <c r="O8" s="4">
        <f t="shared" si="1"/>
        <v>0.68</v>
      </c>
      <c r="P8" s="4">
        <f t="shared" si="1"/>
        <v>0</v>
      </c>
      <c r="Q8" s="4">
        <f t="shared" si="1"/>
        <v>3.3754999999999997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114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0.42+0.5</f>
        <v>0.91999999999999993</v>
      </c>
      <c r="F17" s="27">
        <f>'6. 4.'!F17-'6. 5.'!E17</f>
        <v>32.71</v>
      </c>
      <c r="G17" s="27">
        <f>E17+'6. 4.'!G17</f>
        <v>25.290000000000006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0.08+0.1</f>
        <v>0.18</v>
      </c>
      <c r="F18" s="27">
        <f>'6. 4.'!F18-'6. 5.'!E18</f>
        <v>39.480000000000004</v>
      </c>
      <c r="G18" s="27">
        <f>E18+'6. 4.'!G18</f>
        <v>0.52</v>
      </c>
      <c r="H18" s="67" t="s">
        <v>99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1.0999999999999999</v>
      </c>
      <c r="F19" s="28">
        <f>SUM(F17:F18)</f>
        <v>72.19</v>
      </c>
      <c r="G19" s="28">
        <f>SUM(G17:G18)</f>
        <v>25.810000000000006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BE81-3EDA-43E8-A838-029128106DAE}">
  <sheetPr codeName="Sheet3">
    <pageSetUpPr fitToPage="1"/>
  </sheetPr>
  <dimension ref="B1:R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5" t="s">
        <v>1</v>
      </c>
      <c r="C3" s="91">
        <v>45056</v>
      </c>
      <c r="D3" s="91"/>
      <c r="E3" s="6" t="s">
        <v>25</v>
      </c>
      <c r="F3" s="2" t="s">
        <v>26</v>
      </c>
      <c r="G3" s="92" t="s">
        <v>34</v>
      </c>
      <c r="H3" s="93"/>
      <c r="I3" s="13">
        <v>3</v>
      </c>
      <c r="J3" s="94" t="s">
        <v>27</v>
      </c>
      <c r="K3" s="94"/>
      <c r="L3" s="14">
        <v>0</v>
      </c>
      <c r="M3" s="11"/>
      <c r="N3" s="2"/>
      <c r="O3" s="15"/>
      <c r="P3" s="15"/>
      <c r="Q3" s="15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5" t="s">
        <v>1</v>
      </c>
      <c r="C5" s="6" t="s">
        <v>15</v>
      </c>
      <c r="D5" s="6" t="s">
        <v>36</v>
      </c>
      <c r="E5" s="6" t="s">
        <v>19</v>
      </c>
      <c r="F5" s="6" t="s">
        <v>37</v>
      </c>
      <c r="G5" s="6" t="s">
        <v>18</v>
      </c>
      <c r="H5" s="6" t="s">
        <v>30</v>
      </c>
      <c r="I5" s="6" t="s">
        <v>28</v>
      </c>
      <c r="J5" s="6" t="s">
        <v>21</v>
      </c>
      <c r="K5" s="6" t="s">
        <v>22</v>
      </c>
      <c r="L5" s="86"/>
      <c r="M5" s="86"/>
      <c r="N5" s="86"/>
      <c r="O5" s="86"/>
      <c r="P5" s="86"/>
      <c r="Q5" s="86"/>
      <c r="R5" s="97"/>
    </row>
    <row r="6" spans="2:18" x14ac:dyDescent="0.3">
      <c r="B6" s="1" t="s">
        <v>2</v>
      </c>
      <c r="C6" s="2" t="s">
        <v>16</v>
      </c>
      <c r="D6" s="2">
        <f>'5. 9.'!F6</f>
        <v>5392</v>
      </c>
      <c r="E6" s="2">
        <v>20</v>
      </c>
      <c r="F6" s="2">
        <f>D6-E6</f>
        <v>5372</v>
      </c>
      <c r="G6" s="4">
        <v>0.1</v>
      </c>
      <c r="H6" s="4">
        <v>5.25</v>
      </c>
      <c r="I6" s="2">
        <f>D6*G6</f>
        <v>539.20000000000005</v>
      </c>
      <c r="J6" s="2">
        <v>0</v>
      </c>
      <c r="K6" s="2">
        <v>0</v>
      </c>
      <c r="L6" s="4" t="s">
        <v>46</v>
      </c>
      <c r="M6" s="4">
        <v>8.34</v>
      </c>
      <c r="N6" s="4">
        <v>8.8800000000000008</v>
      </c>
      <c r="O6" s="16">
        <v>0.82299999999999995</v>
      </c>
      <c r="P6" s="16">
        <v>0</v>
      </c>
      <c r="Q6" s="16">
        <v>1.526</v>
      </c>
      <c r="R6" s="10" t="s">
        <v>45</v>
      </c>
    </row>
    <row r="7" spans="2:18" x14ac:dyDescent="0.3">
      <c r="B7" s="1" t="s">
        <v>3</v>
      </c>
      <c r="C7" s="2" t="s">
        <v>16</v>
      </c>
      <c r="D7" s="2">
        <f>'5. 9.'!F7</f>
        <v>5399</v>
      </c>
      <c r="E7" s="2">
        <v>17</v>
      </c>
      <c r="F7" s="2">
        <f>D7-E7</f>
        <v>5382</v>
      </c>
      <c r="G7" s="4">
        <v>0.1</v>
      </c>
      <c r="H7" s="4">
        <v>5.25</v>
      </c>
      <c r="I7" s="2">
        <f>D7*G7</f>
        <v>539.9</v>
      </c>
      <c r="J7" s="2">
        <v>0</v>
      </c>
      <c r="K7" s="2">
        <v>0</v>
      </c>
      <c r="L7" s="4" t="s">
        <v>46</v>
      </c>
      <c r="M7" s="4">
        <v>8.36</v>
      </c>
      <c r="N7" s="4">
        <v>8.89</v>
      </c>
      <c r="O7" s="16">
        <v>2.032</v>
      </c>
      <c r="P7" s="16">
        <v>0</v>
      </c>
      <c r="Q7" s="16">
        <v>2.7570000000000001</v>
      </c>
      <c r="R7" s="10" t="s">
        <v>45</v>
      </c>
    </row>
    <row r="8" spans="2:18" ht="20.100000000000001" customHeight="1" x14ac:dyDescent="0.3">
      <c r="B8" s="1" t="s">
        <v>35</v>
      </c>
      <c r="C8" s="2"/>
      <c r="D8" s="2">
        <f>SUM(D6:D7)</f>
        <v>10791</v>
      </c>
      <c r="E8" s="2">
        <f t="shared" ref="E8:F8" si="0">SUM(E6:E7)</f>
        <v>37</v>
      </c>
      <c r="F8" s="2">
        <f t="shared" si="0"/>
        <v>10754</v>
      </c>
      <c r="G8" s="4">
        <f>AVERAGE(G6:G7)</f>
        <v>0.1</v>
      </c>
      <c r="H8" s="4">
        <f>AVERAGE(H6:H7)</f>
        <v>5.25</v>
      </c>
      <c r="I8" s="2">
        <f t="shared" ref="I8" si="1">SUM(I6:I7)</f>
        <v>1079.0999999999999</v>
      </c>
      <c r="J8" s="2">
        <v>0</v>
      </c>
      <c r="K8" s="2">
        <v>0</v>
      </c>
      <c r="L8" s="4" t="s">
        <v>46</v>
      </c>
      <c r="M8" s="4">
        <f t="shared" ref="M8:Q8" si="2">AVERAGE(M6:M7)</f>
        <v>8.35</v>
      </c>
      <c r="N8" s="4">
        <f t="shared" si="2"/>
        <v>8.8850000000000016</v>
      </c>
      <c r="O8" s="4">
        <f t="shared" si="2"/>
        <v>1.4275</v>
      </c>
      <c r="P8" s="4">
        <f t="shared" si="2"/>
        <v>0</v>
      </c>
      <c r="Q8" s="4">
        <f t="shared" si="2"/>
        <v>2.1415000000000002</v>
      </c>
      <c r="R8" s="3"/>
    </row>
    <row r="9" spans="2:18" ht="20.100000000000001" customHeight="1" x14ac:dyDescent="0.3">
      <c r="B9" s="70" t="s">
        <v>5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47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:G19" si="3">SUM(E17:E18)</f>
        <v>0</v>
      </c>
      <c r="F19" s="12">
        <f t="shared" si="3"/>
        <v>98</v>
      </c>
      <c r="G19" s="12">
        <f t="shared" si="3"/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B1A0-E256-4655-9638-3AFB0805691A}">
  <sheetPr codeName="Sheet30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4" t="s">
        <v>1</v>
      </c>
      <c r="C3" s="91">
        <v>45083</v>
      </c>
      <c r="D3" s="91"/>
      <c r="E3" s="53" t="s">
        <v>25</v>
      </c>
      <c r="F3" s="2" t="s">
        <v>26</v>
      </c>
      <c r="G3" s="92" t="s">
        <v>34</v>
      </c>
      <c r="H3" s="93"/>
      <c r="I3" s="13">
        <v>30</v>
      </c>
      <c r="J3" s="94" t="s">
        <v>27</v>
      </c>
      <c r="K3" s="94"/>
      <c r="L3" s="14">
        <v>24</v>
      </c>
      <c r="M3" s="11"/>
      <c r="N3" s="2"/>
      <c r="O3" s="55"/>
      <c r="P3" s="55"/>
      <c r="Q3" s="55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4" t="s">
        <v>1</v>
      </c>
      <c r="C5" s="53" t="s">
        <v>15</v>
      </c>
      <c r="D5" s="53" t="s">
        <v>64</v>
      </c>
      <c r="E5" s="53" t="s">
        <v>19</v>
      </c>
      <c r="F5" s="53" t="s">
        <v>37</v>
      </c>
      <c r="G5" s="53" t="s">
        <v>18</v>
      </c>
      <c r="H5" s="53" t="s">
        <v>30</v>
      </c>
      <c r="I5" s="53" t="s">
        <v>28</v>
      </c>
      <c r="J5" s="53" t="s">
        <v>21</v>
      </c>
      <c r="K5" s="53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'6. 5.'!F6</f>
        <v>5118</v>
      </c>
      <c r="E6" s="2">
        <v>4</v>
      </c>
      <c r="F6" s="2">
        <f>D6-E6</f>
        <v>5114</v>
      </c>
      <c r="G6" s="4">
        <v>0.49020000000000002</v>
      </c>
      <c r="H6" s="4">
        <v>7.3</v>
      </c>
      <c r="I6" s="2">
        <f>D6*G6</f>
        <v>2508.8436000000002</v>
      </c>
      <c r="J6" s="2">
        <v>1</v>
      </c>
      <c r="K6" s="2">
        <f>420+130</f>
        <v>550</v>
      </c>
      <c r="L6" s="4">
        <v>27</v>
      </c>
      <c r="M6" s="4">
        <v>8.36</v>
      </c>
      <c r="N6" s="4">
        <v>7.56</v>
      </c>
      <c r="O6" s="16">
        <v>0.73699999999999999</v>
      </c>
      <c r="P6" s="16">
        <v>0</v>
      </c>
      <c r="Q6" s="16">
        <v>2.774</v>
      </c>
      <c r="R6" s="10" t="s">
        <v>100</v>
      </c>
    </row>
    <row r="7" spans="2:20" x14ac:dyDescent="0.3">
      <c r="B7" s="1" t="s">
        <v>3</v>
      </c>
      <c r="C7" s="2" t="s">
        <v>16</v>
      </c>
      <c r="D7" s="2">
        <f>'6. 5.'!F7</f>
        <v>5219</v>
      </c>
      <c r="E7" s="2">
        <v>0</v>
      </c>
      <c r="F7" s="2">
        <f>D7-E7</f>
        <v>5219</v>
      </c>
      <c r="G7" s="4">
        <v>0.49020000000000002</v>
      </c>
      <c r="H7" s="4">
        <v>7.3</v>
      </c>
      <c r="I7" s="2">
        <f>D7*G7</f>
        <v>2558.3538000000003</v>
      </c>
      <c r="J7" s="2">
        <v>1</v>
      </c>
      <c r="K7" s="2">
        <f>500+150</f>
        <v>650</v>
      </c>
      <c r="L7" s="4">
        <v>26.6</v>
      </c>
      <c r="M7" s="4">
        <v>8.41</v>
      </c>
      <c r="N7" s="4">
        <v>7.25</v>
      </c>
      <c r="O7" s="16">
        <v>1.073</v>
      </c>
      <c r="P7" s="16">
        <v>0</v>
      </c>
      <c r="Q7" s="16">
        <v>3.0350000000000001</v>
      </c>
      <c r="R7" s="10" t="s">
        <v>101</v>
      </c>
    </row>
    <row r="8" spans="2:20" x14ac:dyDescent="0.3">
      <c r="B8" s="1" t="s">
        <v>35</v>
      </c>
      <c r="C8" s="2"/>
      <c r="D8" s="2">
        <f>SUM(D6:D7)</f>
        <v>10337</v>
      </c>
      <c r="E8" s="2">
        <f t="shared" ref="E8:F8" si="0">SUM(E6:E7)</f>
        <v>4</v>
      </c>
      <c r="F8" s="2">
        <f t="shared" si="0"/>
        <v>10333</v>
      </c>
      <c r="G8" s="4">
        <f>AVERAGE(G6:G7)</f>
        <v>0.49020000000000002</v>
      </c>
      <c r="H8" s="4">
        <f>AVERAGE(H6:H7)</f>
        <v>7.3</v>
      </c>
      <c r="I8" s="2">
        <f>SUM(I6:I7)</f>
        <v>5067.1974000000009</v>
      </c>
      <c r="J8" s="2">
        <f>AVERAGE(J6:J7)</f>
        <v>1</v>
      </c>
      <c r="K8" s="2">
        <f>SUM(K6:K7)</f>
        <v>1200</v>
      </c>
      <c r="L8" s="4">
        <f>AVERAGE(L6:L7)</f>
        <v>26.8</v>
      </c>
      <c r="M8" s="4">
        <f t="shared" ref="M8:Q8" si="1">AVERAGE(M6:M7)</f>
        <v>8.3849999999999998</v>
      </c>
      <c r="N8" s="4">
        <f t="shared" si="1"/>
        <v>7.4049999999999994</v>
      </c>
      <c r="O8" s="4">
        <f t="shared" si="1"/>
        <v>0.90500000000000003</v>
      </c>
      <c r="P8" s="4">
        <f t="shared" si="1"/>
        <v>0</v>
      </c>
      <c r="Q8" s="4">
        <f t="shared" si="1"/>
        <v>2.9045000000000001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0.42+0.5</f>
        <v>0.91999999999999993</v>
      </c>
      <c r="F17" s="27">
        <f>'6. 5.'!F17-'6. 6.'!E17</f>
        <v>31.79</v>
      </c>
      <c r="G17" s="27">
        <f>E17+'6. 5.'!G17</f>
        <v>26.210000000000008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0.13+0.15</f>
        <v>0.28000000000000003</v>
      </c>
      <c r="F18" s="27">
        <f>'6. 5.'!F18-'6. 6.'!E18</f>
        <v>39.200000000000003</v>
      </c>
      <c r="G18" s="27">
        <f>E18+'6. 5.'!G18</f>
        <v>0.8</v>
      </c>
      <c r="H18" s="67" t="s">
        <v>99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1.2</v>
      </c>
      <c r="F19" s="28">
        <f>SUM(F17:F18)</f>
        <v>70.990000000000009</v>
      </c>
      <c r="G19" s="28">
        <f>SUM(G17:G18)</f>
        <v>27.010000000000009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C79A-F595-4F11-98E8-685965EF670D}">
  <sheetPr codeName="Sheet31">
    <pageSetUpPr fitToPage="1"/>
  </sheetPr>
  <dimension ref="B1:T19"/>
  <sheetViews>
    <sheetView workbookViewId="0">
      <selection activeCell="B10" sqref="B10:R10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45084</v>
      </c>
      <c r="D3" s="91"/>
      <c r="E3" s="57" t="s">
        <v>25</v>
      </c>
      <c r="F3" s="2" t="s">
        <v>66</v>
      </c>
      <c r="G3" s="92" t="s">
        <v>34</v>
      </c>
      <c r="H3" s="93"/>
      <c r="I3" s="13">
        <v>31</v>
      </c>
      <c r="J3" s="94" t="s">
        <v>27</v>
      </c>
      <c r="K3" s="94"/>
      <c r="L3" s="14">
        <v>25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'6. 6.'!F6</f>
        <v>5114</v>
      </c>
      <c r="E6" s="2">
        <v>1</v>
      </c>
      <c r="F6" s="2">
        <f>D6-E6</f>
        <v>5113</v>
      </c>
      <c r="G6" s="4">
        <v>0.72712500000000002</v>
      </c>
      <c r="H6" s="4">
        <v>7.7</v>
      </c>
      <c r="I6" s="2">
        <f>D6*G6</f>
        <v>3718.5172500000003</v>
      </c>
      <c r="J6" s="2">
        <v>1</v>
      </c>
      <c r="K6" s="2">
        <f>420+170</f>
        <v>590</v>
      </c>
      <c r="L6" s="4">
        <v>26.7</v>
      </c>
      <c r="M6" s="4">
        <v>8.44</v>
      </c>
      <c r="N6" s="4">
        <v>7.45</v>
      </c>
      <c r="O6" s="16">
        <v>0.89900000000000002</v>
      </c>
      <c r="P6" s="16">
        <v>0</v>
      </c>
      <c r="Q6" s="16">
        <v>2.5670000000000002</v>
      </c>
      <c r="R6" s="10" t="s">
        <v>100</v>
      </c>
    </row>
    <row r="7" spans="2:20" x14ac:dyDescent="0.3">
      <c r="B7" s="1" t="s">
        <v>3</v>
      </c>
      <c r="C7" s="2" t="s">
        <v>16</v>
      </c>
      <c r="D7" s="2">
        <f>'6. 6.'!F7</f>
        <v>5219</v>
      </c>
      <c r="E7" s="2">
        <v>0</v>
      </c>
      <c r="F7" s="2">
        <f>D7-E7</f>
        <v>5219</v>
      </c>
      <c r="G7" s="4">
        <v>0.72712500000000002</v>
      </c>
      <c r="H7" s="4">
        <v>7.7</v>
      </c>
      <c r="I7" s="2">
        <f>D7*G7</f>
        <v>3794.8653750000003</v>
      </c>
      <c r="J7" s="2">
        <v>1</v>
      </c>
      <c r="K7" s="2">
        <f>500+200</f>
        <v>700</v>
      </c>
      <c r="L7" s="4">
        <v>27.4</v>
      </c>
      <c r="M7" s="4">
        <v>8.4600000000000009</v>
      </c>
      <c r="N7" s="4">
        <v>7.21</v>
      </c>
      <c r="O7" s="16">
        <v>1.1679999999999999</v>
      </c>
      <c r="P7" s="16">
        <v>0</v>
      </c>
      <c r="Q7" s="16">
        <v>2.9470000000000001</v>
      </c>
      <c r="R7" s="10" t="s">
        <v>101</v>
      </c>
    </row>
    <row r="8" spans="2:20" x14ac:dyDescent="0.3">
      <c r="B8" s="1" t="s">
        <v>35</v>
      </c>
      <c r="C8" s="2"/>
      <c r="D8" s="2">
        <f>SUM(D6:D7)</f>
        <v>10333</v>
      </c>
      <c r="E8" s="2">
        <f t="shared" ref="E8:F8" si="0">SUM(E6:E7)</f>
        <v>1</v>
      </c>
      <c r="F8" s="2">
        <f t="shared" si="0"/>
        <v>10332</v>
      </c>
      <c r="G8" s="4">
        <f>AVERAGE(G6:G7)</f>
        <v>0.72712500000000002</v>
      </c>
      <c r="H8" s="4">
        <f>AVERAGE(H6:H7)</f>
        <v>7.7</v>
      </c>
      <c r="I8" s="2">
        <f>SUM(I6:I7)</f>
        <v>7513.3826250000002</v>
      </c>
      <c r="J8" s="2">
        <f>AVERAGE(J6:J7)</f>
        <v>1</v>
      </c>
      <c r="K8" s="2">
        <f>SUM(K6:K7)</f>
        <v>1290</v>
      </c>
      <c r="L8" s="4">
        <f>AVERAGE(L6:L7)</f>
        <v>27.049999999999997</v>
      </c>
      <c r="M8" s="4">
        <f t="shared" ref="M8:Q8" si="1">AVERAGE(M6:M7)</f>
        <v>8.4499999999999993</v>
      </c>
      <c r="N8" s="4">
        <f t="shared" si="1"/>
        <v>7.33</v>
      </c>
      <c r="O8" s="4">
        <f t="shared" si="1"/>
        <v>1.0335000000000001</v>
      </c>
      <c r="P8" s="4">
        <f t="shared" si="1"/>
        <v>0</v>
      </c>
      <c r="Q8" s="4">
        <f t="shared" si="1"/>
        <v>2.7570000000000001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0.42+0.5</f>
        <v>0.91999999999999993</v>
      </c>
      <c r="F17" s="27">
        <f>'6. 6.'!F17-'6. 7.'!E17</f>
        <v>30.869999999999997</v>
      </c>
      <c r="G17" s="27">
        <f>E17+'6. 6.'!G17</f>
        <v>27.13000000000001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0.17+0.2</f>
        <v>0.37</v>
      </c>
      <c r="F18" s="27">
        <f>'6. 6.'!F18-'6. 7.'!E18</f>
        <v>38.830000000000005</v>
      </c>
      <c r="G18" s="27">
        <f>E18+'6. 6.'!G18</f>
        <v>1.17</v>
      </c>
      <c r="H18" s="67" t="s">
        <v>99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1.29</v>
      </c>
      <c r="F19" s="28">
        <f>SUM(F17:F18)</f>
        <v>69.7</v>
      </c>
      <c r="G19" s="28">
        <f>SUM(G17:G18)</f>
        <v>28.300000000000011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39CE-A3E2-46C3-A2AC-599E2254C0FB}">
  <sheetPr codeName="Sheet32">
    <pageSetUpPr fitToPage="1"/>
  </sheetPr>
  <dimension ref="B1:T19"/>
  <sheetViews>
    <sheetView workbookViewId="0">
      <selection activeCell="G7" sqref="G7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45085</v>
      </c>
      <c r="D3" s="91"/>
      <c r="E3" s="57" t="s">
        <v>25</v>
      </c>
      <c r="F3" s="2" t="s">
        <v>26</v>
      </c>
      <c r="G3" s="92" t="s">
        <v>34</v>
      </c>
      <c r="H3" s="93"/>
      <c r="I3" s="13">
        <v>32</v>
      </c>
      <c r="J3" s="94" t="s">
        <v>27</v>
      </c>
      <c r="K3" s="94"/>
      <c r="L3" s="14">
        <v>26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'6. 7.'!F6</f>
        <v>5113</v>
      </c>
      <c r="E6" s="2">
        <v>1</v>
      </c>
      <c r="F6" s="2">
        <f>D6-E6</f>
        <v>5112</v>
      </c>
      <c r="G6" s="4">
        <v>0.72712500000000002</v>
      </c>
      <c r="H6" s="4">
        <v>7.7</v>
      </c>
      <c r="I6" s="2">
        <f>D6*G6</f>
        <v>3717.790125</v>
      </c>
      <c r="J6" s="2">
        <v>2</v>
      </c>
      <c r="K6" s="2">
        <f>350+140+250+120</f>
        <v>860</v>
      </c>
      <c r="L6" s="4">
        <v>27.3</v>
      </c>
      <c r="M6" s="4">
        <v>8.42</v>
      </c>
      <c r="N6" s="4">
        <v>7.49</v>
      </c>
      <c r="O6" s="16">
        <v>1.1719999999999999</v>
      </c>
      <c r="P6" s="16">
        <v>0</v>
      </c>
      <c r="Q6" s="16">
        <v>2.8719999999999999</v>
      </c>
      <c r="R6" s="10" t="s">
        <v>110</v>
      </c>
    </row>
    <row r="7" spans="2:20" ht="33" x14ac:dyDescent="0.3">
      <c r="B7" s="1" t="s">
        <v>3</v>
      </c>
      <c r="C7" s="2" t="s">
        <v>16</v>
      </c>
      <c r="D7" s="2">
        <f>'6. 7.'!F7</f>
        <v>5219</v>
      </c>
      <c r="E7" s="2">
        <v>1</v>
      </c>
      <c r="F7" s="2">
        <f>D7-E7</f>
        <v>5218</v>
      </c>
      <c r="G7" s="4">
        <v>0.72712500000000002</v>
      </c>
      <c r="H7" s="4">
        <v>7.7</v>
      </c>
      <c r="I7" s="2">
        <f>D7*G7</f>
        <v>3794.8653750000003</v>
      </c>
      <c r="J7" s="2">
        <v>2</v>
      </c>
      <c r="K7" s="2">
        <f>400+160+370+190</f>
        <v>1120</v>
      </c>
      <c r="L7" s="4">
        <v>27.3</v>
      </c>
      <c r="M7" s="4">
        <v>8.4</v>
      </c>
      <c r="N7" s="4">
        <v>7.34</v>
      </c>
      <c r="O7" s="16">
        <v>1.145</v>
      </c>
      <c r="P7" s="16">
        <v>0</v>
      </c>
      <c r="Q7" s="16">
        <v>3.4990000000000001</v>
      </c>
      <c r="R7" s="10" t="s">
        <v>110</v>
      </c>
    </row>
    <row r="8" spans="2:20" x14ac:dyDescent="0.3">
      <c r="B8" s="1" t="s">
        <v>35</v>
      </c>
      <c r="C8" s="2"/>
      <c r="D8" s="2">
        <f>SUM(D6:D7)</f>
        <v>10332</v>
      </c>
      <c r="E8" s="2">
        <f t="shared" ref="E8:F8" si="0">SUM(E6:E7)</f>
        <v>2</v>
      </c>
      <c r="F8" s="2">
        <f t="shared" si="0"/>
        <v>10330</v>
      </c>
      <c r="G8" s="4">
        <f>AVERAGE(G6:G7)</f>
        <v>0.72712500000000002</v>
      </c>
      <c r="H8" s="4">
        <f>AVERAGE(H6:H7)</f>
        <v>7.7</v>
      </c>
      <c r="I8" s="2">
        <f>SUM(I6:I7)</f>
        <v>7512.6555000000008</v>
      </c>
      <c r="J8" s="2">
        <f>AVERAGE(J6:J7)</f>
        <v>2</v>
      </c>
      <c r="K8" s="2">
        <f>SUM(K6:K7)</f>
        <v>1980</v>
      </c>
      <c r="L8" s="4">
        <f>AVERAGE(L6:L7)</f>
        <v>27.3</v>
      </c>
      <c r="M8" s="4">
        <f t="shared" ref="M8:Q8" si="1">AVERAGE(M6:M7)</f>
        <v>8.41</v>
      </c>
      <c r="N8" s="4">
        <f t="shared" si="1"/>
        <v>7.415</v>
      </c>
      <c r="O8" s="4">
        <f t="shared" si="1"/>
        <v>1.1585000000000001</v>
      </c>
      <c r="P8" s="4">
        <f t="shared" si="1"/>
        <v>0</v>
      </c>
      <c r="Q8" s="4">
        <f t="shared" si="1"/>
        <v>3.1855000000000002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0.35+0.25+0.4+0.37</f>
        <v>1.37</v>
      </c>
      <c r="F17" s="27">
        <f>'6. 7.'!F17-'6. 8.'!E17</f>
        <v>29.499999999999996</v>
      </c>
      <c r="G17" s="27">
        <f>E17+'6. 7.'!G17</f>
        <v>28.500000000000011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0.14+0.16+0.13+0.19</f>
        <v>0.62000000000000011</v>
      </c>
      <c r="F18" s="27">
        <f>'6. 7.'!F18-'6. 8.'!E18</f>
        <v>38.210000000000008</v>
      </c>
      <c r="G18" s="27">
        <f>E18+'6. 7.'!G18</f>
        <v>1.79</v>
      </c>
      <c r="H18" s="67" t="s">
        <v>105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1.9900000000000002</v>
      </c>
      <c r="F19" s="28">
        <f>SUM(F17:F18)</f>
        <v>67.710000000000008</v>
      </c>
      <c r="G19" s="28">
        <f>SUM(G17:G18)</f>
        <v>30.29000000000001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6B0F-D6D7-448D-A492-A66AB4F69F2B}">
  <sheetPr codeName="Sheet33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45086</v>
      </c>
      <c r="D3" s="91"/>
      <c r="E3" s="57" t="s">
        <v>25</v>
      </c>
      <c r="F3" s="2" t="s">
        <v>106</v>
      </c>
      <c r="G3" s="92" t="s">
        <v>34</v>
      </c>
      <c r="H3" s="93"/>
      <c r="I3" s="13">
        <v>33</v>
      </c>
      <c r="J3" s="94" t="s">
        <v>27</v>
      </c>
      <c r="K3" s="94"/>
      <c r="L3" s="14">
        <v>27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ht="33" x14ac:dyDescent="0.3">
      <c r="B6" s="1" t="s">
        <v>2</v>
      </c>
      <c r="C6" s="2" t="s">
        <v>16</v>
      </c>
      <c r="D6" s="2">
        <f>'6. 8.'!F6</f>
        <v>5112</v>
      </c>
      <c r="E6" s="2">
        <v>7</v>
      </c>
      <c r="F6" s="2">
        <f>D6-E6</f>
        <v>5105</v>
      </c>
      <c r="G6" s="4">
        <v>0.72712500000000002</v>
      </c>
      <c r="H6" s="4">
        <v>7.7</v>
      </c>
      <c r="I6" s="2">
        <f>D6*G6</f>
        <v>3717.0630000000001</v>
      </c>
      <c r="J6" s="2">
        <v>1</v>
      </c>
      <c r="K6" s="2">
        <f>400+200</f>
        <v>600</v>
      </c>
      <c r="L6" s="4">
        <v>27</v>
      </c>
      <c r="M6" s="4">
        <v>8.43</v>
      </c>
      <c r="N6" s="4">
        <v>7.31</v>
      </c>
      <c r="O6" s="16">
        <v>0.97099999999999997</v>
      </c>
      <c r="P6" s="16">
        <v>0</v>
      </c>
      <c r="Q6" s="16">
        <v>3.742</v>
      </c>
      <c r="R6" s="10" t="s">
        <v>100</v>
      </c>
    </row>
    <row r="7" spans="2:20" x14ac:dyDescent="0.3">
      <c r="B7" s="1" t="s">
        <v>3</v>
      </c>
      <c r="C7" s="2" t="s">
        <v>16</v>
      </c>
      <c r="D7" s="2">
        <f>'6. 8.'!F7</f>
        <v>5218</v>
      </c>
      <c r="E7" s="2">
        <v>0</v>
      </c>
      <c r="F7" s="2">
        <f>D7-E7</f>
        <v>5218</v>
      </c>
      <c r="G7" s="4">
        <v>0.72712500000000002</v>
      </c>
      <c r="H7" s="4">
        <v>7.7</v>
      </c>
      <c r="I7" s="2">
        <f>D7*G7</f>
        <v>3794.13825</v>
      </c>
      <c r="J7" s="2">
        <v>1</v>
      </c>
      <c r="K7" s="2">
        <f>500+250</f>
        <v>750</v>
      </c>
      <c r="L7" s="4">
        <v>26.7</v>
      </c>
      <c r="M7" s="4">
        <v>8.43</v>
      </c>
      <c r="N7" s="4">
        <v>7.27</v>
      </c>
      <c r="O7" s="16">
        <v>1.27</v>
      </c>
      <c r="P7" s="16">
        <v>0</v>
      </c>
      <c r="Q7" s="16">
        <v>3.5219999999999998</v>
      </c>
      <c r="R7" s="10" t="s">
        <v>101</v>
      </c>
    </row>
    <row r="8" spans="2:20" x14ac:dyDescent="0.3">
      <c r="B8" s="1" t="s">
        <v>35</v>
      </c>
      <c r="C8" s="2"/>
      <c r="D8" s="2">
        <f>SUM(D6:D7)</f>
        <v>10330</v>
      </c>
      <c r="E8" s="2">
        <f t="shared" ref="E8:F8" si="0">SUM(E6:E7)</f>
        <v>7</v>
      </c>
      <c r="F8" s="2">
        <f t="shared" si="0"/>
        <v>10323</v>
      </c>
      <c r="G8" s="4">
        <f>AVERAGE(G6:G7)</f>
        <v>0.72712500000000002</v>
      </c>
      <c r="H8" s="4">
        <f>AVERAGE(H6:H7)</f>
        <v>7.7</v>
      </c>
      <c r="I8" s="2">
        <f>SUM(I6:I7)</f>
        <v>7511.2012500000001</v>
      </c>
      <c r="J8" s="2">
        <f>AVERAGE(J6:J7)</f>
        <v>1</v>
      </c>
      <c r="K8" s="2">
        <f>SUM(K6:K7)</f>
        <v>1350</v>
      </c>
      <c r="L8" s="4">
        <f>AVERAGE(L6:L7)</f>
        <v>26.85</v>
      </c>
      <c r="M8" s="4">
        <f t="shared" ref="M8:Q8" si="1">AVERAGE(M6:M7)</f>
        <v>8.43</v>
      </c>
      <c r="N8" s="4">
        <f t="shared" si="1"/>
        <v>7.2899999999999991</v>
      </c>
      <c r="O8" s="4">
        <f t="shared" si="1"/>
        <v>1.1205000000000001</v>
      </c>
      <c r="P8" s="4">
        <f t="shared" si="1"/>
        <v>0</v>
      </c>
      <c r="Q8" s="4">
        <f t="shared" si="1"/>
        <v>3.6319999999999997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 t="s">
        <v>115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0.4+0.5</f>
        <v>0.9</v>
      </c>
      <c r="F17" s="27">
        <f>'6. 8.'!F17-'6. 9.'!E17</f>
        <v>28.599999999999998</v>
      </c>
      <c r="G17" s="27">
        <f>E17+'6. 8.'!G17</f>
        <v>29.400000000000009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0.2+0.25</f>
        <v>0.45</v>
      </c>
      <c r="F18" s="27">
        <f>'6. 8.'!F18-'6. 9.'!E18</f>
        <v>37.760000000000005</v>
      </c>
      <c r="G18" s="27">
        <f>E18+'6. 8.'!G18</f>
        <v>2.2400000000000002</v>
      </c>
      <c r="H18" s="67" t="s">
        <v>105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1.35</v>
      </c>
      <c r="F19" s="28">
        <f>SUM(F17:F18)</f>
        <v>66.36</v>
      </c>
      <c r="G19" s="28">
        <f>SUM(G17:G18)</f>
        <v>31.640000000000008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D6FE-7A73-44EF-B5A6-C2A5C11C11B3}">
  <sheetPr codeName="Sheet34"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45087</v>
      </c>
      <c r="D3" s="91"/>
      <c r="E3" s="57" t="s">
        <v>25</v>
      </c>
      <c r="F3" s="2" t="s">
        <v>77</v>
      </c>
      <c r="G3" s="92" t="s">
        <v>34</v>
      </c>
      <c r="H3" s="93"/>
      <c r="I3" s="13">
        <v>34</v>
      </c>
      <c r="J3" s="94" t="s">
        <v>27</v>
      </c>
      <c r="K3" s="94"/>
      <c r="L3" s="14">
        <v>28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9.'!F6</f>
        <v>5105</v>
      </c>
      <c r="E6" s="2">
        <v>1</v>
      </c>
      <c r="F6" s="2">
        <f>D6-E6</f>
        <v>5104</v>
      </c>
      <c r="G6" s="4">
        <v>0.72712500000000002</v>
      </c>
      <c r="H6" s="4">
        <v>7.7</v>
      </c>
      <c r="I6" s="2">
        <f>D6*G6</f>
        <v>3711.973125</v>
      </c>
      <c r="J6" s="2">
        <v>2</v>
      </c>
      <c r="K6" s="2">
        <f>300+180+340+210</f>
        <v>1030</v>
      </c>
      <c r="L6" s="4">
        <v>27.2</v>
      </c>
      <c r="M6" s="4">
        <v>8.3000000000000007</v>
      </c>
      <c r="N6" s="4">
        <v>7.37</v>
      </c>
      <c r="O6" s="16">
        <v>0.89</v>
      </c>
      <c r="P6" s="16">
        <v>0</v>
      </c>
      <c r="Q6" s="16">
        <v>3.31</v>
      </c>
      <c r="R6" s="10" t="s">
        <v>107</v>
      </c>
    </row>
    <row r="7" spans="2:20" x14ac:dyDescent="0.3">
      <c r="B7" s="1" t="s">
        <v>3</v>
      </c>
      <c r="C7" s="2" t="s">
        <v>16</v>
      </c>
      <c r="D7" s="2">
        <f>'6. 9.'!F7</f>
        <v>5218</v>
      </c>
      <c r="E7" s="2">
        <v>0</v>
      </c>
      <c r="F7" s="2">
        <f>D7-E7</f>
        <v>5218</v>
      </c>
      <c r="G7" s="4">
        <v>0.72712500000000002</v>
      </c>
      <c r="H7" s="4">
        <v>7.7</v>
      </c>
      <c r="I7" s="2">
        <f>D7*G7</f>
        <v>3794.13825</v>
      </c>
      <c r="J7" s="2">
        <v>2</v>
      </c>
      <c r="K7" s="2">
        <f>350+210+250+210</f>
        <v>1020</v>
      </c>
      <c r="L7" s="4">
        <v>26.7</v>
      </c>
      <c r="M7" s="4">
        <v>8.33</v>
      </c>
      <c r="N7" s="4">
        <v>7.22</v>
      </c>
      <c r="O7" s="16">
        <v>1.3029999999999999</v>
      </c>
      <c r="P7" s="16">
        <v>0</v>
      </c>
      <c r="Q7" s="16">
        <v>5.8860000000000001</v>
      </c>
      <c r="R7" s="10"/>
    </row>
    <row r="8" spans="2:20" x14ac:dyDescent="0.3">
      <c r="B8" s="1" t="s">
        <v>35</v>
      </c>
      <c r="C8" s="2"/>
      <c r="D8" s="2">
        <f>SUM(D6:D7)</f>
        <v>10323</v>
      </c>
      <c r="E8" s="2">
        <f t="shared" ref="E8:F8" si="0">SUM(E6:E7)</f>
        <v>1</v>
      </c>
      <c r="F8" s="2">
        <f t="shared" si="0"/>
        <v>10322</v>
      </c>
      <c r="G8" s="4">
        <f>AVERAGE(G6:G7)</f>
        <v>0.72712500000000002</v>
      </c>
      <c r="H8" s="4">
        <f>AVERAGE(H6:H7)</f>
        <v>7.7</v>
      </c>
      <c r="I8" s="2">
        <f>SUM(I6:I7)</f>
        <v>7506.1113750000004</v>
      </c>
      <c r="J8" s="2">
        <f>AVERAGE(J6:J7)</f>
        <v>2</v>
      </c>
      <c r="K8" s="2">
        <f>SUM(K6:K7)</f>
        <v>2050</v>
      </c>
      <c r="L8" s="4">
        <f>AVERAGE(L6:L7)</f>
        <v>26.95</v>
      </c>
      <c r="M8" s="4">
        <f t="shared" ref="M8:Q8" si="1">AVERAGE(M6:M7)</f>
        <v>8.3150000000000013</v>
      </c>
      <c r="N8" s="4">
        <f t="shared" si="1"/>
        <v>7.2949999999999999</v>
      </c>
      <c r="O8" s="4">
        <f t="shared" si="1"/>
        <v>1.0965</v>
      </c>
      <c r="P8" s="4">
        <f t="shared" si="1"/>
        <v>0</v>
      </c>
      <c r="Q8" s="4">
        <f t="shared" si="1"/>
        <v>4.5979999999999999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0.3+0.35+0.34+0.35</f>
        <v>1.3399999999999999</v>
      </c>
      <c r="F17" s="27">
        <f>'6. 9.'!F17-'6. 10.'!E17</f>
        <v>27.259999999999998</v>
      </c>
      <c r="G17" s="27">
        <f>E17+'6. 9.'!G17</f>
        <v>30.740000000000009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0.2+0.25</f>
        <v>0.45</v>
      </c>
      <c r="F18" s="27">
        <f>'6. 9.'!F18-'6. 10.'!E18</f>
        <v>37.31</v>
      </c>
      <c r="G18" s="27">
        <f>E18+'6. 9.'!G18</f>
        <v>2.6900000000000004</v>
      </c>
      <c r="H18" s="67" t="s">
        <v>108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1.7899999999999998</v>
      </c>
      <c r="F19" s="28">
        <f>SUM(F17:F18)</f>
        <v>64.569999999999993</v>
      </c>
      <c r="G19" s="28">
        <f>SUM(G17:G18)</f>
        <v>33.430000000000007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3E48-CD68-4DD7-AFE0-DDF4404CB3B1}">
  <sheetPr codeName="Sheet35">
    <pageSetUpPr fitToPage="1"/>
  </sheetPr>
  <dimension ref="B1:T19"/>
  <sheetViews>
    <sheetView workbookViewId="0">
      <selection activeCell="G8" sqref="G8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45088</v>
      </c>
      <c r="D3" s="91"/>
      <c r="E3" s="57" t="s">
        <v>25</v>
      </c>
      <c r="F3" s="2" t="s">
        <v>109</v>
      </c>
      <c r="G3" s="92" t="s">
        <v>34</v>
      </c>
      <c r="H3" s="93"/>
      <c r="I3" s="13">
        <v>35</v>
      </c>
      <c r="J3" s="94" t="s">
        <v>27</v>
      </c>
      <c r="K3" s="94"/>
      <c r="L3" s="14">
        <v>29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10.'!F6</f>
        <v>5104</v>
      </c>
      <c r="E6" s="2">
        <v>0</v>
      </c>
      <c r="F6" s="2">
        <f>D6-E6</f>
        <v>5104</v>
      </c>
      <c r="G6" s="4">
        <v>1.3</v>
      </c>
      <c r="H6" s="4">
        <v>9.9666669999999993</v>
      </c>
      <c r="I6" s="2">
        <f>D6*G6</f>
        <v>6635.2</v>
      </c>
      <c r="J6" s="2">
        <v>2</v>
      </c>
      <c r="K6" s="2">
        <f>200+160+200+180</f>
        <v>740</v>
      </c>
      <c r="L6" s="4">
        <v>26.9</v>
      </c>
      <c r="M6" s="4">
        <v>8.14</v>
      </c>
      <c r="N6" s="4">
        <v>7.34</v>
      </c>
      <c r="O6" s="16">
        <v>1.0960000000000001</v>
      </c>
      <c r="P6" s="16">
        <v>0</v>
      </c>
      <c r="Q6" s="16">
        <v>3.605</v>
      </c>
      <c r="R6" s="10"/>
    </row>
    <row r="7" spans="2:20" x14ac:dyDescent="0.3">
      <c r="B7" s="1" t="s">
        <v>3</v>
      </c>
      <c r="C7" s="2" t="s">
        <v>16</v>
      </c>
      <c r="D7" s="2">
        <f>'6. 10.'!F7</f>
        <v>5218</v>
      </c>
      <c r="E7" s="2">
        <v>0</v>
      </c>
      <c r="F7" s="2">
        <f>D7-E7</f>
        <v>5218</v>
      </c>
      <c r="G7" s="4">
        <v>1.3</v>
      </c>
      <c r="H7" s="4">
        <v>9.9666669999999993</v>
      </c>
      <c r="I7" s="2">
        <f>D7*G7</f>
        <v>6783.4000000000005</v>
      </c>
      <c r="J7" s="2">
        <v>2</v>
      </c>
      <c r="K7" s="2">
        <f>200+160+200+180</f>
        <v>740</v>
      </c>
      <c r="L7" s="4">
        <v>27</v>
      </c>
      <c r="M7" s="4">
        <v>8.35</v>
      </c>
      <c r="N7" s="4">
        <v>7.15</v>
      </c>
      <c r="O7" s="16">
        <v>1.472</v>
      </c>
      <c r="P7" s="16">
        <v>0</v>
      </c>
      <c r="Q7" s="16">
        <v>3.4340000000000002</v>
      </c>
      <c r="R7" s="10"/>
    </row>
    <row r="8" spans="2:20" x14ac:dyDescent="0.3">
      <c r="B8" s="1" t="s">
        <v>35</v>
      </c>
      <c r="C8" s="2"/>
      <c r="D8" s="2">
        <f>SUM(D6:D7)</f>
        <v>10322</v>
      </c>
      <c r="E8" s="2">
        <f t="shared" ref="E8:F8" si="0">SUM(E6:E7)</f>
        <v>0</v>
      </c>
      <c r="F8" s="2">
        <f t="shared" si="0"/>
        <v>10322</v>
      </c>
      <c r="G8" s="4">
        <f>AVERAGE(G6:G7)</f>
        <v>1.3</v>
      </c>
      <c r="H8" s="4">
        <f>AVERAGE(H6:H7)</f>
        <v>9.9666669999999993</v>
      </c>
      <c r="I8" s="2">
        <f>SUM(I6:I7)</f>
        <v>13418.6</v>
      </c>
      <c r="J8" s="2">
        <f>AVERAGE(J6:J7)</f>
        <v>2</v>
      </c>
      <c r="K8" s="2">
        <f>SUM(K6:K7)</f>
        <v>1480</v>
      </c>
      <c r="L8" s="4">
        <f>AVERAGE(L6:L7)</f>
        <v>26.95</v>
      </c>
      <c r="M8" s="4">
        <f t="shared" ref="M8:Q8" si="1">AVERAGE(M6:M7)</f>
        <v>8.245000000000001</v>
      </c>
      <c r="N8" s="4">
        <f t="shared" si="1"/>
        <v>7.2450000000000001</v>
      </c>
      <c r="O8" s="4">
        <f t="shared" si="1"/>
        <v>1.284</v>
      </c>
      <c r="P8" s="4">
        <f t="shared" si="1"/>
        <v>0</v>
      </c>
      <c r="Q8" s="4">
        <f t="shared" si="1"/>
        <v>3.5194999999999999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121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0.2*4</f>
        <v>0.8</v>
      </c>
      <c r="F17" s="27">
        <f>'6. 10.'!F17-'6. 11.'!E17</f>
        <v>26.459999999999997</v>
      </c>
      <c r="G17" s="27">
        <f>E17+'6. 10.'!G17</f>
        <v>31.54000000000001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0.16+0.16+0.18+0.18</f>
        <v>0.67999999999999994</v>
      </c>
      <c r="F18" s="27">
        <f>'6. 10.'!F18-'6. 11.'!E18</f>
        <v>36.630000000000003</v>
      </c>
      <c r="G18" s="27">
        <f>E18+'6. 10.'!G18</f>
        <v>3.37</v>
      </c>
      <c r="H18" s="67" t="s">
        <v>108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1.48</v>
      </c>
      <c r="F19" s="28">
        <f>SUM(F17:F18)</f>
        <v>63.09</v>
      </c>
      <c r="G19" s="28">
        <f>SUM(G17:G18)</f>
        <v>34.910000000000011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27F8-02D2-486F-B882-1E5CD5E1E9D2}">
  <sheetPr codeName="Sheet36">
    <pageSetUpPr fitToPage="1"/>
  </sheetPr>
  <dimension ref="B1:T19"/>
  <sheetViews>
    <sheetView workbookViewId="0">
      <selection activeCell="U2" sqref="U2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58" t="s">
        <v>1</v>
      </c>
      <c r="C3" s="91">
        <v>45089</v>
      </c>
      <c r="D3" s="91"/>
      <c r="E3" s="57" t="s">
        <v>25</v>
      </c>
      <c r="F3" s="2" t="s">
        <v>26</v>
      </c>
      <c r="G3" s="92" t="s">
        <v>34</v>
      </c>
      <c r="H3" s="93"/>
      <c r="I3" s="13">
        <v>36</v>
      </c>
      <c r="J3" s="94" t="s">
        <v>27</v>
      </c>
      <c r="K3" s="94"/>
      <c r="L3" s="14">
        <v>30</v>
      </c>
      <c r="M3" s="11"/>
      <c r="N3" s="2"/>
      <c r="O3" s="56"/>
      <c r="P3" s="56"/>
      <c r="Q3" s="56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58" t="s">
        <v>1</v>
      </c>
      <c r="C5" s="57" t="s">
        <v>15</v>
      </c>
      <c r="D5" s="57" t="s">
        <v>64</v>
      </c>
      <c r="E5" s="57" t="s">
        <v>19</v>
      </c>
      <c r="F5" s="57" t="s">
        <v>37</v>
      </c>
      <c r="G5" s="57" t="s">
        <v>18</v>
      </c>
      <c r="H5" s="57" t="s">
        <v>30</v>
      </c>
      <c r="I5" s="57" t="s">
        <v>28</v>
      </c>
      <c r="J5" s="57" t="s">
        <v>21</v>
      </c>
      <c r="K5" s="57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11.'!F6</f>
        <v>5104</v>
      </c>
      <c r="E6" s="2">
        <v>0</v>
      </c>
      <c r="F6" s="2">
        <f>D6-E6</f>
        <v>5104</v>
      </c>
      <c r="G6" s="4">
        <v>1.318333</v>
      </c>
      <c r="H6" s="4">
        <v>9.9666669999999993</v>
      </c>
      <c r="I6" s="2">
        <f>D6*G6</f>
        <v>6728.771632</v>
      </c>
      <c r="J6" s="2">
        <v>2</v>
      </c>
      <c r="K6" s="2">
        <f>200+200+300</f>
        <v>700</v>
      </c>
      <c r="L6" s="4">
        <v>26.7</v>
      </c>
      <c r="M6" s="4">
        <v>8.25</v>
      </c>
      <c r="N6" s="4">
        <v>7.46</v>
      </c>
      <c r="O6" s="16">
        <v>1.2350000000000001</v>
      </c>
      <c r="P6" s="16">
        <v>0</v>
      </c>
      <c r="Q6" s="16">
        <v>1.766</v>
      </c>
      <c r="R6" s="10"/>
    </row>
    <row r="7" spans="2:20" x14ac:dyDescent="0.3">
      <c r="B7" s="1" t="s">
        <v>3</v>
      </c>
      <c r="C7" s="2" t="s">
        <v>16</v>
      </c>
      <c r="D7" s="2">
        <f>'6. 11.'!F7</f>
        <v>5218</v>
      </c>
      <c r="E7" s="2">
        <v>0</v>
      </c>
      <c r="F7" s="2">
        <f>D7-E7</f>
        <v>5218</v>
      </c>
      <c r="G7" s="4">
        <v>1.318333</v>
      </c>
      <c r="H7" s="4">
        <v>9.9666669999999993</v>
      </c>
      <c r="I7" s="2">
        <f>D7*G7</f>
        <v>6879.0615939999998</v>
      </c>
      <c r="J7" s="2">
        <v>2</v>
      </c>
      <c r="K7" s="2">
        <f>200+200+300</f>
        <v>700</v>
      </c>
      <c r="L7" s="4">
        <v>27.2</v>
      </c>
      <c r="M7" s="4">
        <v>8.2799999999999994</v>
      </c>
      <c r="N7" s="4">
        <v>7.26</v>
      </c>
      <c r="O7" s="16">
        <v>1.665</v>
      </c>
      <c r="P7" s="16">
        <v>0</v>
      </c>
      <c r="Q7" s="16">
        <v>2.5499999999999998</v>
      </c>
      <c r="R7" s="10"/>
    </row>
    <row r="8" spans="2:20" x14ac:dyDescent="0.3">
      <c r="B8" s="1" t="s">
        <v>35</v>
      </c>
      <c r="C8" s="2"/>
      <c r="D8" s="2">
        <f>SUM(D6:D7)</f>
        <v>10322</v>
      </c>
      <c r="E8" s="2">
        <f t="shared" ref="E8:F8" si="0">SUM(E6:E7)</f>
        <v>0</v>
      </c>
      <c r="F8" s="2">
        <f t="shared" si="0"/>
        <v>10322</v>
      </c>
      <c r="G8" s="4">
        <f>AVERAGE(G6:G7)</f>
        <v>1.318333</v>
      </c>
      <c r="H8" s="4">
        <f>AVERAGE(H6:H7)</f>
        <v>9.9666669999999993</v>
      </c>
      <c r="I8" s="2">
        <f>SUM(I6:I7)</f>
        <v>13607.833225999999</v>
      </c>
      <c r="J8" s="2">
        <f>AVERAGE(J6:J7)</f>
        <v>2</v>
      </c>
      <c r="K8" s="2">
        <f>SUM(K6:K7)</f>
        <v>1400</v>
      </c>
      <c r="L8" s="4">
        <f t="shared" ref="L8:Q8" si="1">AVERAGE(L6:L7)</f>
        <v>26.95</v>
      </c>
      <c r="M8" s="4">
        <f t="shared" si="1"/>
        <v>8.2650000000000006</v>
      </c>
      <c r="N8" s="4">
        <f t="shared" si="1"/>
        <v>7.3599999999999994</v>
      </c>
      <c r="O8" s="4">
        <f t="shared" si="1"/>
        <v>1.4500000000000002</v>
      </c>
      <c r="P8" s="4">
        <f t="shared" si="1"/>
        <v>0</v>
      </c>
      <c r="Q8" s="4">
        <f t="shared" si="1"/>
        <v>2.1579999999999999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f>0.2*2</f>
        <v>0.4</v>
      </c>
      <c r="F17" s="27">
        <f>'6. 11.'!F17-'6. 12.'!E17</f>
        <v>26.06</v>
      </c>
      <c r="G17" s="27">
        <f>E17+'6. 11.'!G17</f>
        <v>31.940000000000008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0.2+0.2+0.3+0.3</f>
        <v>1</v>
      </c>
      <c r="F18" s="27">
        <f>'6. 11.'!F18-'6. 12.'!E18</f>
        <v>35.630000000000003</v>
      </c>
      <c r="G18" s="27">
        <f>E18+'6. 11.'!G18</f>
        <v>4.37</v>
      </c>
      <c r="H18" s="67" t="s">
        <v>116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1.4</v>
      </c>
      <c r="F19" s="28">
        <f>SUM(F17:F18)</f>
        <v>61.69</v>
      </c>
      <c r="G19" s="28">
        <f>SUM(G17:G18)</f>
        <v>36.310000000000009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3F36-9FB7-4FD6-91EB-B9D3923C79A8}">
  <sheetPr>
    <pageSetUpPr fitToPage="1"/>
  </sheetPr>
  <dimension ref="B1:T19"/>
  <sheetViews>
    <sheetView workbookViewId="0">
      <selection activeCell="U8" sqref="U8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61" t="s">
        <v>1</v>
      </c>
      <c r="C3" s="91">
        <v>45090</v>
      </c>
      <c r="D3" s="91"/>
      <c r="E3" s="60" t="s">
        <v>25</v>
      </c>
      <c r="F3" s="2" t="s">
        <v>26</v>
      </c>
      <c r="G3" s="92" t="s">
        <v>34</v>
      </c>
      <c r="H3" s="93"/>
      <c r="I3" s="13">
        <v>37</v>
      </c>
      <c r="J3" s="94" t="s">
        <v>27</v>
      </c>
      <c r="K3" s="94"/>
      <c r="L3" s="14">
        <v>31</v>
      </c>
      <c r="M3" s="11"/>
      <c r="N3" s="2"/>
      <c r="O3" s="59"/>
      <c r="P3" s="59"/>
      <c r="Q3" s="59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61" t="s">
        <v>1</v>
      </c>
      <c r="C5" s="60" t="s">
        <v>15</v>
      </c>
      <c r="D5" s="60" t="s">
        <v>64</v>
      </c>
      <c r="E5" s="60" t="s">
        <v>19</v>
      </c>
      <c r="F5" s="60" t="s">
        <v>37</v>
      </c>
      <c r="G5" s="60" t="s">
        <v>18</v>
      </c>
      <c r="H5" s="60" t="s">
        <v>30</v>
      </c>
      <c r="I5" s="60" t="s">
        <v>28</v>
      </c>
      <c r="J5" s="60" t="s">
        <v>21</v>
      </c>
      <c r="K5" s="60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12.'!F6</f>
        <v>5104</v>
      </c>
      <c r="E6" s="2">
        <v>2</v>
      </c>
      <c r="F6" s="2">
        <f>D6-E6</f>
        <v>5102</v>
      </c>
      <c r="G6" s="4">
        <v>1.318333</v>
      </c>
      <c r="H6" s="4">
        <v>9.9666669999999993</v>
      </c>
      <c r="I6" s="2">
        <f>F6*G6</f>
        <v>6726.1349659999996</v>
      </c>
      <c r="J6" s="2">
        <v>2</v>
      </c>
      <c r="K6" s="2">
        <f>250+300</f>
        <v>550</v>
      </c>
      <c r="L6" s="4" t="s">
        <v>120</v>
      </c>
      <c r="M6" s="4">
        <v>8.32</v>
      </c>
      <c r="N6" s="4">
        <v>7.4</v>
      </c>
      <c r="O6" s="16">
        <v>1.1879999999999999</v>
      </c>
      <c r="P6" s="16">
        <v>0</v>
      </c>
      <c r="Q6" s="16">
        <v>3.6</v>
      </c>
      <c r="R6" s="10"/>
    </row>
    <row r="7" spans="2:20" x14ac:dyDescent="0.3">
      <c r="B7" s="1" t="s">
        <v>3</v>
      </c>
      <c r="C7" s="2" t="s">
        <v>16</v>
      </c>
      <c r="D7" s="2">
        <f>'6. 12.'!F7</f>
        <v>5218</v>
      </c>
      <c r="E7" s="2">
        <v>0</v>
      </c>
      <c r="F7" s="2">
        <f>D7-E7</f>
        <v>5218</v>
      </c>
      <c r="G7" s="4">
        <v>1.318333</v>
      </c>
      <c r="H7" s="4">
        <v>9.9666669999999993</v>
      </c>
      <c r="I7" s="2">
        <f>F7*G7</f>
        <v>6879.0615939999998</v>
      </c>
      <c r="J7" s="2">
        <v>2</v>
      </c>
      <c r="K7" s="2">
        <f>250+300</f>
        <v>550</v>
      </c>
      <c r="L7" s="4" t="s">
        <v>120</v>
      </c>
      <c r="M7" s="4">
        <v>8.3699999999999992</v>
      </c>
      <c r="N7" s="4">
        <v>7.23</v>
      </c>
      <c r="O7" s="16">
        <v>1.292</v>
      </c>
      <c r="P7" s="16">
        <v>0</v>
      </c>
      <c r="Q7" s="16">
        <v>3.5819999999999999</v>
      </c>
      <c r="R7" s="10"/>
    </row>
    <row r="8" spans="2:20" x14ac:dyDescent="0.3">
      <c r="B8" s="1" t="s">
        <v>35</v>
      </c>
      <c r="C8" s="2"/>
      <c r="D8" s="2">
        <f>SUM(D6:D7)</f>
        <v>10322</v>
      </c>
      <c r="E8" s="2">
        <f t="shared" ref="E8:F8" si="0">SUM(E6:E7)</f>
        <v>2</v>
      </c>
      <c r="F8" s="2">
        <f t="shared" si="0"/>
        <v>10320</v>
      </c>
      <c r="G8" s="4">
        <f>AVERAGE(G6:G7)</f>
        <v>1.318333</v>
      </c>
      <c r="H8" s="4">
        <f>AVERAGE(H6:H7)</f>
        <v>9.9666669999999993</v>
      </c>
      <c r="I8" s="2">
        <f>SUM(I6:I7)</f>
        <v>13605.19656</v>
      </c>
      <c r="J8" s="2">
        <f>AVERAGE(J6:J7)</f>
        <v>2</v>
      </c>
      <c r="K8" s="2">
        <f>SUM(K6:K7)</f>
        <v>1100</v>
      </c>
      <c r="L8" s="4" t="s">
        <v>120</v>
      </c>
      <c r="M8" s="4">
        <f t="shared" ref="M8:Q8" si="1">AVERAGE(M6:M7)</f>
        <v>8.3449999999999989</v>
      </c>
      <c r="N8" s="4">
        <f t="shared" si="1"/>
        <v>7.3150000000000004</v>
      </c>
      <c r="O8" s="4">
        <f t="shared" si="1"/>
        <v>1.24</v>
      </c>
      <c r="P8" s="4">
        <f t="shared" si="1"/>
        <v>0</v>
      </c>
      <c r="Q8" s="4">
        <f t="shared" si="1"/>
        <v>3.5910000000000002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104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</v>
      </c>
      <c r="F17" s="27">
        <f>'6. 12.'!F17-'6. 13.'!E17</f>
        <v>26.06</v>
      </c>
      <c r="G17" s="27">
        <f>E17+'6. 12.'!G17</f>
        <v>31.940000000000008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f>0.25*2+0.3*2</f>
        <v>1.1000000000000001</v>
      </c>
      <c r="F18" s="27">
        <f>'6. 12.'!F18-'6. 13.'!E18</f>
        <v>34.53</v>
      </c>
      <c r="G18" s="27">
        <f>E18+'6. 12.'!G18</f>
        <v>5.4700000000000006</v>
      </c>
      <c r="H18" s="67" t="s">
        <v>117</v>
      </c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1.1000000000000001</v>
      </c>
      <c r="F19" s="28">
        <f>SUM(F17:F18)</f>
        <v>60.59</v>
      </c>
      <c r="G19" s="28">
        <f>SUM(G17:G18)</f>
        <v>37.410000000000011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8F17-4BA7-419A-BC6E-3741B1C85075}">
  <sheetPr>
    <pageSetUpPr fitToPage="1"/>
  </sheetPr>
  <dimension ref="B1:T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61" t="s">
        <v>1</v>
      </c>
      <c r="C3" s="91">
        <v>45091</v>
      </c>
      <c r="D3" s="91"/>
      <c r="E3" s="60" t="s">
        <v>25</v>
      </c>
      <c r="F3" s="2" t="s">
        <v>77</v>
      </c>
      <c r="G3" s="92" t="s">
        <v>34</v>
      </c>
      <c r="H3" s="93"/>
      <c r="I3" s="13">
        <v>38</v>
      </c>
      <c r="J3" s="94" t="s">
        <v>27</v>
      </c>
      <c r="K3" s="94"/>
      <c r="L3" s="14">
        <v>32</v>
      </c>
      <c r="M3" s="11"/>
      <c r="N3" s="2"/>
      <c r="O3" s="59"/>
      <c r="P3" s="59"/>
      <c r="Q3" s="59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61" t="s">
        <v>1</v>
      </c>
      <c r="C5" s="60" t="s">
        <v>15</v>
      </c>
      <c r="D5" s="60" t="s">
        <v>64</v>
      </c>
      <c r="E5" s="60" t="s">
        <v>19</v>
      </c>
      <c r="F5" s="60" t="s">
        <v>37</v>
      </c>
      <c r="G5" s="60" t="s">
        <v>18</v>
      </c>
      <c r="H5" s="60" t="s">
        <v>30</v>
      </c>
      <c r="I5" s="60" t="s">
        <v>28</v>
      </c>
      <c r="J5" s="60" t="s">
        <v>21</v>
      </c>
      <c r="K5" s="60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13.'!F6</f>
        <v>5102</v>
      </c>
      <c r="E6" s="2">
        <v>3</v>
      </c>
      <c r="F6" s="2">
        <f>D6-E6</f>
        <v>5099</v>
      </c>
      <c r="G6" s="4">
        <v>1.318333</v>
      </c>
      <c r="H6" s="4">
        <v>9.9666669999999993</v>
      </c>
      <c r="I6" s="2">
        <f>F6*G6</f>
        <v>6722.179967</v>
      </c>
      <c r="J6" s="2">
        <v>0</v>
      </c>
      <c r="K6" s="2">
        <v>0</v>
      </c>
      <c r="L6" s="4" t="s">
        <v>119</v>
      </c>
      <c r="M6" s="4">
        <v>8.35</v>
      </c>
      <c r="N6" s="4">
        <v>7.35</v>
      </c>
      <c r="O6" s="16">
        <v>1.956</v>
      </c>
      <c r="P6" s="16">
        <v>0</v>
      </c>
      <c r="Q6" s="16">
        <v>3.403</v>
      </c>
      <c r="R6" s="10"/>
    </row>
    <row r="7" spans="2:20" x14ac:dyDescent="0.3">
      <c r="B7" s="1" t="s">
        <v>3</v>
      </c>
      <c r="C7" s="2" t="s">
        <v>16</v>
      </c>
      <c r="D7" s="2">
        <f>'6. 13.'!F7</f>
        <v>5218</v>
      </c>
      <c r="E7" s="2">
        <v>0</v>
      </c>
      <c r="F7" s="2">
        <f>D7-E7</f>
        <v>5218</v>
      </c>
      <c r="G7" s="4">
        <v>1.318333</v>
      </c>
      <c r="H7" s="4">
        <v>9.9666669999999993</v>
      </c>
      <c r="I7" s="2">
        <f>F7*G7</f>
        <v>6879.0615939999998</v>
      </c>
      <c r="J7" s="2">
        <v>0</v>
      </c>
      <c r="K7" s="2">
        <v>0</v>
      </c>
      <c r="L7" s="4" t="s">
        <v>119</v>
      </c>
      <c r="M7" s="4">
        <v>8.3699999999999992</v>
      </c>
      <c r="N7" s="4">
        <v>7.17</v>
      </c>
      <c r="O7" s="16">
        <v>2.1589999999999998</v>
      </c>
      <c r="P7" s="16">
        <v>0</v>
      </c>
      <c r="Q7" s="16">
        <v>3.7290000000000001</v>
      </c>
      <c r="R7" s="10"/>
    </row>
    <row r="8" spans="2:20" x14ac:dyDescent="0.3">
      <c r="B8" s="1" t="s">
        <v>35</v>
      </c>
      <c r="C8" s="2"/>
      <c r="D8" s="2">
        <f>SUM(D6:D7)</f>
        <v>10320</v>
      </c>
      <c r="E8" s="2">
        <f t="shared" ref="E8:F8" si="0">SUM(E6:E7)</f>
        <v>3</v>
      </c>
      <c r="F8" s="2">
        <f t="shared" si="0"/>
        <v>10317</v>
      </c>
      <c r="G8" s="4">
        <f>AVERAGE(G6:G7)</f>
        <v>1.318333</v>
      </c>
      <c r="H8" s="4">
        <f>AVERAGE(H6:H7)</f>
        <v>9.9666669999999993</v>
      </c>
      <c r="I8" s="2">
        <f>SUM(I6:I7)</f>
        <v>13601.241560999999</v>
      </c>
      <c r="J8" s="2">
        <f>AVERAGE(J6:J7)</f>
        <v>0</v>
      </c>
      <c r="K8" s="2">
        <f>SUM(K6:K7)</f>
        <v>0</v>
      </c>
      <c r="L8" s="4" t="s">
        <v>119</v>
      </c>
      <c r="M8" s="4">
        <f t="shared" ref="M8:Q8" si="1">AVERAGE(M6:M7)</f>
        <v>8.36</v>
      </c>
      <c r="N8" s="4">
        <f t="shared" si="1"/>
        <v>7.26</v>
      </c>
      <c r="O8" s="4">
        <f t="shared" si="1"/>
        <v>2.0575000000000001</v>
      </c>
      <c r="P8" s="4">
        <f t="shared" si="1"/>
        <v>0</v>
      </c>
      <c r="Q8" s="4">
        <f t="shared" si="1"/>
        <v>3.5659999999999998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118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</v>
      </c>
      <c r="F17" s="27">
        <f>'6. 13.'!F17-'6. 14.'!E17</f>
        <v>26.06</v>
      </c>
      <c r="G17" s="27">
        <f>E17+'6. 13.'!G17</f>
        <v>31.940000000000008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f>'6. 13.'!F18-'6. 14.'!E18</f>
        <v>34.53</v>
      </c>
      <c r="G18" s="27">
        <f>E18+'6. 13.'!G18</f>
        <v>5.4700000000000006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</v>
      </c>
      <c r="F19" s="28">
        <f>SUM(F17:F18)</f>
        <v>60.59</v>
      </c>
      <c r="G19" s="28">
        <f>SUM(G17:G18)</f>
        <v>37.410000000000011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D9E4-C1FF-4C24-95C5-A7BA8AC59088}">
  <sheetPr>
    <pageSetUpPr fitToPage="1"/>
  </sheetPr>
  <dimension ref="B1:W21"/>
  <sheetViews>
    <sheetView topLeftCell="B1" workbookViewId="0">
      <selection activeCell="R23" sqref="R2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9.62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61" t="s">
        <v>1</v>
      </c>
      <c r="C3" s="91">
        <v>45092</v>
      </c>
      <c r="D3" s="91"/>
      <c r="E3" s="60" t="s">
        <v>25</v>
      </c>
      <c r="F3" s="2" t="s">
        <v>77</v>
      </c>
      <c r="G3" s="92" t="s">
        <v>34</v>
      </c>
      <c r="H3" s="93"/>
      <c r="I3" s="13">
        <v>39</v>
      </c>
      <c r="J3" s="94" t="s">
        <v>27</v>
      </c>
      <c r="K3" s="94"/>
      <c r="L3" s="14">
        <v>33</v>
      </c>
      <c r="M3" s="11"/>
      <c r="N3" s="2"/>
      <c r="O3" s="59"/>
      <c r="P3" s="59"/>
      <c r="Q3" s="59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61" t="s">
        <v>1</v>
      </c>
      <c r="C5" s="60" t="s">
        <v>15</v>
      </c>
      <c r="D5" s="60" t="s">
        <v>64</v>
      </c>
      <c r="E5" s="60" t="s">
        <v>19</v>
      </c>
      <c r="F5" s="60" t="s">
        <v>37</v>
      </c>
      <c r="G5" s="60" t="s">
        <v>18</v>
      </c>
      <c r="H5" s="60" t="s">
        <v>30</v>
      </c>
      <c r="I5" s="60" t="s">
        <v>28</v>
      </c>
      <c r="J5" s="60" t="s">
        <v>21</v>
      </c>
      <c r="K5" s="60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'6. 14.'!F6</f>
        <v>5099</v>
      </c>
      <c r="E6" s="2">
        <v>2</v>
      </c>
      <c r="F6" s="2">
        <f>D6-E6</f>
        <v>5097</v>
      </c>
      <c r="G6" s="4">
        <v>1.5644910000000001</v>
      </c>
      <c r="H6" s="4">
        <v>11.09545</v>
      </c>
      <c r="I6" s="2">
        <f>F6*G6</f>
        <v>7974.2106270000004</v>
      </c>
      <c r="J6" s="2">
        <v>0</v>
      </c>
      <c r="K6" s="2">
        <v>0</v>
      </c>
      <c r="L6" s="4" t="s">
        <v>122</v>
      </c>
      <c r="M6" s="4">
        <v>8.35</v>
      </c>
      <c r="N6" s="4">
        <v>7.35</v>
      </c>
      <c r="O6" s="16">
        <v>1.956</v>
      </c>
      <c r="P6" s="16">
        <v>0</v>
      </c>
      <c r="Q6" s="16">
        <v>3.403</v>
      </c>
      <c r="R6" s="10"/>
    </row>
    <row r="7" spans="2:20" x14ac:dyDescent="0.3">
      <c r="B7" s="1" t="s">
        <v>3</v>
      </c>
      <c r="C7" s="2" t="s">
        <v>16</v>
      </c>
      <c r="D7" s="2">
        <f>'6. 14.'!F7</f>
        <v>5218</v>
      </c>
      <c r="E7" s="2">
        <v>0</v>
      </c>
      <c r="F7" s="2">
        <f>D7-E7</f>
        <v>5218</v>
      </c>
      <c r="G7" s="4">
        <v>1.5644910000000001</v>
      </c>
      <c r="H7" s="4">
        <v>11.09545</v>
      </c>
      <c r="I7" s="2">
        <f>F7*G7</f>
        <v>8163.5140380000003</v>
      </c>
      <c r="J7" s="2">
        <v>0</v>
      </c>
      <c r="K7" s="2">
        <v>0</v>
      </c>
      <c r="L7" s="4" t="s">
        <v>122</v>
      </c>
      <c r="M7" s="4">
        <v>8.3699999999999992</v>
      </c>
      <c r="N7" s="4">
        <v>7.17</v>
      </c>
      <c r="O7" s="16">
        <v>2.1589999999999998</v>
      </c>
      <c r="P7" s="16">
        <v>0</v>
      </c>
      <c r="Q7" s="16">
        <v>3.7290000000000001</v>
      </c>
      <c r="R7" s="10"/>
      <c r="T7">
        <f>800-315</f>
        <v>485</v>
      </c>
    </row>
    <row r="8" spans="2:20" x14ac:dyDescent="0.3">
      <c r="B8" s="1" t="s">
        <v>35</v>
      </c>
      <c r="C8" s="2"/>
      <c r="D8" s="2">
        <f>SUM(D6:D7)</f>
        <v>10317</v>
      </c>
      <c r="E8" s="2">
        <f t="shared" ref="E8:F8" si="0">SUM(E6:E7)</f>
        <v>2</v>
      </c>
      <c r="F8" s="2">
        <f t="shared" si="0"/>
        <v>10315</v>
      </c>
      <c r="G8" s="4">
        <f>AVERAGE(G6:G7)</f>
        <v>1.5644910000000001</v>
      </c>
      <c r="H8" s="4">
        <f>AVERAGE(H6:H7)</f>
        <v>11.09545</v>
      </c>
      <c r="I8" s="2">
        <f>SUM(I6:I7)</f>
        <v>16137.724665000002</v>
      </c>
      <c r="J8" s="2">
        <f>AVERAGE(J6:J7)</f>
        <v>0</v>
      </c>
      <c r="K8" s="2">
        <f>SUM(K6:K7)</f>
        <v>0</v>
      </c>
      <c r="L8" s="4" t="s">
        <v>122</v>
      </c>
      <c r="M8" s="4">
        <f t="shared" ref="M8:Q8" si="1">AVERAGE(M6:M7)</f>
        <v>8.36</v>
      </c>
      <c r="N8" s="4">
        <f t="shared" si="1"/>
        <v>7.26</v>
      </c>
      <c r="O8" s="4">
        <f t="shared" si="1"/>
        <v>2.0575000000000001</v>
      </c>
      <c r="P8" s="4">
        <f t="shared" si="1"/>
        <v>0</v>
      </c>
      <c r="Q8" s="4">
        <f t="shared" si="1"/>
        <v>3.5659999999999998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T9">
        <f>1.6*10315</f>
        <v>16504</v>
      </c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  <c r="T10">
        <f>37.41/16.1</f>
        <v>2.3236024844720493</v>
      </c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123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3" t="s">
        <v>124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T13">
        <v>55</v>
      </c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23" ht="20.100000000000001" customHeight="1" x14ac:dyDescent="0.3">
      <c r="B17" s="100"/>
      <c r="C17" s="2" t="s">
        <v>9</v>
      </c>
      <c r="D17" s="2">
        <v>0</v>
      </c>
      <c r="E17" s="27">
        <v>0</v>
      </c>
      <c r="F17" s="27">
        <f>'6. 14.'!F17-'6. 15.'!E17</f>
        <v>26.06</v>
      </c>
      <c r="G17" s="27">
        <f>E17+'6. 14.'!G17</f>
        <v>31.940000000000008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23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f>'6. 14.'!F18-'6. 15.'!E18</f>
        <v>34.53</v>
      </c>
      <c r="G18" s="27">
        <f>E18+'6. 14.'!G18</f>
        <v>5.4700000000000006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23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</v>
      </c>
      <c r="F19" s="28">
        <f>SUM(F17:F18)</f>
        <v>60.59</v>
      </c>
      <c r="G19" s="28">
        <f>SUM(G17:G18)</f>
        <v>37.410000000000011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1" spans="2:23" x14ac:dyDescent="0.3">
      <c r="S21">
        <f>10800*0.1</f>
        <v>1080</v>
      </c>
      <c r="T21" s="62">
        <f>I8-S21</f>
        <v>15057.724665000002</v>
      </c>
      <c r="U21" s="63">
        <f>T21/37410</f>
        <v>0.40250533720930237</v>
      </c>
      <c r="V21">
        <f>37410/15100</f>
        <v>2.4774834437086093</v>
      </c>
      <c r="W21">
        <f>800-317</f>
        <v>483</v>
      </c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FABA-F2C5-4087-921E-6E62BA9D9E5A}">
  <sheetPr codeName="Sheet4">
    <pageSetUpPr fitToPage="1"/>
  </sheetPr>
  <dimension ref="B1:R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19" t="s">
        <v>1</v>
      </c>
      <c r="C3" s="91">
        <v>45057</v>
      </c>
      <c r="D3" s="91"/>
      <c r="E3" s="18" t="s">
        <v>25</v>
      </c>
      <c r="F3" s="2" t="s">
        <v>26</v>
      </c>
      <c r="G3" s="92" t="s">
        <v>34</v>
      </c>
      <c r="H3" s="93"/>
      <c r="I3" s="13">
        <v>4</v>
      </c>
      <c r="J3" s="94" t="s">
        <v>27</v>
      </c>
      <c r="K3" s="94"/>
      <c r="L3" s="14">
        <v>0</v>
      </c>
      <c r="M3" s="11"/>
      <c r="N3" s="2"/>
      <c r="O3" s="17"/>
      <c r="P3" s="17"/>
      <c r="Q3" s="17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19" t="s">
        <v>1</v>
      </c>
      <c r="C5" s="18" t="s">
        <v>15</v>
      </c>
      <c r="D5" s="18" t="s">
        <v>36</v>
      </c>
      <c r="E5" s="18" t="s">
        <v>19</v>
      </c>
      <c r="F5" s="18" t="s">
        <v>37</v>
      </c>
      <c r="G5" s="18" t="s">
        <v>18</v>
      </c>
      <c r="H5" s="18" t="s">
        <v>30</v>
      </c>
      <c r="I5" s="18" t="s">
        <v>28</v>
      </c>
      <c r="J5" s="18" t="s">
        <v>21</v>
      </c>
      <c r="K5" s="18" t="s">
        <v>22</v>
      </c>
      <c r="L5" s="86"/>
      <c r="M5" s="86"/>
      <c r="N5" s="86"/>
      <c r="O5" s="86"/>
      <c r="P5" s="86"/>
      <c r="Q5" s="86"/>
      <c r="R5" s="97"/>
    </row>
    <row r="6" spans="2:18" x14ac:dyDescent="0.3">
      <c r="B6" s="1" t="s">
        <v>2</v>
      </c>
      <c r="C6" s="2" t="s">
        <v>16</v>
      </c>
      <c r="D6" s="2">
        <f>'5. 10.'!F6</f>
        <v>5372</v>
      </c>
      <c r="E6" s="2">
        <v>27</v>
      </c>
      <c r="F6" s="2">
        <f>D6-E6</f>
        <v>5345</v>
      </c>
      <c r="G6" s="4">
        <v>0.1</v>
      </c>
      <c r="H6" s="4">
        <v>5.25</v>
      </c>
      <c r="I6" s="2">
        <f>D6*G6</f>
        <v>537.20000000000005</v>
      </c>
      <c r="J6" s="2">
        <v>0</v>
      </c>
      <c r="K6" s="2">
        <v>0</v>
      </c>
      <c r="L6" s="4" t="s">
        <v>50</v>
      </c>
      <c r="M6" s="4">
        <v>8.52</v>
      </c>
      <c r="N6" s="4">
        <v>8.7899999999999991</v>
      </c>
      <c r="O6" s="16">
        <v>0</v>
      </c>
      <c r="P6" s="16">
        <v>0</v>
      </c>
      <c r="Q6" s="16">
        <v>1.1339999999999999</v>
      </c>
      <c r="R6" s="10" t="s">
        <v>48</v>
      </c>
    </row>
    <row r="7" spans="2:18" x14ac:dyDescent="0.3">
      <c r="B7" s="1" t="s">
        <v>3</v>
      </c>
      <c r="C7" s="2" t="s">
        <v>16</v>
      </c>
      <c r="D7" s="2">
        <f>'5. 10.'!F7</f>
        <v>5382</v>
      </c>
      <c r="E7" s="2">
        <v>29</v>
      </c>
      <c r="F7" s="2">
        <f>D7-E7</f>
        <v>5353</v>
      </c>
      <c r="G7" s="4">
        <v>0.1</v>
      </c>
      <c r="H7" s="4">
        <v>5.25</v>
      </c>
      <c r="I7" s="2">
        <f>D7*G7</f>
        <v>538.20000000000005</v>
      </c>
      <c r="J7" s="2">
        <v>0</v>
      </c>
      <c r="K7" s="2">
        <v>0</v>
      </c>
      <c r="L7" s="4" t="s">
        <v>51</v>
      </c>
      <c r="M7" s="4">
        <v>8.49</v>
      </c>
      <c r="N7" s="4">
        <v>8.5</v>
      </c>
      <c r="O7" s="16">
        <v>0</v>
      </c>
      <c r="P7" s="16">
        <v>0</v>
      </c>
      <c r="Q7" s="16">
        <v>0.82799999999999996</v>
      </c>
      <c r="R7" s="10" t="s">
        <v>49</v>
      </c>
    </row>
    <row r="8" spans="2:18" x14ac:dyDescent="0.3">
      <c r="B8" s="1" t="s">
        <v>35</v>
      </c>
      <c r="C8" s="2"/>
      <c r="D8" s="2">
        <f>SUM(D6:D7)</f>
        <v>10754</v>
      </c>
      <c r="E8" s="2">
        <f t="shared" ref="E8:F8" si="0">SUM(E6:E7)</f>
        <v>56</v>
      </c>
      <c r="F8" s="2">
        <f t="shared" si="0"/>
        <v>10698</v>
      </c>
      <c r="G8" s="4">
        <f>AVERAGE(G6:G7)</f>
        <v>0.1</v>
      </c>
      <c r="H8" s="4">
        <f>AVERAGE(H6:H7)</f>
        <v>5.25</v>
      </c>
      <c r="I8" s="2">
        <f t="shared" ref="I8" si="1">SUM(I6:I7)</f>
        <v>1075.4000000000001</v>
      </c>
      <c r="J8" s="2">
        <v>0</v>
      </c>
      <c r="K8" s="2">
        <v>0</v>
      </c>
      <c r="L8" s="4" t="s">
        <v>51</v>
      </c>
      <c r="M8" s="4">
        <f t="shared" ref="M8:Q8" si="2">AVERAGE(M6:M7)</f>
        <v>8.504999999999999</v>
      </c>
      <c r="N8" s="4">
        <f t="shared" si="2"/>
        <v>8.6449999999999996</v>
      </c>
      <c r="O8" s="4">
        <f t="shared" si="2"/>
        <v>0</v>
      </c>
      <c r="P8" s="4">
        <f t="shared" si="2"/>
        <v>0</v>
      </c>
      <c r="Q8" s="4">
        <f t="shared" si="2"/>
        <v>0.98099999999999987</v>
      </c>
      <c r="R8" s="3"/>
    </row>
    <row r="9" spans="2:18" ht="20.100000000000001" customHeight="1" x14ac:dyDescent="0.3">
      <c r="B9" s="70" t="s">
        <v>5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52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:G19" si="3">SUM(E17:E18)</f>
        <v>0</v>
      </c>
      <c r="F19" s="12">
        <f t="shared" si="3"/>
        <v>98</v>
      </c>
      <c r="G19" s="12">
        <f t="shared" si="3"/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H19:R19"/>
    <mergeCell ref="B12:R12"/>
    <mergeCell ref="B13:R13"/>
    <mergeCell ref="B14:R14"/>
    <mergeCell ref="B16:B18"/>
    <mergeCell ref="H16:R16"/>
    <mergeCell ref="H17:R17"/>
    <mergeCell ref="H18:R18"/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A6F9-9A3D-4635-8D02-1FE2814D9668}">
  <sheetPr codeName="Sheet5">
    <pageSetUpPr fitToPage="1"/>
  </sheetPr>
  <dimension ref="B1:R19"/>
  <sheetViews>
    <sheetView workbookViewId="0">
      <selection activeCell="T13" sqref="T13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21" t="s">
        <v>1</v>
      </c>
      <c r="C3" s="91">
        <v>45058</v>
      </c>
      <c r="D3" s="91"/>
      <c r="E3" s="20" t="s">
        <v>25</v>
      </c>
      <c r="F3" s="2" t="s">
        <v>26</v>
      </c>
      <c r="G3" s="92" t="s">
        <v>34</v>
      </c>
      <c r="H3" s="93"/>
      <c r="I3" s="13">
        <v>5</v>
      </c>
      <c r="J3" s="94" t="s">
        <v>27</v>
      </c>
      <c r="K3" s="94"/>
      <c r="L3" s="14">
        <v>0</v>
      </c>
      <c r="M3" s="11"/>
      <c r="N3" s="2"/>
      <c r="O3" s="22"/>
      <c r="P3" s="22"/>
      <c r="Q3" s="22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21" t="s">
        <v>1</v>
      </c>
      <c r="C5" s="20" t="s">
        <v>15</v>
      </c>
      <c r="D5" s="20" t="s">
        <v>36</v>
      </c>
      <c r="E5" s="20" t="s">
        <v>19</v>
      </c>
      <c r="F5" s="20" t="s">
        <v>37</v>
      </c>
      <c r="G5" s="20" t="s">
        <v>18</v>
      </c>
      <c r="H5" s="20" t="s">
        <v>30</v>
      </c>
      <c r="I5" s="20" t="s">
        <v>28</v>
      </c>
      <c r="J5" s="20" t="s">
        <v>21</v>
      </c>
      <c r="K5" s="20" t="s">
        <v>22</v>
      </c>
      <c r="L5" s="86"/>
      <c r="M5" s="86"/>
      <c r="N5" s="86"/>
      <c r="O5" s="86"/>
      <c r="P5" s="86"/>
      <c r="Q5" s="86"/>
      <c r="R5" s="97"/>
    </row>
    <row r="6" spans="2:18" x14ac:dyDescent="0.3">
      <c r="B6" s="1" t="s">
        <v>2</v>
      </c>
      <c r="C6" s="2" t="s">
        <v>16</v>
      </c>
      <c r="D6" s="2">
        <f>'5. 11.'!F6</f>
        <v>5345</v>
      </c>
      <c r="E6" s="2">
        <v>13</v>
      </c>
      <c r="F6" s="2">
        <f>D6-E6</f>
        <v>5332</v>
      </c>
      <c r="G6" s="4">
        <v>0.1</v>
      </c>
      <c r="H6" s="4">
        <v>5.25</v>
      </c>
      <c r="I6" s="2">
        <f>D6*G6</f>
        <v>534.5</v>
      </c>
      <c r="J6" s="2">
        <v>0</v>
      </c>
      <c r="K6" s="2">
        <v>0</v>
      </c>
      <c r="L6" s="4" t="s">
        <v>54</v>
      </c>
      <c r="M6" s="4">
        <v>8.52</v>
      </c>
      <c r="N6" s="4">
        <v>8.7899999999999991</v>
      </c>
      <c r="O6" s="16">
        <v>0</v>
      </c>
      <c r="P6" s="16">
        <v>0</v>
      </c>
      <c r="Q6" s="16">
        <v>3.0880000000000001</v>
      </c>
      <c r="R6" s="10"/>
    </row>
    <row r="7" spans="2:18" x14ac:dyDescent="0.3">
      <c r="B7" s="1" t="s">
        <v>3</v>
      </c>
      <c r="C7" s="2" t="s">
        <v>16</v>
      </c>
      <c r="D7" s="2">
        <f>'5. 11.'!F7</f>
        <v>5353</v>
      </c>
      <c r="E7" s="2">
        <v>16</v>
      </c>
      <c r="F7" s="2">
        <f>D7-E7</f>
        <v>5337</v>
      </c>
      <c r="G7" s="4">
        <v>0.1</v>
      </c>
      <c r="H7" s="4">
        <v>5.25</v>
      </c>
      <c r="I7" s="2">
        <f>D7*G7</f>
        <v>535.30000000000007</v>
      </c>
      <c r="J7" s="2">
        <v>0</v>
      </c>
      <c r="K7" s="2">
        <v>0</v>
      </c>
      <c r="L7" s="4" t="s">
        <v>54</v>
      </c>
      <c r="M7" s="4">
        <v>8.49</v>
      </c>
      <c r="N7" s="4">
        <v>8.5</v>
      </c>
      <c r="O7" s="16">
        <v>0</v>
      </c>
      <c r="P7" s="16">
        <v>0</v>
      </c>
      <c r="Q7" s="16">
        <v>2.048</v>
      </c>
      <c r="R7" s="10"/>
    </row>
    <row r="8" spans="2:18" ht="20.100000000000001" customHeight="1" x14ac:dyDescent="0.3">
      <c r="B8" s="1" t="s">
        <v>35</v>
      </c>
      <c r="C8" s="2"/>
      <c r="D8" s="2">
        <f>SUM(D6:D7)</f>
        <v>10698</v>
      </c>
      <c r="E8" s="2">
        <f t="shared" ref="E8:F8" si="0">SUM(E6:E7)</f>
        <v>29</v>
      </c>
      <c r="F8" s="2">
        <f t="shared" si="0"/>
        <v>10669</v>
      </c>
      <c r="G8" s="4">
        <f>AVERAGE(G6:G7)</f>
        <v>0.1</v>
      </c>
      <c r="H8" s="4">
        <f>AVERAGE(H6:H7)</f>
        <v>5.25</v>
      </c>
      <c r="I8" s="2">
        <f t="shared" ref="I8" si="1">SUM(I6:I7)</f>
        <v>1069.8000000000002</v>
      </c>
      <c r="J8" s="2">
        <v>0</v>
      </c>
      <c r="K8" s="2">
        <v>0</v>
      </c>
      <c r="L8" s="4" t="s">
        <v>54</v>
      </c>
      <c r="M8" s="4">
        <f t="shared" ref="M8:Q8" si="2">AVERAGE(M6:M7)</f>
        <v>8.504999999999999</v>
      </c>
      <c r="N8" s="4">
        <f t="shared" si="2"/>
        <v>8.6449999999999996</v>
      </c>
      <c r="O8" s="4">
        <f t="shared" si="2"/>
        <v>0</v>
      </c>
      <c r="P8" s="4">
        <f t="shared" si="2"/>
        <v>0</v>
      </c>
      <c r="Q8" s="4">
        <f t="shared" si="2"/>
        <v>2.5680000000000001</v>
      </c>
      <c r="R8" s="3"/>
    </row>
    <row r="9" spans="2:18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47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:G19" si="3">SUM(E17:E18)</f>
        <v>0</v>
      </c>
      <c r="F19" s="12">
        <f t="shared" si="3"/>
        <v>98</v>
      </c>
      <c r="G19" s="12">
        <f t="shared" si="3"/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12C-2F2E-4909-9CFB-2C40D147A192}">
  <sheetPr codeName="Sheet6">
    <pageSetUpPr fitToPage="1"/>
  </sheetPr>
  <dimension ref="B1:R19"/>
  <sheetViews>
    <sheetView workbookViewId="0">
      <selection activeCell="D6" sqref="D6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</cols>
  <sheetData>
    <row r="1" spans="2:18" ht="17.25" thickBot="1" x14ac:dyDescent="0.35"/>
    <row r="2" spans="2:18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18" ht="20.100000000000001" customHeight="1" x14ac:dyDescent="0.3">
      <c r="B3" s="25" t="s">
        <v>1</v>
      </c>
      <c r="C3" s="91">
        <v>45059</v>
      </c>
      <c r="D3" s="91"/>
      <c r="E3" s="24" t="s">
        <v>25</v>
      </c>
      <c r="F3" s="2" t="s">
        <v>26</v>
      </c>
      <c r="G3" s="92" t="s">
        <v>34</v>
      </c>
      <c r="H3" s="93"/>
      <c r="I3" s="13">
        <v>6</v>
      </c>
      <c r="J3" s="94" t="s">
        <v>27</v>
      </c>
      <c r="K3" s="94"/>
      <c r="L3" s="14">
        <v>0</v>
      </c>
      <c r="M3" s="11"/>
      <c r="N3" s="2"/>
      <c r="O3" s="23"/>
      <c r="P3" s="23"/>
      <c r="Q3" s="23"/>
      <c r="R3" s="3"/>
    </row>
    <row r="4" spans="2:18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18" ht="20.100000000000001" customHeight="1" x14ac:dyDescent="0.3">
      <c r="B5" s="25" t="s">
        <v>1</v>
      </c>
      <c r="C5" s="24" t="s">
        <v>15</v>
      </c>
      <c r="D5" s="24" t="s">
        <v>36</v>
      </c>
      <c r="E5" s="24" t="s">
        <v>19</v>
      </c>
      <c r="F5" s="24" t="s">
        <v>37</v>
      </c>
      <c r="G5" s="24" t="s">
        <v>18</v>
      </c>
      <c r="H5" s="24" t="s">
        <v>30</v>
      </c>
      <c r="I5" s="24" t="s">
        <v>28</v>
      </c>
      <c r="J5" s="24" t="s">
        <v>21</v>
      </c>
      <c r="K5" s="24" t="s">
        <v>22</v>
      </c>
      <c r="L5" s="86"/>
      <c r="M5" s="86"/>
      <c r="N5" s="86"/>
      <c r="O5" s="86"/>
      <c r="P5" s="86"/>
      <c r="Q5" s="86"/>
      <c r="R5" s="97"/>
    </row>
    <row r="6" spans="2:18" x14ac:dyDescent="0.3">
      <c r="B6" s="1" t="s">
        <v>2</v>
      </c>
      <c r="C6" s="2" t="s">
        <v>16</v>
      </c>
      <c r="D6" s="2">
        <f>'5. 12.'!F6</f>
        <v>5332</v>
      </c>
      <c r="E6" s="2">
        <v>3</v>
      </c>
      <c r="F6" s="2">
        <f>D6-E6</f>
        <v>5329</v>
      </c>
      <c r="G6" s="4">
        <v>0.1</v>
      </c>
      <c r="H6" s="4">
        <v>5.25</v>
      </c>
      <c r="I6" s="2">
        <f>D6*G6</f>
        <v>533.20000000000005</v>
      </c>
      <c r="J6" s="2">
        <v>0</v>
      </c>
      <c r="K6" s="2">
        <v>0</v>
      </c>
      <c r="L6" s="4" t="s">
        <v>55</v>
      </c>
      <c r="M6" s="4">
        <v>8.61</v>
      </c>
      <c r="N6" s="4">
        <v>8.02</v>
      </c>
      <c r="O6" s="16">
        <v>0</v>
      </c>
      <c r="P6" s="16">
        <v>0</v>
      </c>
      <c r="Q6" s="16">
        <v>3.0369999999999999</v>
      </c>
      <c r="R6" s="10"/>
    </row>
    <row r="7" spans="2:18" x14ac:dyDescent="0.3">
      <c r="B7" s="1" t="s">
        <v>3</v>
      </c>
      <c r="C7" s="2" t="s">
        <v>16</v>
      </c>
      <c r="D7" s="2">
        <f>'5. 12.'!F7</f>
        <v>5337</v>
      </c>
      <c r="E7" s="2">
        <v>14</v>
      </c>
      <c r="F7" s="2">
        <f>D7-E7</f>
        <v>5323</v>
      </c>
      <c r="G7" s="4">
        <v>0.1</v>
      </c>
      <c r="H7" s="4">
        <v>5.25</v>
      </c>
      <c r="I7" s="2">
        <f>D7*G7</f>
        <v>533.70000000000005</v>
      </c>
      <c r="J7" s="2">
        <v>0</v>
      </c>
      <c r="K7" s="2">
        <v>0</v>
      </c>
      <c r="L7" s="4" t="s">
        <v>55</v>
      </c>
      <c r="M7" s="4">
        <v>8.65</v>
      </c>
      <c r="N7" s="4">
        <v>8.01</v>
      </c>
      <c r="O7" s="16">
        <v>0</v>
      </c>
      <c r="P7" s="16">
        <v>0</v>
      </c>
      <c r="Q7" s="16">
        <v>4.032</v>
      </c>
      <c r="R7" s="10"/>
    </row>
    <row r="8" spans="2:18" x14ac:dyDescent="0.3">
      <c r="B8" s="1" t="s">
        <v>35</v>
      </c>
      <c r="C8" s="2"/>
      <c r="D8" s="2">
        <f>SUM(D6:D7)</f>
        <v>10669</v>
      </c>
      <c r="E8" s="2">
        <f t="shared" ref="E8:F8" si="0">SUM(E6:E7)</f>
        <v>17</v>
      </c>
      <c r="F8" s="2">
        <f t="shared" si="0"/>
        <v>10652</v>
      </c>
      <c r="G8" s="4">
        <f>AVERAGE(G6:G7)</f>
        <v>0.1</v>
      </c>
      <c r="H8" s="4">
        <f>AVERAGE(H6:H7)</f>
        <v>5.25</v>
      </c>
      <c r="I8" s="2">
        <f t="shared" ref="I8" si="1">SUM(I6:I7)</f>
        <v>1066.9000000000001</v>
      </c>
      <c r="J8" s="2">
        <v>0</v>
      </c>
      <c r="K8" s="2">
        <v>0</v>
      </c>
      <c r="L8" s="4" t="s">
        <v>55</v>
      </c>
      <c r="M8" s="4">
        <f t="shared" ref="M8:Q8" si="2">AVERAGE(M6:M7)</f>
        <v>8.629999999999999</v>
      </c>
      <c r="N8" s="4">
        <f t="shared" si="2"/>
        <v>8.0150000000000006</v>
      </c>
      <c r="O8" s="4">
        <f t="shared" si="2"/>
        <v>0</v>
      </c>
      <c r="P8" s="4">
        <f t="shared" si="2"/>
        <v>0</v>
      </c>
      <c r="Q8" s="4">
        <f t="shared" si="2"/>
        <v>3.5345</v>
      </c>
      <c r="R8" s="3"/>
    </row>
    <row r="9" spans="2:18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18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18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18" ht="20.100000000000001" customHeight="1" x14ac:dyDescent="0.3">
      <c r="B12" s="73" t="s">
        <v>47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18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18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18" ht="20.100000000000001" customHeight="1" thickBot="1" x14ac:dyDescent="0.35"/>
    <row r="16" spans="2:18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">
        <v>0</v>
      </c>
      <c r="F17" s="2">
        <v>58</v>
      </c>
      <c r="G17" s="2">
        <v>0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">
        <v>0</v>
      </c>
      <c r="F18" s="2">
        <v>40</v>
      </c>
      <c r="G18" s="2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12">
        <f t="shared" ref="E19:G19" si="3">SUM(E17:E18)</f>
        <v>0</v>
      </c>
      <c r="F19" s="12">
        <f t="shared" si="3"/>
        <v>98</v>
      </c>
      <c r="G19" s="12">
        <f t="shared" si="3"/>
        <v>0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81BB-6341-4AFC-A25D-9777C21DB2A2}">
  <sheetPr codeName="Sheet7">
    <pageSetUpPr fitToPage="1"/>
  </sheetPr>
  <dimension ref="B1:T19"/>
  <sheetViews>
    <sheetView workbookViewId="0">
      <selection activeCell="B9" sqref="B9:R9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25" t="s">
        <v>1</v>
      </c>
      <c r="C3" s="91">
        <v>45060</v>
      </c>
      <c r="D3" s="91"/>
      <c r="E3" s="24" t="s">
        <v>25</v>
      </c>
      <c r="F3" s="2" t="s">
        <v>26</v>
      </c>
      <c r="G3" s="92" t="s">
        <v>34</v>
      </c>
      <c r="H3" s="93"/>
      <c r="I3" s="13">
        <v>7</v>
      </c>
      <c r="J3" s="94" t="s">
        <v>27</v>
      </c>
      <c r="K3" s="94"/>
      <c r="L3" s="14">
        <v>1</v>
      </c>
      <c r="M3" s="11"/>
      <c r="N3" s="2"/>
      <c r="O3" s="23"/>
      <c r="P3" s="23"/>
      <c r="Q3" s="23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25" t="s">
        <v>1</v>
      </c>
      <c r="C5" s="24" t="s">
        <v>15</v>
      </c>
      <c r="D5" s="24" t="s">
        <v>36</v>
      </c>
      <c r="E5" s="24" t="s">
        <v>19</v>
      </c>
      <c r="F5" s="24" t="s">
        <v>37</v>
      </c>
      <c r="G5" s="24" t="s">
        <v>18</v>
      </c>
      <c r="H5" s="24" t="s">
        <v>30</v>
      </c>
      <c r="I5" s="24" t="s">
        <v>28</v>
      </c>
      <c r="J5" s="24" t="s">
        <v>21</v>
      </c>
      <c r="K5" s="24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13.'!F6</f>
        <v>5329</v>
      </c>
      <c r="E6" s="2">
        <v>9</v>
      </c>
      <c r="F6" s="2">
        <f>D6-E6</f>
        <v>5320</v>
      </c>
      <c r="G6" s="4">
        <v>0.1</v>
      </c>
      <c r="H6" s="4">
        <v>5.25</v>
      </c>
      <c r="I6" s="2">
        <f>D6*G6</f>
        <v>532.9</v>
      </c>
      <c r="J6" s="2">
        <v>2</v>
      </c>
      <c r="K6" s="2">
        <v>300</v>
      </c>
      <c r="L6" s="4" t="s">
        <v>56</v>
      </c>
      <c r="M6" s="4">
        <v>8.6300000000000008</v>
      </c>
      <c r="N6" s="4">
        <v>7.91</v>
      </c>
      <c r="O6" s="16">
        <v>0</v>
      </c>
      <c r="P6" s="16">
        <v>0</v>
      </c>
      <c r="Q6" s="16">
        <v>2.9489999999999998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13.'!F7</f>
        <v>5323</v>
      </c>
      <c r="E7" s="2">
        <v>2</v>
      </c>
      <c r="F7" s="2">
        <f>D7-E7</f>
        <v>5321</v>
      </c>
      <c r="G7" s="4">
        <v>0.1</v>
      </c>
      <c r="H7" s="4">
        <v>5.25</v>
      </c>
      <c r="I7" s="2">
        <f>D7*G7</f>
        <v>532.30000000000007</v>
      </c>
      <c r="J7" s="2">
        <v>2</v>
      </c>
      <c r="K7" s="2">
        <v>300</v>
      </c>
      <c r="L7" s="4" t="s">
        <v>56</v>
      </c>
      <c r="M7" s="4">
        <v>8.69</v>
      </c>
      <c r="N7" s="4">
        <v>7.76</v>
      </c>
      <c r="O7" s="16">
        <v>0</v>
      </c>
      <c r="P7" s="16">
        <v>0</v>
      </c>
      <c r="Q7" s="16">
        <v>3.5379999999999998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10652</v>
      </c>
      <c r="E8" s="2">
        <f t="shared" ref="E8:F8" si="0">SUM(E6:E7)</f>
        <v>11</v>
      </c>
      <c r="F8" s="2">
        <f t="shared" si="0"/>
        <v>10641</v>
      </c>
      <c r="G8" s="4">
        <f>AVERAGE(G6:G7)</f>
        <v>0.1</v>
      </c>
      <c r="H8" s="4">
        <f>AVERAGE(H6:H7)</f>
        <v>5.25</v>
      </c>
      <c r="I8" s="2">
        <f t="shared" ref="I8" si="1">SUM(I6:I7)</f>
        <v>1065.2</v>
      </c>
      <c r="J8" s="2">
        <f>AVERAGE(J6:J7)</f>
        <v>2</v>
      </c>
      <c r="K8" s="2">
        <f>SUM(K6:K7)</f>
        <v>600</v>
      </c>
      <c r="L8" s="4" t="s">
        <v>56</v>
      </c>
      <c r="M8" s="4">
        <f t="shared" ref="M8:Q8" si="2">AVERAGE(M6:M7)</f>
        <v>8.66</v>
      </c>
      <c r="N8" s="4">
        <f t="shared" si="2"/>
        <v>7.835</v>
      </c>
      <c r="O8" s="4">
        <f t="shared" si="2"/>
        <v>0</v>
      </c>
      <c r="P8" s="4">
        <f t="shared" si="2"/>
        <v>0</v>
      </c>
      <c r="Q8" s="4">
        <f t="shared" si="2"/>
        <v>3.2435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58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0.6</v>
      </c>
      <c r="F17" s="27">
        <f>'5. 13.'!F17-'5. 14.'!E17</f>
        <v>57.4</v>
      </c>
      <c r="G17" s="27">
        <f>E17</f>
        <v>0.6</v>
      </c>
      <c r="H17" s="67" t="s">
        <v>57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:G19" si="3">SUM(E17:E18)</f>
        <v>0.6</v>
      </c>
      <c r="F19" s="28">
        <f t="shared" si="3"/>
        <v>97.4</v>
      </c>
      <c r="G19" s="28">
        <f t="shared" si="3"/>
        <v>0.6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7CA4-799F-47CF-8ED1-9097CFAE5A66}">
  <sheetPr codeName="Sheet8">
    <pageSetUpPr fitToPage="1"/>
  </sheetPr>
  <dimension ref="B1:T19"/>
  <sheetViews>
    <sheetView workbookViewId="0">
      <selection activeCell="T16" sqref="T16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25" t="s">
        <v>1</v>
      </c>
      <c r="C3" s="91">
        <v>45061</v>
      </c>
      <c r="D3" s="91"/>
      <c r="E3" s="24" t="s">
        <v>25</v>
      </c>
      <c r="F3" s="2" t="s">
        <v>26</v>
      </c>
      <c r="G3" s="92" t="s">
        <v>34</v>
      </c>
      <c r="H3" s="93"/>
      <c r="I3" s="13">
        <v>8</v>
      </c>
      <c r="J3" s="94" t="s">
        <v>27</v>
      </c>
      <c r="K3" s="94"/>
      <c r="L3" s="14">
        <v>2</v>
      </c>
      <c r="M3" s="11"/>
      <c r="N3" s="2"/>
      <c r="O3" s="23"/>
      <c r="P3" s="23"/>
      <c r="Q3" s="23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25" t="s">
        <v>1</v>
      </c>
      <c r="C5" s="24" t="s">
        <v>15</v>
      </c>
      <c r="D5" s="24" t="s">
        <v>36</v>
      </c>
      <c r="E5" s="24" t="s">
        <v>19</v>
      </c>
      <c r="F5" s="24" t="s">
        <v>37</v>
      </c>
      <c r="G5" s="24" t="s">
        <v>18</v>
      </c>
      <c r="H5" s="24" t="s">
        <v>30</v>
      </c>
      <c r="I5" s="24" t="s">
        <v>28</v>
      </c>
      <c r="J5" s="24" t="s">
        <v>21</v>
      </c>
      <c r="K5" s="24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14.'!F6</f>
        <v>5320</v>
      </c>
      <c r="E6" s="2">
        <v>7</v>
      </c>
      <c r="F6" s="2">
        <f>D6-E6</f>
        <v>5313</v>
      </c>
      <c r="G6" s="4">
        <v>0.1</v>
      </c>
      <c r="H6" s="4">
        <v>5.25</v>
      </c>
      <c r="I6" s="2">
        <f>D6*G6</f>
        <v>532</v>
      </c>
      <c r="J6" s="2">
        <v>2</v>
      </c>
      <c r="K6" s="2">
        <f>180*2</f>
        <v>360</v>
      </c>
      <c r="L6" s="4">
        <v>29.9</v>
      </c>
      <c r="M6" s="4">
        <v>8.6999999999999993</v>
      </c>
      <c r="N6" s="4">
        <v>6.91</v>
      </c>
      <c r="O6" s="16">
        <v>0</v>
      </c>
      <c r="P6" s="16">
        <v>0</v>
      </c>
      <c r="Q6" s="16">
        <v>3.073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14.'!F7</f>
        <v>5321</v>
      </c>
      <c r="E7" s="2">
        <v>21</v>
      </c>
      <c r="F7" s="2">
        <f>D7-E7</f>
        <v>5300</v>
      </c>
      <c r="G7" s="4">
        <v>0.1</v>
      </c>
      <c r="H7" s="4">
        <v>5.25</v>
      </c>
      <c r="I7" s="2">
        <f>D7*G7</f>
        <v>532.1</v>
      </c>
      <c r="J7" s="2">
        <v>2</v>
      </c>
      <c r="K7" s="2">
        <f>180*2</f>
        <v>360</v>
      </c>
      <c r="L7" s="4">
        <v>29.8</v>
      </c>
      <c r="M7" s="4">
        <v>8.7100000000000009</v>
      </c>
      <c r="N7" s="4">
        <v>7.23</v>
      </c>
      <c r="O7" s="16">
        <v>0</v>
      </c>
      <c r="P7" s="16">
        <v>0</v>
      </c>
      <c r="Q7" s="16">
        <v>3.51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10641</v>
      </c>
      <c r="E8" s="2">
        <f t="shared" ref="E8:F8" si="0">SUM(E6:E7)</f>
        <v>28</v>
      </c>
      <c r="F8" s="2">
        <f t="shared" si="0"/>
        <v>10613</v>
      </c>
      <c r="G8" s="4">
        <f>AVERAGE(G6:G7)</f>
        <v>0.1</v>
      </c>
      <c r="H8" s="4">
        <f>AVERAGE(H6:H7)</f>
        <v>5.25</v>
      </c>
      <c r="I8" s="2">
        <f>SUM(I6:I7)</f>
        <v>1064.0999999999999</v>
      </c>
      <c r="J8" s="2">
        <f>AVERAGE(J6:J7)</f>
        <v>2</v>
      </c>
      <c r="K8" s="2">
        <f>SUM(K6:K7)</f>
        <v>720</v>
      </c>
      <c r="L8" s="4">
        <f>AVERAGE(L6:L7)</f>
        <v>29.85</v>
      </c>
      <c r="M8" s="4">
        <f t="shared" ref="M8:Q8" si="1">AVERAGE(M6:M7)</f>
        <v>8.7050000000000001</v>
      </c>
      <c r="N8" s="4">
        <f t="shared" si="1"/>
        <v>7.07</v>
      </c>
      <c r="O8" s="4">
        <f t="shared" si="1"/>
        <v>0</v>
      </c>
      <c r="P8" s="4">
        <f t="shared" si="1"/>
        <v>0</v>
      </c>
      <c r="Q8" s="4">
        <f t="shared" si="1"/>
        <v>3.2915000000000001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0.72</v>
      </c>
      <c r="F17" s="27">
        <f>'5. 14.'!F17-'5. 15.'!E17</f>
        <v>56.68</v>
      </c>
      <c r="G17" s="27">
        <f>E17+'5. 14.'!G17</f>
        <v>1.3199999999999998</v>
      </c>
      <c r="H17" s="67" t="s">
        <v>57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0.72</v>
      </c>
      <c r="F19" s="28">
        <f>SUM(F17:F18)</f>
        <v>96.68</v>
      </c>
      <c r="G19" s="28">
        <f>SUM(G17:G18)</f>
        <v>1.3199999999999998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C7FD-1D87-406A-A20F-6D35D2BB9CAB}">
  <sheetPr codeName="Sheet9">
    <pageSetUpPr fitToPage="1"/>
  </sheetPr>
  <dimension ref="B1:T19"/>
  <sheetViews>
    <sheetView workbookViewId="0">
      <selection activeCell="B10" sqref="B10:R10"/>
    </sheetView>
  </sheetViews>
  <sheetFormatPr defaultRowHeight="16.5" x14ac:dyDescent="0.3"/>
  <cols>
    <col min="1" max="1" width="3.125" customWidth="1"/>
    <col min="2" max="2" width="12.75" customWidth="1"/>
    <col min="4" max="4" width="13" customWidth="1"/>
    <col min="5" max="5" width="8.625" bestFit="1" customWidth="1"/>
    <col min="6" max="6" width="13.375" customWidth="1"/>
    <col min="7" max="7" width="11" customWidth="1"/>
    <col min="8" max="8" width="13.25" customWidth="1"/>
    <col min="9" max="9" width="9.5" bestFit="1" customWidth="1"/>
    <col min="12" max="12" width="8.375" bestFit="1" customWidth="1"/>
    <col min="13" max="13" width="5.5" bestFit="1" customWidth="1"/>
    <col min="14" max="14" width="7.125" bestFit="1" customWidth="1"/>
    <col min="18" max="18" width="27.875" customWidth="1"/>
    <col min="20" max="20" width="16.75" customWidth="1"/>
  </cols>
  <sheetData>
    <row r="1" spans="2:20" ht="17.25" thickBot="1" x14ac:dyDescent="0.35"/>
    <row r="2" spans="2:20" ht="41.25" x14ac:dyDescent="0.3">
      <c r="B2" s="87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  <c r="P2" s="89"/>
      <c r="Q2" s="89"/>
      <c r="R2" s="90"/>
    </row>
    <row r="3" spans="2:20" ht="20.100000000000001" customHeight="1" x14ac:dyDescent="0.3">
      <c r="B3" s="31" t="s">
        <v>1</v>
      </c>
      <c r="C3" s="91">
        <v>45062</v>
      </c>
      <c r="D3" s="91"/>
      <c r="E3" s="30" t="s">
        <v>25</v>
      </c>
      <c r="F3" s="2" t="s">
        <v>26</v>
      </c>
      <c r="G3" s="92" t="s">
        <v>34</v>
      </c>
      <c r="H3" s="93"/>
      <c r="I3" s="13">
        <v>9</v>
      </c>
      <c r="J3" s="94" t="s">
        <v>27</v>
      </c>
      <c r="K3" s="94"/>
      <c r="L3" s="14">
        <v>3</v>
      </c>
      <c r="M3" s="11"/>
      <c r="N3" s="2"/>
      <c r="O3" s="29"/>
      <c r="P3" s="29"/>
      <c r="Q3" s="29"/>
      <c r="R3" s="3"/>
      <c r="T3" s="26"/>
    </row>
    <row r="4" spans="2:20" ht="20.100000000000001" customHeight="1" x14ac:dyDescent="0.3">
      <c r="B4" s="98" t="s">
        <v>17</v>
      </c>
      <c r="C4" s="94"/>
      <c r="D4" s="94"/>
      <c r="E4" s="94"/>
      <c r="F4" s="94"/>
      <c r="G4" s="94"/>
      <c r="H4" s="94"/>
      <c r="I4" s="94"/>
      <c r="J4" s="94" t="s">
        <v>20</v>
      </c>
      <c r="K4" s="94"/>
      <c r="L4" s="95" t="s">
        <v>23</v>
      </c>
      <c r="M4" s="95" t="s">
        <v>24</v>
      </c>
      <c r="N4" s="85" t="s">
        <v>38</v>
      </c>
      <c r="O4" s="85" t="s">
        <v>39</v>
      </c>
      <c r="P4" s="85" t="s">
        <v>40</v>
      </c>
      <c r="Q4" s="85" t="s">
        <v>41</v>
      </c>
      <c r="R4" s="96" t="s">
        <v>14</v>
      </c>
    </row>
    <row r="5" spans="2:20" ht="20.100000000000001" customHeight="1" x14ac:dyDescent="0.3">
      <c r="B5" s="31" t="s">
        <v>1</v>
      </c>
      <c r="C5" s="30" t="s">
        <v>15</v>
      </c>
      <c r="D5" s="33" t="s">
        <v>64</v>
      </c>
      <c r="E5" s="30" t="s">
        <v>19</v>
      </c>
      <c r="F5" s="30" t="s">
        <v>37</v>
      </c>
      <c r="G5" s="30" t="s">
        <v>18</v>
      </c>
      <c r="H5" s="30" t="s">
        <v>30</v>
      </c>
      <c r="I5" s="30" t="s">
        <v>28</v>
      </c>
      <c r="J5" s="30" t="s">
        <v>21</v>
      </c>
      <c r="K5" s="30" t="s">
        <v>22</v>
      </c>
      <c r="L5" s="86"/>
      <c r="M5" s="86"/>
      <c r="N5" s="86"/>
      <c r="O5" s="86"/>
      <c r="P5" s="86"/>
      <c r="Q5" s="86"/>
      <c r="R5" s="97"/>
    </row>
    <row r="6" spans="2:20" x14ac:dyDescent="0.3">
      <c r="B6" s="1" t="s">
        <v>2</v>
      </c>
      <c r="C6" s="2" t="s">
        <v>16</v>
      </c>
      <c r="D6" s="2">
        <f>'5. 15.'!F6</f>
        <v>5313</v>
      </c>
      <c r="E6" s="2">
        <v>9</v>
      </c>
      <c r="F6" s="2">
        <f>D6-E6</f>
        <v>5304</v>
      </c>
      <c r="G6" s="4">
        <v>0.1</v>
      </c>
      <c r="H6" s="4">
        <v>5.25</v>
      </c>
      <c r="I6" s="2">
        <f>D6*G6</f>
        <v>531.30000000000007</v>
      </c>
      <c r="J6" s="2">
        <v>2</v>
      </c>
      <c r="K6" s="2">
        <f>180*2</f>
        <v>360</v>
      </c>
      <c r="L6" s="4">
        <v>29.6</v>
      </c>
      <c r="M6" s="4">
        <v>8.7100000000000009</v>
      </c>
      <c r="N6" s="4">
        <v>7.66</v>
      </c>
      <c r="O6" s="16">
        <v>0.33100000000000002</v>
      </c>
      <c r="P6" s="16">
        <v>0</v>
      </c>
      <c r="Q6" s="16">
        <v>4.2110000000000003</v>
      </c>
      <c r="R6" s="10" t="s">
        <v>60</v>
      </c>
    </row>
    <row r="7" spans="2:20" x14ac:dyDescent="0.3">
      <c r="B7" s="1" t="s">
        <v>3</v>
      </c>
      <c r="C7" s="2" t="s">
        <v>16</v>
      </c>
      <c r="D7" s="2">
        <f>'5. 15.'!F7</f>
        <v>5300</v>
      </c>
      <c r="E7" s="2">
        <v>21</v>
      </c>
      <c r="F7" s="2">
        <f>D7-E7</f>
        <v>5279</v>
      </c>
      <c r="G7" s="4">
        <v>0.1</v>
      </c>
      <c r="H7" s="4">
        <v>5.25</v>
      </c>
      <c r="I7" s="2">
        <f>D7*G7</f>
        <v>530</v>
      </c>
      <c r="J7" s="2">
        <v>2</v>
      </c>
      <c r="K7" s="2">
        <f>180*2</f>
        <v>360</v>
      </c>
      <c r="L7" s="4">
        <v>29.6</v>
      </c>
      <c r="M7" s="4">
        <v>8.7200000000000006</v>
      </c>
      <c r="N7" s="4">
        <v>7.35</v>
      </c>
      <c r="O7" s="16">
        <v>0</v>
      </c>
      <c r="P7" s="16">
        <v>0</v>
      </c>
      <c r="Q7" s="16">
        <v>3.6850000000000001</v>
      </c>
      <c r="R7" s="10" t="s">
        <v>60</v>
      </c>
    </row>
    <row r="8" spans="2:20" x14ac:dyDescent="0.3">
      <c r="B8" s="1" t="s">
        <v>35</v>
      </c>
      <c r="C8" s="2"/>
      <c r="D8" s="2">
        <f>SUM(D6:D7)</f>
        <v>10613</v>
      </c>
      <c r="E8" s="2">
        <f t="shared" ref="E8:F8" si="0">SUM(E6:E7)</f>
        <v>30</v>
      </c>
      <c r="F8" s="2">
        <f t="shared" si="0"/>
        <v>10583</v>
      </c>
      <c r="G8" s="4">
        <f>AVERAGE(G6:G7)</f>
        <v>0.1</v>
      </c>
      <c r="H8" s="4">
        <f>AVERAGE(H6:H7)</f>
        <v>5.25</v>
      </c>
      <c r="I8" s="2">
        <f>SUM(I6:I7)</f>
        <v>1061.3000000000002</v>
      </c>
      <c r="J8" s="2">
        <f>AVERAGE(J6:J7)</f>
        <v>2</v>
      </c>
      <c r="K8" s="2">
        <f>SUM(K6:K7)</f>
        <v>720</v>
      </c>
      <c r="L8" s="4">
        <f>AVERAGE(L6:L7)</f>
        <v>29.6</v>
      </c>
      <c r="M8" s="4">
        <f t="shared" ref="M8:Q8" si="1">AVERAGE(M6:M7)</f>
        <v>8.7149999999999999</v>
      </c>
      <c r="N8" s="4">
        <f t="shared" si="1"/>
        <v>7.5049999999999999</v>
      </c>
      <c r="O8" s="4">
        <f t="shared" si="1"/>
        <v>0.16550000000000001</v>
      </c>
      <c r="P8" s="4">
        <f t="shared" si="1"/>
        <v>0</v>
      </c>
      <c r="Q8" s="4">
        <f t="shared" si="1"/>
        <v>3.9480000000000004</v>
      </c>
      <c r="R8" s="3"/>
    </row>
    <row r="9" spans="2:20" ht="20.100000000000001" customHeight="1" x14ac:dyDescent="0.3">
      <c r="B9" s="70" t="s">
        <v>53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</row>
    <row r="10" spans="2:20" ht="20.100000000000001" customHeight="1" x14ac:dyDescent="0.3">
      <c r="B10" s="73" t="s">
        <v>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5"/>
    </row>
    <row r="11" spans="2:20" ht="20.100000000000001" customHeight="1" x14ac:dyDescent="0.3">
      <c r="B11" s="73" t="s">
        <v>31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5"/>
    </row>
    <row r="12" spans="2:20" ht="20.100000000000001" customHeight="1" x14ac:dyDescent="0.3">
      <c r="B12" s="73" t="s">
        <v>59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2:20" ht="20.100000000000001" customHeight="1" x14ac:dyDescent="0.3"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1"/>
    </row>
    <row r="14" spans="2:20" ht="20.100000000000001" customHeight="1" thickBot="1" x14ac:dyDescent="0.35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2:20" ht="20.100000000000001" customHeight="1" thickBot="1" x14ac:dyDescent="0.35"/>
    <row r="16" spans="2:20" ht="36" customHeight="1" x14ac:dyDescent="0.3">
      <c r="B16" s="99" t="s">
        <v>7</v>
      </c>
      <c r="C16" s="8" t="s">
        <v>8</v>
      </c>
      <c r="D16" s="8" t="s">
        <v>11</v>
      </c>
      <c r="E16" s="8" t="s">
        <v>12</v>
      </c>
      <c r="F16" s="8" t="s">
        <v>13</v>
      </c>
      <c r="G16" s="9" t="s">
        <v>29</v>
      </c>
      <c r="H16" s="64" t="s">
        <v>14</v>
      </c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2:18" ht="20.100000000000001" customHeight="1" x14ac:dyDescent="0.3">
      <c r="B17" s="100"/>
      <c r="C17" s="2" t="s">
        <v>9</v>
      </c>
      <c r="D17" s="2">
        <v>0</v>
      </c>
      <c r="E17" s="27">
        <v>0.72</v>
      </c>
      <c r="F17" s="27">
        <f>'5. 15.'!F17-'5. 16.'!E17</f>
        <v>55.96</v>
      </c>
      <c r="G17" s="27">
        <f>E17+'5. 15.'!G17</f>
        <v>2.04</v>
      </c>
      <c r="H17" s="67" t="s">
        <v>57</v>
      </c>
      <c r="I17" s="68"/>
      <c r="J17" s="68"/>
      <c r="K17" s="68"/>
      <c r="L17" s="68"/>
      <c r="M17" s="68"/>
      <c r="N17" s="68"/>
      <c r="O17" s="68"/>
      <c r="P17" s="68"/>
      <c r="Q17" s="68"/>
      <c r="R17" s="69"/>
    </row>
    <row r="18" spans="2:18" ht="20.100000000000001" customHeight="1" x14ac:dyDescent="0.3">
      <c r="B18" s="101"/>
      <c r="C18" s="2" t="s">
        <v>10</v>
      </c>
      <c r="D18" s="2">
        <v>0</v>
      </c>
      <c r="E18" s="27">
        <v>0</v>
      </c>
      <c r="F18" s="27">
        <v>40</v>
      </c>
      <c r="G18" s="27">
        <v>0</v>
      </c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9"/>
    </row>
    <row r="19" spans="2:18" ht="20.100000000000001" customHeight="1" thickBot="1" x14ac:dyDescent="0.35">
      <c r="B19" s="7" t="s">
        <v>4</v>
      </c>
      <c r="C19" s="12"/>
      <c r="D19" s="12">
        <f>SUM(D17:D18)</f>
        <v>0</v>
      </c>
      <c r="E19" s="28">
        <f t="shared" ref="E19" si="2">SUM(E17:E18)</f>
        <v>0.72</v>
      </c>
      <c r="F19" s="28">
        <f>SUM(F17:F18)</f>
        <v>95.960000000000008</v>
      </c>
      <c r="G19" s="28">
        <f>SUM(G17:G18)</f>
        <v>2.04</v>
      </c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4"/>
    </row>
  </sheetData>
  <autoFilter ref="B2:R11" xr:uid="{AB17C263-90DA-4A35-976C-A098A2D2E24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4">
    <mergeCell ref="B11:R11"/>
    <mergeCell ref="B2:R2"/>
    <mergeCell ref="C3:D3"/>
    <mergeCell ref="G3:H3"/>
    <mergeCell ref="J3:K3"/>
    <mergeCell ref="B4:I4"/>
    <mergeCell ref="J4:K4"/>
    <mergeCell ref="L4:L5"/>
    <mergeCell ref="M4:M5"/>
    <mergeCell ref="N4:N5"/>
    <mergeCell ref="O4:O5"/>
    <mergeCell ref="P4:P5"/>
    <mergeCell ref="Q4:Q5"/>
    <mergeCell ref="R4:R5"/>
    <mergeCell ref="B9:R9"/>
    <mergeCell ref="B10:R10"/>
    <mergeCell ref="H19:R19"/>
    <mergeCell ref="B12:R12"/>
    <mergeCell ref="B13:R13"/>
    <mergeCell ref="B14:R14"/>
    <mergeCell ref="B16:B18"/>
    <mergeCell ref="H16:R16"/>
    <mergeCell ref="H17:R17"/>
    <mergeCell ref="H18:R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5. 8.</vt:lpstr>
      <vt:lpstr>5. 9.</vt:lpstr>
      <vt:lpstr>5. 10.</vt:lpstr>
      <vt:lpstr>5. 11.</vt:lpstr>
      <vt:lpstr>5. 12.</vt:lpstr>
      <vt:lpstr>5. 13.</vt:lpstr>
      <vt:lpstr>5. 14.</vt:lpstr>
      <vt:lpstr>5. 15.</vt:lpstr>
      <vt:lpstr>5. 16.</vt:lpstr>
      <vt:lpstr>5. 17.</vt:lpstr>
      <vt:lpstr>5. 18.</vt:lpstr>
      <vt:lpstr>5. 19.</vt:lpstr>
      <vt:lpstr>5. 20.</vt:lpstr>
      <vt:lpstr>5. 21.</vt:lpstr>
      <vt:lpstr>5. 22.</vt:lpstr>
      <vt:lpstr>5. 23.</vt:lpstr>
      <vt:lpstr>5. 24.</vt:lpstr>
      <vt:lpstr>5. 25.</vt:lpstr>
      <vt:lpstr>5. 26.</vt:lpstr>
      <vt:lpstr>5. 27.</vt:lpstr>
      <vt:lpstr>5. 28.</vt:lpstr>
      <vt:lpstr>5. 29.</vt:lpstr>
      <vt:lpstr>5. 30.</vt:lpstr>
      <vt:lpstr>5. 31.</vt:lpstr>
      <vt:lpstr>6. 1.</vt:lpstr>
      <vt:lpstr>6. 2.</vt:lpstr>
      <vt:lpstr>6. 3.</vt:lpstr>
      <vt:lpstr>6. 4.</vt:lpstr>
      <vt:lpstr>6. 5.</vt:lpstr>
      <vt:lpstr>6. 6.</vt:lpstr>
      <vt:lpstr>6. 7.</vt:lpstr>
      <vt:lpstr>6. 8.</vt:lpstr>
      <vt:lpstr>6. 9.</vt:lpstr>
      <vt:lpstr>6. 10.</vt:lpstr>
      <vt:lpstr>6. 11.</vt:lpstr>
      <vt:lpstr>6. 12.</vt:lpstr>
      <vt:lpstr>6. 13.</vt:lpstr>
      <vt:lpstr>6. 14.</vt:lpstr>
      <vt:lpstr>6. 15.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2023-11-12T05:14:25Z</cp:lastPrinted>
  <dcterms:created xsi:type="dcterms:W3CDTF">2023-05-11T05:45:53Z</dcterms:created>
  <dcterms:modified xsi:type="dcterms:W3CDTF">2024-02-14T04:01:22Z</dcterms:modified>
</cp:coreProperties>
</file>