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udiant\Documents\"/>
    </mc:Choice>
  </mc:AlternateContent>
  <bookViews>
    <workbookView xWindow="0" yWindow="0" windowWidth="17256" windowHeight="5772"/>
  </bookViews>
  <sheets>
    <sheet name="Evalutation du coût du projet" sheetId="1" r:id="rId1"/>
    <sheet name="References" sheetId="2" r:id="rId2"/>
  </sheets>
  <definedNames>
    <definedName name="ChargesP">References!$P$2:$R$5</definedName>
    <definedName name="Marge_MO">References!$W$1</definedName>
    <definedName name="PERSONNEL">References!$H$2:$J$4</definedName>
    <definedName name="PROFIL">References!$L$2:$N$4</definedName>
    <definedName name="TACHES">References!$B$2:$E$16</definedName>
    <definedName name="TpsTrav_SEMAINE">References!$U$1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G60" i="1" s="1"/>
  <c r="H60" i="1" s="1"/>
  <c r="D8" i="2"/>
  <c r="K17" i="1"/>
  <c r="G17" i="1"/>
  <c r="E17" i="1"/>
  <c r="D65" i="1"/>
  <c r="E65" i="1"/>
  <c r="F65" i="1" s="1"/>
  <c r="G65" i="1"/>
  <c r="H65" i="1" s="1"/>
  <c r="D66" i="1"/>
  <c r="E66" i="1"/>
  <c r="F66" i="1" s="1"/>
  <c r="G66" i="1"/>
  <c r="H66" i="1" s="1"/>
  <c r="D67" i="1"/>
  <c r="E67" i="1"/>
  <c r="F67" i="1" s="1"/>
  <c r="G67" i="1"/>
  <c r="H67" i="1" s="1"/>
  <c r="G73" i="1"/>
  <c r="H73" i="1" s="1"/>
  <c r="E73" i="1"/>
  <c r="F73" i="1" s="1"/>
  <c r="D73" i="1"/>
  <c r="G72" i="1"/>
  <c r="H72" i="1" s="1"/>
  <c r="E72" i="1"/>
  <c r="F72" i="1" s="1"/>
  <c r="D72" i="1"/>
  <c r="D16" i="2"/>
  <c r="D15" i="2"/>
  <c r="D2" i="2"/>
  <c r="D9" i="2"/>
  <c r="G58" i="1" s="1"/>
  <c r="H58" i="1" s="1"/>
  <c r="G57" i="1"/>
  <c r="H57" i="1" s="1"/>
  <c r="D14" i="2"/>
  <c r="G80" i="1" s="1"/>
  <c r="H80" i="1" s="1"/>
  <c r="D13" i="2"/>
  <c r="G79" i="1" s="1"/>
  <c r="H79" i="1" s="1"/>
  <c r="D12" i="2"/>
  <c r="D11" i="2"/>
  <c r="D10" i="2"/>
  <c r="D6" i="2"/>
  <c r="D4" i="2"/>
  <c r="D5" i="2"/>
  <c r="G49" i="1"/>
  <c r="H49" i="1" s="1"/>
  <c r="D3" i="2"/>
  <c r="G44" i="1"/>
  <c r="H44" i="1" s="1"/>
  <c r="G37" i="1"/>
  <c r="H37" i="1" s="1"/>
  <c r="G78" i="1"/>
  <c r="H78" i="1" s="1"/>
  <c r="G43" i="1"/>
  <c r="H43" i="1" s="1"/>
  <c r="E80" i="1"/>
  <c r="F80" i="1" s="1"/>
  <c r="D80" i="1"/>
  <c r="E79" i="1"/>
  <c r="F79" i="1" s="1"/>
  <c r="D79" i="1"/>
  <c r="E78" i="1"/>
  <c r="F78" i="1" s="1"/>
  <c r="D78" i="1"/>
  <c r="E60" i="1"/>
  <c r="F60" i="1" s="1"/>
  <c r="D60" i="1"/>
  <c r="E59" i="1"/>
  <c r="F59" i="1" s="1"/>
  <c r="D59" i="1"/>
  <c r="E58" i="1"/>
  <c r="F58" i="1" s="1"/>
  <c r="D58" i="1"/>
  <c r="E57" i="1"/>
  <c r="F57" i="1" s="1"/>
  <c r="D57" i="1"/>
  <c r="E52" i="1"/>
  <c r="F52" i="1" s="1"/>
  <c r="D52" i="1"/>
  <c r="E51" i="1"/>
  <c r="F51" i="1" s="1"/>
  <c r="D51" i="1"/>
  <c r="E50" i="1"/>
  <c r="F50" i="1" s="1"/>
  <c r="D50" i="1"/>
  <c r="E49" i="1"/>
  <c r="F49" i="1" s="1"/>
  <c r="D49" i="1"/>
  <c r="E44" i="1"/>
  <c r="F44" i="1" s="1"/>
  <c r="D44" i="1"/>
  <c r="E43" i="1"/>
  <c r="F43" i="1" s="1"/>
  <c r="D43" i="1"/>
  <c r="G42" i="1"/>
  <c r="H42" i="1" s="1"/>
  <c r="E42" i="1"/>
  <c r="F42" i="1" s="1"/>
  <c r="D42" i="1"/>
  <c r="E37" i="1"/>
  <c r="F37" i="1" s="1"/>
  <c r="D37" i="1"/>
  <c r="H17" i="1" l="1"/>
  <c r="J17" i="1" s="1"/>
  <c r="I66" i="1"/>
  <c r="J66" i="1" s="1"/>
  <c r="I65" i="1"/>
  <c r="J65" i="1" s="1"/>
  <c r="I67" i="1"/>
  <c r="J67" i="1" s="1"/>
  <c r="I73" i="1"/>
  <c r="J73" i="1" s="1"/>
  <c r="I72" i="1"/>
  <c r="J72" i="1" s="1"/>
  <c r="G50" i="1"/>
  <c r="H50" i="1" s="1"/>
  <c r="G59" i="1"/>
  <c r="G51" i="1"/>
  <c r="G52" i="1"/>
  <c r="I78" i="1"/>
  <c r="J78" i="1" s="1"/>
  <c r="I80" i="1"/>
  <c r="J80" i="1" s="1"/>
  <c r="I79" i="1"/>
  <c r="J79" i="1" s="1"/>
  <c r="I57" i="1"/>
  <c r="J57" i="1" s="1"/>
  <c r="I60" i="1"/>
  <c r="J60" i="1" s="1"/>
  <c r="I58" i="1"/>
  <c r="J58" i="1" s="1"/>
  <c r="I49" i="1"/>
  <c r="J49" i="1" s="1"/>
  <c r="I44" i="1"/>
  <c r="J44" i="1" s="1"/>
  <c r="I43" i="1"/>
  <c r="I42" i="1"/>
  <c r="J42" i="1" s="1"/>
  <c r="G16" i="1"/>
  <c r="G15" i="1"/>
  <c r="H15" i="1" s="1"/>
  <c r="J15" i="1" s="1"/>
  <c r="K15" i="1" s="1"/>
  <c r="E16" i="1"/>
  <c r="E15" i="1"/>
  <c r="H59" i="1" l="1"/>
  <c r="I59" i="1" s="1"/>
  <c r="J59" i="1" s="1"/>
  <c r="H52" i="1"/>
  <c r="I52" i="1" s="1"/>
  <c r="J52" i="1" s="1"/>
  <c r="H51" i="1"/>
  <c r="I51" i="1" s="1"/>
  <c r="J51" i="1" s="1"/>
  <c r="I37" i="1"/>
  <c r="J37" i="1" s="1"/>
  <c r="L37" i="1" s="1"/>
  <c r="H83" i="1"/>
  <c r="H91" i="1" s="1"/>
  <c r="H16" i="1"/>
  <c r="H27" i="1" s="1"/>
  <c r="I50" i="1"/>
  <c r="J50" i="1" s="1"/>
  <c r="J43" i="1"/>
  <c r="L42" i="1" l="1"/>
  <c r="L49" i="1" s="1"/>
  <c r="J16" i="1"/>
  <c r="K16" i="1" s="1"/>
  <c r="K27" i="1" s="1"/>
  <c r="H93" i="1" s="1"/>
  <c r="L57" i="1" l="1"/>
  <c r="L65" i="1" s="1"/>
  <c r="L72" i="1" s="1"/>
  <c r="L78" i="1" s="1"/>
  <c r="J83" i="1" s="1"/>
  <c r="I27" i="1"/>
  <c r="H92" i="1" l="1"/>
  <c r="H94" i="1" s="1"/>
  <c r="H90" i="1"/>
  <c r="I83" i="1"/>
  <c r="H95" i="1" l="1"/>
</calcChain>
</file>

<file path=xl/sharedStrings.xml><?xml version="1.0" encoding="utf-8"?>
<sst xmlns="http://schemas.openxmlformats.org/spreadsheetml/2006/main" count="227" uniqueCount="99">
  <si>
    <r>
      <rPr>
        <sz val="11"/>
        <color theme="1"/>
        <rFont val="Bahnschrift"/>
        <family val="2"/>
      </rPr>
      <t xml:space="preserve">Projet :  </t>
    </r>
    <r>
      <rPr>
        <b/>
        <sz val="11"/>
        <color theme="1"/>
        <rFont val="Bahnschrift"/>
        <family val="2"/>
      </rPr>
      <t>Dailybank</t>
    </r>
  </si>
  <si>
    <t>Ligne de devis matériel</t>
  </si>
  <si>
    <t>PrixFournisseur</t>
  </si>
  <si>
    <t>Quantité</t>
  </si>
  <si>
    <t>Total Acheté</t>
  </si>
  <si>
    <t>Code charge</t>
  </si>
  <si>
    <t>Quotité charge</t>
  </si>
  <si>
    <t>Total chargé</t>
  </si>
  <si>
    <t>Marge</t>
  </si>
  <si>
    <t>Prix proposé</t>
  </si>
  <si>
    <t>Total arrondi</t>
  </si>
  <si>
    <t>TACHES</t>
  </si>
  <si>
    <t>PERSONNEL</t>
  </si>
  <si>
    <t>PROFIL</t>
  </si>
  <si>
    <t>CHARGES PROPORTIONNELLES</t>
  </si>
  <si>
    <t>NOM</t>
  </si>
  <si>
    <t>CODE</t>
  </si>
  <si>
    <t>DESCRIPTION</t>
  </si>
  <si>
    <t>VALEUR</t>
  </si>
  <si>
    <t>CONDITIONS</t>
  </si>
  <si>
    <t>PI</t>
  </si>
  <si>
    <t>Pilotage du projet</t>
  </si>
  <si>
    <t>Chef de projet ou d'équipe</t>
  </si>
  <si>
    <t>DOCT</t>
  </si>
  <si>
    <t>Production de documentation technique</t>
  </si>
  <si>
    <t>DOCU</t>
  </si>
  <si>
    <t>Production de documentation utilisateur</t>
  </si>
  <si>
    <t>UNITE D'ŒUVRE</t>
  </si>
  <si>
    <t>COMMENTAIRE</t>
  </si>
  <si>
    <t>Sécurisation de la base de données</t>
  </si>
  <si>
    <t>Remise à niveau de la base de données</t>
  </si>
  <si>
    <t>Création et/ou modification de nouvelles procédures et vues concrêtes</t>
  </si>
  <si>
    <t>Mise en place et/ou remise à niveau des sécurités des données et de leur transport</t>
  </si>
  <si>
    <t>INITIALES</t>
  </si>
  <si>
    <t>HC</t>
  </si>
  <si>
    <t>Hugo CASTELL</t>
  </si>
  <si>
    <t>DEV&amp;DBA</t>
  </si>
  <si>
    <t>MP</t>
  </si>
  <si>
    <t>GB</t>
  </si>
  <si>
    <t>Matéo PEPIN</t>
  </si>
  <si>
    <t>Gabin MUNOZ</t>
  </si>
  <si>
    <t>COÛT HORAIRE</t>
  </si>
  <si>
    <t>DEV&amp;CP</t>
  </si>
  <si>
    <t>Chef de projet Maîtrise d'œuvre</t>
  </si>
  <si>
    <t>DEV&amp;RESPIHM</t>
  </si>
  <si>
    <t>Développeur d'application, spécialisé IHM</t>
  </si>
  <si>
    <t>Administrateur de la base de données</t>
  </si>
  <si>
    <t xml:space="preserve">Logiciel - Licence ORACLE Enterprise </t>
  </si>
  <si>
    <t>Tâches</t>
  </si>
  <si>
    <t>Nom</t>
  </si>
  <si>
    <t>Profil</t>
  </si>
  <si>
    <t>Coût Horaire</t>
  </si>
  <si>
    <t>Charge Evaluée</t>
  </si>
  <si>
    <t>Marge mOE</t>
  </si>
  <si>
    <t>Coût mOE</t>
  </si>
  <si>
    <t>Facturation</t>
  </si>
  <si>
    <t>Coûts administratifs</t>
  </si>
  <si>
    <t>CA</t>
  </si>
  <si>
    <t>EVALUATION CHARGE NECESSAIRE</t>
  </si>
  <si>
    <t>heure/homme</t>
  </si>
  <si>
    <t>Réception/Vérification commande</t>
  </si>
  <si>
    <t>Réception de la commande et vérification de l'intégrité du matériel</t>
  </si>
  <si>
    <t>CodePersonel</t>
  </si>
  <si>
    <t>TpsTrav SEMAINE</t>
  </si>
  <si>
    <t>Marge MO</t>
  </si>
  <si>
    <t>Installation du matériel de sauvegarde et paramètrage du logiciel</t>
  </si>
  <si>
    <t xml:space="preserve">  Activité Commande Fournisseur</t>
  </si>
  <si>
    <t xml:space="preserve">  Activité Installation / Configuration du matériel</t>
  </si>
  <si>
    <t>Intallation / Paramétrage Matériel Sauvegarde</t>
  </si>
  <si>
    <t xml:space="preserve">  Activité Communication client</t>
  </si>
  <si>
    <t>Création du diaporama</t>
  </si>
  <si>
    <t>Présentation du diaporama</t>
  </si>
  <si>
    <t xml:space="preserve">  Activité Formation</t>
  </si>
  <si>
    <t>Formation Serveur</t>
  </si>
  <si>
    <t>Formation Sauvegarde</t>
  </si>
  <si>
    <t>Formation au serveur spécifique</t>
  </si>
  <si>
    <t>Formation au logiciel de sauvegarde</t>
  </si>
  <si>
    <t>jour/homme</t>
  </si>
  <si>
    <t>Déploiement du serveur</t>
  </si>
  <si>
    <t>Déploiement logiciel</t>
  </si>
  <si>
    <t>Intégration du serveur au réseau local de l'entreprise</t>
  </si>
  <si>
    <t>Intégration du logiciel dans les locaux du client</t>
  </si>
  <si>
    <t xml:space="preserve">  Activité Déploiement</t>
  </si>
  <si>
    <t xml:space="preserve">  Activité Test</t>
  </si>
  <si>
    <t>Test serveur</t>
  </si>
  <si>
    <t>Test sauvegarde</t>
  </si>
  <si>
    <t>Test client</t>
  </si>
  <si>
    <t>Réalisation de tests serveur</t>
  </si>
  <si>
    <t>Réalisation de tests sauvegarde</t>
  </si>
  <si>
    <t>Réalisation de tests client</t>
  </si>
  <si>
    <t>Total cumulé</t>
  </si>
  <si>
    <t>Développement CRUD Employé</t>
  </si>
  <si>
    <t>Développement Guichetier</t>
  </si>
  <si>
    <t>Développement des fonctionnalités de création, de suppression, de modification des employés par le chef d'agence</t>
  </si>
  <si>
    <t>Développement des fonctionnalités de création et clôture de compte ainsi que de débit, crédit et virement d'un compte</t>
  </si>
  <si>
    <t xml:space="preserve">  Activité Développement</t>
  </si>
  <si>
    <t>,</t>
  </si>
  <si>
    <t>Matériel de Système de sauvegarde - Serveur</t>
  </si>
  <si>
    <t>Logiciel de Système de sauvegarde - ORACLE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</si>
</sst>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20"/>
      <color theme="1"/>
      <name val="Bahnschrift"/>
      <family val="2"/>
    </font>
    <font>
      <b/>
      <sz val="11"/>
      <color theme="1"/>
      <name val="Bahnschrift"/>
      <family val="2"/>
    </font>
    <font>
      <sz val="10"/>
      <color theme="1"/>
      <name val="Arial"/>
      <family val="2"/>
    </font>
    <font>
      <sz val="10"/>
      <color theme="1"/>
      <name val="Bahnschrift"/>
      <family val="2"/>
    </font>
    <font>
      <sz val="9"/>
      <color theme="1"/>
      <name val="Bahnschrift Light"/>
      <family val="2"/>
    </font>
    <font>
      <sz val="11"/>
      <color rgb="FFFDFCFE"/>
      <name val="Bahnschrift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BFAFC"/>
        <bgColor indexed="64"/>
      </patternFill>
    </fill>
    <fill>
      <patternFill patternType="solid">
        <fgColor rgb="FFF5F2F8"/>
        <bgColor indexed="64"/>
      </patternFill>
    </fill>
    <fill>
      <patternFill patternType="solid">
        <fgColor rgb="FFFDFC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C8D5"/>
        <bgColor indexed="64"/>
      </patternFill>
    </fill>
  </fills>
  <borders count="2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 style="thin">
        <color theme="0" tint="-0.1499984740745262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1"/>
      </right>
      <top/>
      <bottom/>
      <diagonal/>
    </border>
    <border>
      <left style="thin">
        <color theme="0" tint="-0.14999847407452621"/>
      </left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1"/>
      </right>
      <top style="thin">
        <color theme="0" tint="-0.14999847407452621"/>
      </top>
      <bottom style="thin">
        <color theme="1"/>
      </bottom>
      <diagonal/>
    </border>
    <border>
      <left style="thin">
        <color theme="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4" fillId="2" borderId="0" xfId="0" applyFont="1" applyFill="1" applyAlignment="1">
      <alignment horizontal="center" vertical="center"/>
    </xf>
    <xf numFmtId="0" fontId="3" fillId="2" borderId="0" xfId="0" applyFont="1" applyFill="1"/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2" borderId="5" xfId="0" applyFont="1" applyFill="1" applyBorder="1"/>
    <xf numFmtId="0" fontId="3" fillId="4" borderId="1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3" borderId="7" xfId="0" applyFont="1" applyFill="1" applyBorder="1"/>
    <xf numFmtId="0" fontId="8" fillId="3" borderId="2" xfId="0" applyFont="1" applyFill="1" applyBorder="1"/>
    <xf numFmtId="0" fontId="8" fillId="5" borderId="4" xfId="0" applyFont="1" applyFill="1" applyBorder="1"/>
    <xf numFmtId="0" fontId="8" fillId="5" borderId="3" xfId="0" applyFont="1" applyFill="1" applyBorder="1"/>
    <xf numFmtId="0" fontId="8" fillId="3" borderId="8" xfId="0" applyFont="1" applyFill="1" applyBorder="1"/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0" fontId="8" fillId="2" borderId="0" xfId="0" applyFont="1" applyFill="1" applyBorder="1"/>
    <xf numFmtId="0" fontId="8" fillId="3" borderId="7" xfId="0" applyFont="1" applyFill="1" applyBorder="1" applyAlignment="1"/>
    <xf numFmtId="0" fontId="8" fillId="3" borderId="2" xfId="0" applyFont="1" applyFill="1" applyBorder="1" applyAlignment="1"/>
    <xf numFmtId="0" fontId="8" fillId="3" borderId="2" xfId="0" applyFont="1" applyFill="1" applyBorder="1" applyAlignment="1">
      <alignment horizontal="center"/>
    </xf>
    <xf numFmtId="9" fontId="8" fillId="3" borderId="2" xfId="0" applyNumberFormat="1" applyFont="1" applyFill="1" applyBorder="1" applyAlignment="1"/>
    <xf numFmtId="0" fontId="8" fillId="5" borderId="4" xfId="0" applyFont="1" applyFill="1" applyBorder="1" applyAlignment="1"/>
    <xf numFmtId="0" fontId="8" fillId="5" borderId="3" xfId="0" applyFont="1" applyFill="1" applyBorder="1" applyAlignment="1"/>
    <xf numFmtId="0" fontId="8" fillId="5" borderId="3" xfId="0" applyFont="1" applyFill="1" applyBorder="1" applyAlignment="1">
      <alignment horizontal="center"/>
    </xf>
    <xf numFmtId="9" fontId="8" fillId="5" borderId="3" xfId="0" applyNumberFormat="1" applyFont="1" applyFill="1" applyBorder="1" applyAlignment="1"/>
    <xf numFmtId="0" fontId="8" fillId="3" borderId="8" xfId="0" applyFont="1" applyFill="1" applyBorder="1" applyAlignment="1"/>
    <xf numFmtId="0" fontId="8" fillId="5" borderId="9" xfId="0" applyFont="1" applyFill="1" applyBorder="1" applyAlignment="1"/>
    <xf numFmtId="0" fontId="8" fillId="5" borderId="10" xfId="0" applyFont="1" applyFill="1" applyBorder="1" applyAlignment="1"/>
    <xf numFmtId="0" fontId="8" fillId="5" borderId="10" xfId="0" applyFont="1" applyFill="1" applyBorder="1" applyAlignment="1">
      <alignment horizontal="center"/>
    </xf>
    <xf numFmtId="9" fontId="8" fillId="3" borderId="2" xfId="2" applyFont="1" applyFill="1" applyBorder="1" applyAlignment="1">
      <alignment horizontal="center"/>
    </xf>
    <xf numFmtId="9" fontId="8" fillId="5" borderId="3" xfId="2" applyFont="1" applyFill="1" applyBorder="1" applyAlignment="1">
      <alignment horizontal="center"/>
    </xf>
    <xf numFmtId="9" fontId="8" fillId="5" borderId="10" xfId="2" applyFont="1" applyFill="1" applyBorder="1" applyAlignment="1">
      <alignment horizontal="center"/>
    </xf>
    <xf numFmtId="9" fontId="7" fillId="2" borderId="0" xfId="2" applyFont="1" applyFill="1" applyAlignment="1">
      <alignment horizontal="center" vertical="center"/>
    </xf>
    <xf numFmtId="164" fontId="8" fillId="3" borderId="12" xfId="0" applyNumberFormat="1" applyFont="1" applyFill="1" applyBorder="1" applyAlignment="1"/>
    <xf numFmtId="164" fontId="8" fillId="5" borderId="13" xfId="0" applyNumberFormat="1" applyFont="1" applyFill="1" applyBorder="1" applyAlignment="1"/>
    <xf numFmtId="164" fontId="8" fillId="5" borderId="14" xfId="0" applyNumberFormat="1" applyFont="1" applyFill="1" applyBorder="1" applyAlignment="1"/>
    <xf numFmtId="164" fontId="8" fillId="3" borderId="2" xfId="0" applyNumberFormat="1" applyFont="1" applyFill="1" applyBorder="1" applyAlignment="1"/>
    <xf numFmtId="164" fontId="8" fillId="5" borderId="3" xfId="0" applyNumberFormat="1" applyFont="1" applyFill="1" applyBorder="1" applyAlignment="1"/>
    <xf numFmtId="164" fontId="8" fillId="5" borderId="10" xfId="0" applyNumberFormat="1" applyFont="1" applyFill="1" applyBorder="1" applyAlignment="1"/>
    <xf numFmtId="44" fontId="8" fillId="3" borderId="2" xfId="1" applyFont="1" applyFill="1" applyBorder="1" applyAlignment="1"/>
    <xf numFmtId="44" fontId="8" fillId="5" borderId="3" xfId="1" applyFont="1" applyFill="1" applyBorder="1" applyAlignment="1"/>
    <xf numFmtId="44" fontId="8" fillId="5" borderId="10" xfId="1" applyFont="1" applyFill="1" applyBorder="1" applyAlignment="1"/>
    <xf numFmtId="9" fontId="7" fillId="2" borderId="0" xfId="2" applyFont="1" applyFill="1" applyAlignment="1">
      <alignment horizontal="center" vertical="center"/>
    </xf>
    <xf numFmtId="0" fontId="3" fillId="7" borderId="0" xfId="0" applyFont="1" applyFill="1"/>
    <xf numFmtId="164" fontId="8" fillId="3" borderId="2" xfId="0" applyNumberFormat="1" applyFont="1" applyFill="1" applyBorder="1"/>
    <xf numFmtId="164" fontId="8" fillId="5" borderId="3" xfId="0" applyNumberFormat="1" applyFont="1" applyFill="1" applyBorder="1"/>
    <xf numFmtId="164" fontId="8" fillId="3" borderId="12" xfId="0" applyNumberFormat="1" applyFont="1" applyFill="1" applyBorder="1"/>
    <xf numFmtId="164" fontId="8" fillId="5" borderId="13" xfId="0" applyNumberFormat="1" applyFont="1" applyFill="1" applyBorder="1"/>
    <xf numFmtId="44" fontId="7" fillId="2" borderId="0" xfId="1" applyFont="1" applyFill="1" applyAlignment="1">
      <alignment horizontal="center" vertical="center"/>
    </xf>
    <xf numFmtId="0" fontId="9" fillId="7" borderId="0" xfId="0" applyFont="1" applyFill="1" applyAlignment="1">
      <alignment horizontal="left" vertical="center"/>
    </xf>
    <xf numFmtId="0" fontId="8" fillId="3" borderId="15" xfId="0" applyFont="1" applyFill="1" applyBorder="1"/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/>
    <xf numFmtId="164" fontId="8" fillId="3" borderId="11" xfId="0" applyNumberFormat="1" applyFont="1" applyFill="1" applyBorder="1"/>
    <xf numFmtId="0" fontId="3" fillId="2" borderId="0" xfId="0" applyFont="1" applyFill="1" applyAlignment="1">
      <alignment horizontal="center"/>
    </xf>
    <xf numFmtId="0" fontId="8" fillId="3" borderId="16" xfId="0" applyFont="1" applyFill="1" applyBorder="1"/>
    <xf numFmtId="0" fontId="8" fillId="3" borderId="17" xfId="0" applyFont="1" applyFill="1" applyBorder="1"/>
    <xf numFmtId="0" fontId="8" fillId="3" borderId="17" xfId="0" applyFont="1" applyFill="1" applyBorder="1" applyAlignment="1">
      <alignment horizontal="center"/>
    </xf>
    <xf numFmtId="164" fontId="8" fillId="3" borderId="17" xfId="0" applyNumberFormat="1" applyFont="1" applyFill="1" applyBorder="1"/>
    <xf numFmtId="164" fontId="8" fillId="3" borderId="18" xfId="0" applyNumberFormat="1" applyFont="1" applyFill="1" applyBorder="1"/>
    <xf numFmtId="0" fontId="8" fillId="5" borderId="16" xfId="0" applyFont="1" applyFill="1" applyBorder="1"/>
    <xf numFmtId="0" fontId="8" fillId="5" borderId="17" xfId="0" applyFont="1" applyFill="1" applyBorder="1"/>
    <xf numFmtId="0" fontId="8" fillId="5" borderId="17" xfId="0" applyFont="1" applyFill="1" applyBorder="1" applyAlignment="1">
      <alignment horizontal="center"/>
    </xf>
    <xf numFmtId="164" fontId="8" fillId="5" borderId="17" xfId="0" applyNumberFormat="1" applyFont="1" applyFill="1" applyBorder="1"/>
    <xf numFmtId="164" fontId="8" fillId="5" borderId="18" xfId="0" applyNumberFormat="1" applyFont="1" applyFill="1" applyBorder="1"/>
    <xf numFmtId="44" fontId="7" fillId="2" borderId="0" xfId="1" applyFont="1" applyFill="1" applyAlignment="1">
      <alignment horizontal="right" vertical="center"/>
    </xf>
    <xf numFmtId="0" fontId="3" fillId="4" borderId="20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164" fontId="8" fillId="3" borderId="21" xfId="0" applyNumberFormat="1" applyFont="1" applyFill="1" applyBorder="1"/>
    <xf numFmtId="0" fontId="0" fillId="0" borderId="0" xfId="0" applyNumberFormat="1" applyAlignment="1">
      <alignment horizontal="center" vertical="center"/>
    </xf>
    <xf numFmtId="9" fontId="7" fillId="2" borderId="0" xfId="2" applyFont="1" applyFill="1" applyAlignment="1">
      <alignment horizontal="right" vertical="center"/>
    </xf>
    <xf numFmtId="0" fontId="3" fillId="2" borderId="0" xfId="0" applyFont="1" applyFill="1" applyAlignment="1">
      <alignment horizontal="right"/>
    </xf>
    <xf numFmtId="0" fontId="9" fillId="2" borderId="0" xfId="0" applyFont="1" applyFill="1"/>
    <xf numFmtId="0" fontId="9" fillId="2" borderId="0" xfId="0" applyFont="1" applyFill="1" applyAlignment="1">
      <alignment horizontal="right"/>
    </xf>
  </cellXfs>
  <cellStyles count="3">
    <cellStyle name="Monétaire" xfId="1" builtinId="4"/>
    <cellStyle name="Normal" xfId="0" builtinId="0"/>
    <cellStyle name="Pourcentage" xfId="2" builtinId="5"/>
  </cellStyles>
  <dxfs count="7"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3DFEF"/>
      <color rgb="FFF4C8D5"/>
      <color rgb="FFFDFCFE"/>
      <color rgb="FFFBFAFC"/>
      <color rgb="FFF5F2F8"/>
      <color rgb="FFF2F0F5"/>
      <color rgb="FFD432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100</xdr:row>
      <xdr:rowOff>53340</xdr:rowOff>
    </xdr:from>
    <xdr:to>
      <xdr:col>7</xdr:col>
      <xdr:colOff>68580</xdr:colOff>
      <xdr:row>113</xdr:row>
      <xdr:rowOff>68580</xdr:rowOff>
    </xdr:to>
    <xdr:sp macro="" textlink="">
      <xdr:nvSpPr>
        <xdr:cNvPr id="50" name="Rectangle à coins arrondis 49"/>
        <xdr:cNvSpPr/>
      </xdr:nvSpPr>
      <xdr:spPr>
        <a:xfrm>
          <a:off x="853440" y="18851880"/>
          <a:ext cx="7391400" cy="2293620"/>
        </a:xfrm>
        <a:prstGeom prst="roundRect">
          <a:avLst/>
        </a:prstGeom>
        <a:solidFill>
          <a:srgbClr val="E3DF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Pour chiffrer ce projet, nous avons calculé l'ensemble des tâches en admettant deux constantes</a:t>
          </a:r>
          <a:r>
            <a:rPr lang="fr-FR" sz="9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 : temps de travail hebdomadaire de 6h et une marge de main d'oeuvre de 2.</a:t>
          </a:r>
        </a:p>
        <a:p>
          <a:pPr algn="l"/>
          <a:endParaRPr lang="fr-FR" sz="9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0"/>
                </a:schemeClr>
              </a:outerShdw>
            </a:effectLst>
            <a:latin typeface="Bahnschrift Light" panose="020B0502040204020203" pitchFamily="34" charset="0"/>
          </a:endParaRPr>
        </a:p>
        <a:p>
          <a:pPr algn="l"/>
          <a:r>
            <a:rPr lang="fr-FR" sz="9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DailyBank est un logiciel d'entreprise bancaire, nous avons choisi de lui fournir une licence ORACLE Entreprise Edition :</a:t>
          </a:r>
        </a:p>
        <a:p>
          <a:pPr algn="l"/>
          <a:r>
            <a:rPr lang="fr-FR" sz="9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	• Nous avons choisi une solution standard</a:t>
          </a:r>
        </a:p>
        <a:p>
          <a:pPr algn="l"/>
          <a:r>
            <a:rPr lang="fr-FR" sz="9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	• Un socket avec un processeur associé pour réduire les coûts</a:t>
          </a:r>
        </a:p>
        <a:p>
          <a:pPr algn="l"/>
          <a:endParaRPr lang="fr-FR" sz="9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0"/>
                </a:schemeClr>
              </a:outerShdw>
            </a:effectLst>
            <a:latin typeface="Bahnschrift Light" panose="020B0502040204020203" pitchFamily="34" charset="0"/>
          </a:endParaRPr>
        </a:p>
        <a:p>
          <a:pPr algn="l"/>
          <a:r>
            <a:rPr lang="fr-FR" sz="9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De plus, nous avons choisi, en connaissance de cause, d'acheter un serveur haut de gamme simple </a:t>
          </a:r>
          <a:r>
            <a:rPr lang="fr-FR" sz="9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sans climatisation</a:t>
          </a:r>
          <a:r>
            <a:rPr lang="fr-FR" sz="900" b="0" u="non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 :</a:t>
          </a:r>
        </a:p>
        <a:p>
          <a:pPr algn="l"/>
          <a:r>
            <a:rPr lang="fr-FR" sz="900" b="0" u="non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	• Serveur 	:	Tour</a:t>
          </a:r>
        </a:p>
        <a:p>
          <a:pPr algn="l"/>
          <a:r>
            <a:rPr lang="fr-FR" sz="900" b="0" u="non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	• Marque	:	DELL</a:t>
          </a:r>
        </a:p>
        <a:p>
          <a:pPr algn="l"/>
          <a:r>
            <a:rPr lang="fr-FR" sz="900" b="0" u="non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	• Modèle	:	T330</a:t>
          </a:r>
        </a:p>
        <a:p>
          <a:pPr algn="l"/>
          <a:r>
            <a:rPr lang="fr-FR" sz="900" b="0" u="non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	• Type	:	Chassis</a:t>
          </a:r>
        </a:p>
        <a:p>
          <a:pPr algn="l"/>
          <a:endParaRPr lang="fr-FR" sz="900" b="0" u="none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0"/>
                </a:schemeClr>
              </a:outerShdw>
            </a:effectLst>
            <a:latin typeface="Bahnschrift Light" panose="020B0502040204020203" pitchFamily="34" charset="0"/>
          </a:endParaRPr>
        </a:p>
        <a:p>
          <a:pPr algn="l"/>
          <a:r>
            <a:rPr lang="fr-FR" sz="900" b="0" i="1" u="non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NB : ceci est un chiffrage fictif car la version 1 n'a pas pu être terminée dû à des  problèmes techniques...</a:t>
          </a:r>
          <a:endParaRPr lang="fr-FR" sz="900" b="0" i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0"/>
                </a:schemeClr>
              </a:outerShdw>
            </a:effectLst>
            <a:latin typeface="Bahnschrift Light" panose="020B0502040204020203" pitchFamily="34" charset="0"/>
          </a:endParaRPr>
        </a:p>
      </xdr:txBody>
    </xdr:sp>
    <xdr:clientData/>
  </xdr:twoCellAnchor>
  <xdr:twoCellAnchor>
    <xdr:from>
      <xdr:col>0</xdr:col>
      <xdr:colOff>647700</xdr:colOff>
      <xdr:row>98</xdr:row>
      <xdr:rowOff>45720</xdr:rowOff>
    </xdr:from>
    <xdr:to>
      <xdr:col>2</xdr:col>
      <xdr:colOff>45720</xdr:colOff>
      <xdr:row>100</xdr:row>
      <xdr:rowOff>45720</xdr:rowOff>
    </xdr:to>
    <xdr:sp macro="" textlink="">
      <xdr:nvSpPr>
        <xdr:cNvPr id="48" name="Rectangle à coins arrondis 47"/>
        <xdr:cNvSpPr/>
      </xdr:nvSpPr>
      <xdr:spPr>
        <a:xfrm>
          <a:off x="647700" y="17122140"/>
          <a:ext cx="2598420" cy="350520"/>
        </a:xfrm>
        <a:prstGeom prst="roundRect">
          <a:avLst/>
        </a:prstGeom>
        <a:solidFill>
          <a:srgbClr val="E3DF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" panose="020B0502040204020203" pitchFamily="34" charset="0"/>
            </a:rPr>
            <a:t>NOTES</a:t>
          </a:r>
        </a:p>
      </xdr:txBody>
    </xdr:sp>
    <xdr:clientData/>
  </xdr:twoCellAnchor>
  <xdr:twoCellAnchor>
    <xdr:from>
      <xdr:col>7</xdr:col>
      <xdr:colOff>281940</xdr:colOff>
      <xdr:row>26</xdr:row>
      <xdr:rowOff>68580</xdr:rowOff>
    </xdr:from>
    <xdr:to>
      <xdr:col>7</xdr:col>
      <xdr:colOff>952500</xdr:colOff>
      <xdr:row>26</xdr:row>
      <xdr:rowOff>137160</xdr:rowOff>
    </xdr:to>
    <xdr:sp macro="" textlink="">
      <xdr:nvSpPr>
        <xdr:cNvPr id="4" name="Rectangle 3"/>
        <xdr:cNvSpPr/>
      </xdr:nvSpPr>
      <xdr:spPr>
        <a:xfrm>
          <a:off x="8458200" y="4884420"/>
          <a:ext cx="670560" cy="68580"/>
        </a:xfrm>
        <a:prstGeom prst="rect">
          <a:avLst/>
        </a:prstGeom>
        <a:solidFill>
          <a:srgbClr val="FFFF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0</xdr:colOff>
      <xdr:row>1</xdr:row>
      <xdr:rowOff>175260</xdr:rowOff>
    </xdr:from>
    <xdr:to>
      <xdr:col>9</xdr:col>
      <xdr:colOff>7620</xdr:colOff>
      <xdr:row>5</xdr:row>
      <xdr:rowOff>0</xdr:rowOff>
    </xdr:to>
    <xdr:sp macro="" textlink="">
      <xdr:nvSpPr>
        <xdr:cNvPr id="2" name="Rectangle à coins arrondis 1"/>
        <xdr:cNvSpPr/>
      </xdr:nvSpPr>
      <xdr:spPr>
        <a:xfrm>
          <a:off x="3200400" y="350520"/>
          <a:ext cx="5554980" cy="617220"/>
        </a:xfrm>
        <a:prstGeom prst="roundRect">
          <a:avLst/>
        </a:prstGeom>
        <a:solidFill>
          <a:srgbClr val="E3DF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EVALUATION DU COÛT DU PROJET</a:t>
          </a:r>
        </a:p>
      </xdr:txBody>
    </xdr:sp>
    <xdr:clientData/>
  </xdr:twoCellAnchor>
  <xdr:twoCellAnchor>
    <xdr:from>
      <xdr:col>0</xdr:col>
      <xdr:colOff>601980</xdr:colOff>
      <xdr:row>10</xdr:row>
      <xdr:rowOff>0</xdr:rowOff>
    </xdr:from>
    <xdr:to>
      <xdr:col>2</xdr:col>
      <xdr:colOff>0</xdr:colOff>
      <xdr:row>12</xdr:row>
      <xdr:rowOff>0</xdr:rowOff>
    </xdr:to>
    <xdr:sp macro="" textlink="">
      <xdr:nvSpPr>
        <xdr:cNvPr id="5" name="Rectangle à coins arrondis 4"/>
        <xdr:cNvSpPr/>
      </xdr:nvSpPr>
      <xdr:spPr>
        <a:xfrm>
          <a:off x="601980" y="1844040"/>
          <a:ext cx="2598420" cy="350520"/>
        </a:xfrm>
        <a:prstGeom prst="roundRect">
          <a:avLst/>
        </a:prstGeom>
        <a:solidFill>
          <a:srgbClr val="F2F0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" panose="020B0502040204020203" pitchFamily="34" charset="0"/>
            </a:rPr>
            <a:t>COMMANDES FOURNISSEUR</a:t>
          </a:r>
        </a:p>
      </xdr:txBody>
    </xdr:sp>
    <xdr:clientData/>
  </xdr:twoCellAnchor>
  <xdr:twoCellAnchor editAs="oneCell">
    <xdr:from>
      <xdr:col>2</xdr:col>
      <xdr:colOff>137160</xdr:colOff>
      <xdr:row>10</xdr:row>
      <xdr:rowOff>0</xdr:rowOff>
    </xdr:from>
    <xdr:to>
      <xdr:col>2</xdr:col>
      <xdr:colOff>830580</xdr:colOff>
      <xdr:row>12</xdr:row>
      <xdr:rowOff>586</xdr:rowOff>
    </xdr:to>
    <xdr:sp macro="" textlink="">
      <xdr:nvSpPr>
        <xdr:cNvPr id="6" name="Rectangle à coins arrondis 5"/>
        <xdr:cNvSpPr/>
      </xdr:nvSpPr>
      <xdr:spPr>
        <a:xfrm>
          <a:off x="3337560" y="1844040"/>
          <a:ext cx="693420" cy="350520"/>
        </a:xfrm>
        <a:prstGeom prst="roundRect">
          <a:avLst/>
        </a:prstGeom>
        <a:solidFill>
          <a:srgbClr val="F2F0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100" b="1" i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" panose="020B0502040204020203" pitchFamily="34" charset="0"/>
            </a:rPr>
            <a:t>OUI</a:t>
          </a:r>
        </a:p>
      </xdr:txBody>
    </xdr:sp>
    <xdr:clientData/>
  </xdr:twoCellAnchor>
  <xdr:twoCellAnchor>
    <xdr:from>
      <xdr:col>1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10" name="Rectangle à coins arrondis 9"/>
        <xdr:cNvSpPr/>
      </xdr:nvSpPr>
      <xdr:spPr>
        <a:xfrm>
          <a:off x="792480" y="4815840"/>
          <a:ext cx="7383780" cy="175260"/>
        </a:xfrm>
        <a:prstGeom prst="roundRect">
          <a:avLst/>
        </a:prstGeom>
        <a:solidFill>
          <a:srgbClr val="FBFAF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Montant hors</a:t>
          </a:r>
          <a:r>
            <a:rPr lang="fr-F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 taxes</a:t>
          </a:r>
        </a:p>
      </xdr:txBody>
    </xdr:sp>
    <xdr:clientData/>
  </xdr:twoCellAnchor>
  <xdr:twoCellAnchor>
    <xdr:from>
      <xdr:col>0</xdr:col>
      <xdr:colOff>601980</xdr:colOff>
      <xdr:row>29</xdr:row>
      <xdr:rowOff>137160</xdr:rowOff>
    </xdr:from>
    <xdr:to>
      <xdr:col>2</xdr:col>
      <xdr:colOff>0</xdr:colOff>
      <xdr:row>31</xdr:row>
      <xdr:rowOff>137160</xdr:rowOff>
    </xdr:to>
    <xdr:sp macro="" textlink="">
      <xdr:nvSpPr>
        <xdr:cNvPr id="11" name="Rectangle à coins arrondis 10"/>
        <xdr:cNvSpPr/>
      </xdr:nvSpPr>
      <xdr:spPr>
        <a:xfrm>
          <a:off x="601980" y="5478780"/>
          <a:ext cx="2598420" cy="350520"/>
        </a:xfrm>
        <a:prstGeom prst="roundRect">
          <a:avLst/>
        </a:prstGeom>
        <a:solidFill>
          <a:srgbClr val="F2F0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" panose="020B0502040204020203" pitchFamily="34" charset="0"/>
            </a:rPr>
            <a:t>SERVICES</a:t>
          </a:r>
        </a:p>
      </xdr:txBody>
    </xdr:sp>
    <xdr:clientData/>
  </xdr:twoCellAnchor>
  <xdr:twoCellAnchor>
    <xdr:from>
      <xdr:col>9</xdr:col>
      <xdr:colOff>22860</xdr:colOff>
      <xdr:row>26</xdr:row>
      <xdr:rowOff>71034</xdr:rowOff>
    </xdr:from>
    <xdr:to>
      <xdr:col>9</xdr:col>
      <xdr:colOff>274320</xdr:colOff>
      <xdr:row>26</xdr:row>
      <xdr:rowOff>137160</xdr:rowOff>
    </xdr:to>
    <xdr:sp macro="" textlink="">
      <xdr:nvSpPr>
        <xdr:cNvPr id="12" name="Rectangle 11"/>
        <xdr:cNvSpPr/>
      </xdr:nvSpPr>
      <xdr:spPr>
        <a:xfrm>
          <a:off x="10016038" y="4865822"/>
          <a:ext cx="251460" cy="66126"/>
        </a:xfrm>
        <a:prstGeom prst="rect">
          <a:avLst/>
        </a:prstGeom>
        <a:solidFill>
          <a:srgbClr val="FFFF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243841</xdr:colOff>
      <xdr:row>26</xdr:row>
      <xdr:rowOff>74814</xdr:rowOff>
    </xdr:from>
    <xdr:to>
      <xdr:col>10</xdr:col>
      <xdr:colOff>981817</xdr:colOff>
      <xdr:row>26</xdr:row>
      <xdr:rowOff>137805</xdr:rowOff>
    </xdr:to>
    <xdr:sp macro="" textlink="">
      <xdr:nvSpPr>
        <xdr:cNvPr id="13" name="Rectangle 12"/>
        <xdr:cNvSpPr/>
      </xdr:nvSpPr>
      <xdr:spPr>
        <a:xfrm>
          <a:off x="11338561" y="4874029"/>
          <a:ext cx="737976" cy="62991"/>
        </a:xfrm>
        <a:prstGeom prst="rect">
          <a:avLst/>
        </a:prstGeom>
        <a:solidFill>
          <a:srgbClr val="FFFF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281940</xdr:colOff>
      <xdr:row>82</xdr:row>
      <xdr:rowOff>68580</xdr:rowOff>
    </xdr:from>
    <xdr:to>
      <xdr:col>7</xdr:col>
      <xdr:colOff>952500</xdr:colOff>
      <xdr:row>82</xdr:row>
      <xdr:rowOff>137160</xdr:rowOff>
    </xdr:to>
    <xdr:sp macro="" textlink="">
      <xdr:nvSpPr>
        <xdr:cNvPr id="14" name="Rectangle 13"/>
        <xdr:cNvSpPr/>
      </xdr:nvSpPr>
      <xdr:spPr>
        <a:xfrm>
          <a:off x="8458200" y="4884420"/>
          <a:ext cx="670560" cy="68580"/>
        </a:xfrm>
        <a:prstGeom prst="rect">
          <a:avLst/>
        </a:prstGeom>
        <a:solidFill>
          <a:srgbClr val="FFFF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7</xdr:col>
      <xdr:colOff>0</xdr:colOff>
      <xdr:row>83</xdr:row>
      <xdr:rowOff>0</xdr:rowOff>
    </xdr:to>
    <xdr:sp macro="" textlink="">
      <xdr:nvSpPr>
        <xdr:cNvPr id="15" name="Rectangle à coins arrondis 14"/>
        <xdr:cNvSpPr/>
      </xdr:nvSpPr>
      <xdr:spPr>
        <a:xfrm>
          <a:off x="792480" y="4815840"/>
          <a:ext cx="7383780" cy="175260"/>
        </a:xfrm>
        <a:prstGeom prst="roundRect">
          <a:avLst/>
        </a:prstGeom>
        <a:solidFill>
          <a:srgbClr val="FBFAF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Montant total MAIN</a:t>
          </a:r>
          <a:r>
            <a:rPr lang="fr-F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 D'OEUVRE </a:t>
          </a:r>
          <a:r>
            <a:rPr lang="fr-F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hors</a:t>
          </a:r>
          <a:r>
            <a:rPr lang="fr-F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 taxes</a:t>
          </a:r>
        </a:p>
      </xdr:txBody>
    </xdr:sp>
    <xdr:clientData/>
  </xdr:twoCellAnchor>
  <xdr:twoCellAnchor>
    <xdr:from>
      <xdr:col>8</xdr:col>
      <xdr:colOff>264942</xdr:colOff>
      <xdr:row>82</xdr:row>
      <xdr:rowOff>70448</xdr:rowOff>
    </xdr:from>
    <xdr:to>
      <xdr:col>8</xdr:col>
      <xdr:colOff>516402</xdr:colOff>
      <xdr:row>82</xdr:row>
      <xdr:rowOff>136574</xdr:rowOff>
    </xdr:to>
    <xdr:sp macro="" textlink="">
      <xdr:nvSpPr>
        <xdr:cNvPr id="16" name="Rectangle 15"/>
        <xdr:cNvSpPr/>
      </xdr:nvSpPr>
      <xdr:spPr>
        <a:xfrm>
          <a:off x="9463894" y="14376265"/>
          <a:ext cx="251460" cy="66126"/>
        </a:xfrm>
        <a:prstGeom prst="rect">
          <a:avLst/>
        </a:prstGeom>
        <a:solidFill>
          <a:srgbClr val="FFFF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295130</xdr:colOff>
      <xdr:row>82</xdr:row>
      <xdr:rowOff>74814</xdr:rowOff>
    </xdr:from>
    <xdr:to>
      <xdr:col>9</xdr:col>
      <xdr:colOff>1033106</xdr:colOff>
      <xdr:row>82</xdr:row>
      <xdr:rowOff>137805</xdr:rowOff>
    </xdr:to>
    <xdr:sp macro="" textlink="">
      <xdr:nvSpPr>
        <xdr:cNvPr id="18" name="Rectangle 17"/>
        <xdr:cNvSpPr/>
      </xdr:nvSpPr>
      <xdr:spPr>
        <a:xfrm>
          <a:off x="10285390" y="14380631"/>
          <a:ext cx="737976" cy="62991"/>
        </a:xfrm>
        <a:prstGeom prst="rect">
          <a:avLst/>
        </a:prstGeom>
        <a:solidFill>
          <a:srgbClr val="FFFF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601980</xdr:colOff>
      <xdr:row>86</xdr:row>
      <xdr:rowOff>0</xdr:rowOff>
    </xdr:from>
    <xdr:to>
      <xdr:col>2</xdr:col>
      <xdr:colOff>0</xdr:colOff>
      <xdr:row>88</xdr:row>
      <xdr:rowOff>0</xdr:rowOff>
    </xdr:to>
    <xdr:sp macro="" textlink="">
      <xdr:nvSpPr>
        <xdr:cNvPr id="19" name="Rectangle à coins arrondis 18"/>
        <xdr:cNvSpPr/>
      </xdr:nvSpPr>
      <xdr:spPr>
        <a:xfrm>
          <a:off x="601980" y="1844040"/>
          <a:ext cx="2598420" cy="350520"/>
        </a:xfrm>
        <a:prstGeom prst="roundRect">
          <a:avLst/>
        </a:prstGeom>
        <a:solidFill>
          <a:srgbClr val="F2F0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" panose="020B0502040204020203" pitchFamily="34" charset="0"/>
            </a:rPr>
            <a:t>BILAN</a:t>
          </a:r>
        </a:p>
      </xdr:txBody>
    </xdr:sp>
    <xdr:clientData/>
  </xdr:twoCellAnchor>
  <xdr:twoCellAnchor>
    <xdr:from>
      <xdr:col>7</xdr:col>
      <xdr:colOff>281940</xdr:colOff>
      <xdr:row>89</xdr:row>
      <xdr:rowOff>68580</xdr:rowOff>
    </xdr:from>
    <xdr:to>
      <xdr:col>7</xdr:col>
      <xdr:colOff>952500</xdr:colOff>
      <xdr:row>89</xdr:row>
      <xdr:rowOff>137160</xdr:rowOff>
    </xdr:to>
    <xdr:sp macro="" textlink="">
      <xdr:nvSpPr>
        <xdr:cNvPr id="21" name="Rectangle 20"/>
        <xdr:cNvSpPr/>
      </xdr:nvSpPr>
      <xdr:spPr>
        <a:xfrm>
          <a:off x="8458200" y="4884420"/>
          <a:ext cx="670560" cy="68580"/>
        </a:xfrm>
        <a:prstGeom prst="rect">
          <a:avLst/>
        </a:prstGeom>
        <a:solidFill>
          <a:srgbClr val="FFFF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0</xdr:colOff>
      <xdr:row>89</xdr:row>
      <xdr:rowOff>0</xdr:rowOff>
    </xdr:from>
    <xdr:to>
      <xdr:col>7</xdr:col>
      <xdr:colOff>0</xdr:colOff>
      <xdr:row>90</xdr:row>
      <xdr:rowOff>0</xdr:rowOff>
    </xdr:to>
    <xdr:sp macro="" textlink="">
      <xdr:nvSpPr>
        <xdr:cNvPr id="22" name="Rectangle à coins arrondis 21"/>
        <xdr:cNvSpPr/>
      </xdr:nvSpPr>
      <xdr:spPr>
        <a:xfrm>
          <a:off x="792480" y="4815840"/>
          <a:ext cx="7383780" cy="175260"/>
        </a:xfrm>
        <a:prstGeom prst="roundRect">
          <a:avLst/>
        </a:prstGeom>
        <a:solidFill>
          <a:srgbClr val="FBFAF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Montant total facturé hors taxes</a:t>
          </a:r>
        </a:p>
      </xdr:txBody>
    </xdr:sp>
    <xdr:clientData/>
  </xdr:twoCellAnchor>
  <xdr:twoCellAnchor>
    <xdr:from>
      <xdr:col>7</xdr:col>
      <xdr:colOff>281940</xdr:colOff>
      <xdr:row>90</xdr:row>
      <xdr:rowOff>68580</xdr:rowOff>
    </xdr:from>
    <xdr:to>
      <xdr:col>7</xdr:col>
      <xdr:colOff>952500</xdr:colOff>
      <xdr:row>90</xdr:row>
      <xdr:rowOff>137160</xdr:rowOff>
    </xdr:to>
    <xdr:sp macro="" textlink="">
      <xdr:nvSpPr>
        <xdr:cNvPr id="25" name="Rectangle 24"/>
        <xdr:cNvSpPr/>
      </xdr:nvSpPr>
      <xdr:spPr>
        <a:xfrm>
          <a:off x="8458200" y="15567660"/>
          <a:ext cx="670560" cy="68580"/>
        </a:xfrm>
        <a:prstGeom prst="rect">
          <a:avLst/>
        </a:prstGeom>
        <a:solidFill>
          <a:srgbClr val="FFFF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0</xdr:colOff>
      <xdr:row>90</xdr:row>
      <xdr:rowOff>0</xdr:rowOff>
    </xdr:from>
    <xdr:to>
      <xdr:col>7</xdr:col>
      <xdr:colOff>0</xdr:colOff>
      <xdr:row>91</xdr:row>
      <xdr:rowOff>0</xdr:rowOff>
    </xdr:to>
    <xdr:sp macro="" textlink="">
      <xdr:nvSpPr>
        <xdr:cNvPr id="26" name="Rectangle à coins arrondis 25"/>
        <xdr:cNvSpPr/>
      </xdr:nvSpPr>
      <xdr:spPr>
        <a:xfrm>
          <a:off x="792480" y="15499080"/>
          <a:ext cx="7383780" cy="175260"/>
        </a:xfrm>
        <a:prstGeom prst="roundRect">
          <a:avLst/>
        </a:prstGeom>
        <a:solidFill>
          <a:srgbClr val="FBFAF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Coût de la main d'oeuvre</a:t>
          </a:r>
        </a:p>
      </xdr:txBody>
    </xdr:sp>
    <xdr:clientData/>
  </xdr:twoCellAnchor>
  <xdr:twoCellAnchor>
    <xdr:from>
      <xdr:col>7</xdr:col>
      <xdr:colOff>281940</xdr:colOff>
      <xdr:row>91</xdr:row>
      <xdr:rowOff>68580</xdr:rowOff>
    </xdr:from>
    <xdr:to>
      <xdr:col>7</xdr:col>
      <xdr:colOff>952500</xdr:colOff>
      <xdr:row>91</xdr:row>
      <xdr:rowOff>137160</xdr:rowOff>
    </xdr:to>
    <xdr:sp macro="" textlink="">
      <xdr:nvSpPr>
        <xdr:cNvPr id="29" name="Rectangle 28"/>
        <xdr:cNvSpPr/>
      </xdr:nvSpPr>
      <xdr:spPr>
        <a:xfrm>
          <a:off x="8458200" y="15567660"/>
          <a:ext cx="670560" cy="68580"/>
        </a:xfrm>
        <a:prstGeom prst="rect">
          <a:avLst/>
        </a:prstGeom>
        <a:solidFill>
          <a:srgbClr val="FFFF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0</xdr:colOff>
      <xdr:row>91</xdr:row>
      <xdr:rowOff>0</xdr:rowOff>
    </xdr:from>
    <xdr:to>
      <xdr:col>7</xdr:col>
      <xdr:colOff>0</xdr:colOff>
      <xdr:row>92</xdr:row>
      <xdr:rowOff>0</xdr:rowOff>
    </xdr:to>
    <xdr:sp macro="" textlink="">
      <xdr:nvSpPr>
        <xdr:cNvPr id="30" name="Rectangle à coins arrondis 29"/>
        <xdr:cNvSpPr/>
      </xdr:nvSpPr>
      <xdr:spPr>
        <a:xfrm>
          <a:off x="792480" y="15499080"/>
          <a:ext cx="7383780" cy="175260"/>
        </a:xfrm>
        <a:prstGeom prst="roundRect">
          <a:avLst/>
        </a:prstGeom>
        <a:solidFill>
          <a:srgbClr val="FBFAF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Marge main d'oeuvre</a:t>
          </a:r>
        </a:p>
      </xdr:txBody>
    </xdr:sp>
    <xdr:clientData/>
  </xdr:twoCellAnchor>
  <xdr:twoCellAnchor>
    <xdr:from>
      <xdr:col>7</xdr:col>
      <xdr:colOff>281940</xdr:colOff>
      <xdr:row>92</xdr:row>
      <xdr:rowOff>68580</xdr:rowOff>
    </xdr:from>
    <xdr:to>
      <xdr:col>7</xdr:col>
      <xdr:colOff>952500</xdr:colOff>
      <xdr:row>92</xdr:row>
      <xdr:rowOff>137160</xdr:rowOff>
    </xdr:to>
    <xdr:sp macro="" textlink="">
      <xdr:nvSpPr>
        <xdr:cNvPr id="33" name="Rectangle 32"/>
        <xdr:cNvSpPr/>
      </xdr:nvSpPr>
      <xdr:spPr>
        <a:xfrm>
          <a:off x="8458200" y="15918180"/>
          <a:ext cx="670560" cy="68580"/>
        </a:xfrm>
        <a:prstGeom prst="rect">
          <a:avLst/>
        </a:prstGeom>
        <a:solidFill>
          <a:srgbClr val="FFFF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0</xdr:colOff>
      <xdr:row>92</xdr:row>
      <xdr:rowOff>0</xdr:rowOff>
    </xdr:from>
    <xdr:to>
      <xdr:col>7</xdr:col>
      <xdr:colOff>0</xdr:colOff>
      <xdr:row>93</xdr:row>
      <xdr:rowOff>0</xdr:rowOff>
    </xdr:to>
    <xdr:sp macro="" textlink="">
      <xdr:nvSpPr>
        <xdr:cNvPr id="34" name="Rectangle à coins arrondis 33"/>
        <xdr:cNvSpPr/>
      </xdr:nvSpPr>
      <xdr:spPr>
        <a:xfrm>
          <a:off x="792480" y="15849600"/>
          <a:ext cx="7383780" cy="175260"/>
        </a:xfrm>
        <a:prstGeom prst="roundRect">
          <a:avLst/>
        </a:prstGeom>
        <a:solidFill>
          <a:srgbClr val="FBFAF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Marge matériel</a:t>
          </a:r>
        </a:p>
      </xdr:txBody>
    </xdr:sp>
    <xdr:clientData/>
  </xdr:twoCellAnchor>
  <xdr:twoCellAnchor>
    <xdr:from>
      <xdr:col>7</xdr:col>
      <xdr:colOff>281940</xdr:colOff>
      <xdr:row>93</xdr:row>
      <xdr:rowOff>68580</xdr:rowOff>
    </xdr:from>
    <xdr:to>
      <xdr:col>7</xdr:col>
      <xdr:colOff>952500</xdr:colOff>
      <xdr:row>93</xdr:row>
      <xdr:rowOff>137160</xdr:rowOff>
    </xdr:to>
    <xdr:sp macro="" textlink="">
      <xdr:nvSpPr>
        <xdr:cNvPr id="37" name="Rectangle 36"/>
        <xdr:cNvSpPr/>
      </xdr:nvSpPr>
      <xdr:spPr>
        <a:xfrm>
          <a:off x="8458200" y="15918180"/>
          <a:ext cx="670560" cy="68580"/>
        </a:xfrm>
        <a:prstGeom prst="rect">
          <a:avLst/>
        </a:prstGeom>
        <a:solidFill>
          <a:srgbClr val="FFFF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0</xdr:colOff>
      <xdr:row>93</xdr:row>
      <xdr:rowOff>0</xdr:rowOff>
    </xdr:from>
    <xdr:to>
      <xdr:col>7</xdr:col>
      <xdr:colOff>0</xdr:colOff>
      <xdr:row>94</xdr:row>
      <xdr:rowOff>0</xdr:rowOff>
    </xdr:to>
    <xdr:sp macro="" textlink="">
      <xdr:nvSpPr>
        <xdr:cNvPr id="38" name="Rectangle à coins arrondis 37"/>
        <xdr:cNvSpPr/>
      </xdr:nvSpPr>
      <xdr:spPr>
        <a:xfrm>
          <a:off x="792480" y="15849600"/>
          <a:ext cx="7383780" cy="175260"/>
        </a:xfrm>
        <a:prstGeom prst="roundRect">
          <a:avLst/>
        </a:prstGeom>
        <a:solidFill>
          <a:srgbClr val="F4C8D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Marge projet</a:t>
          </a:r>
        </a:p>
      </xdr:txBody>
    </xdr:sp>
    <xdr:clientData/>
  </xdr:twoCellAnchor>
  <xdr:twoCellAnchor>
    <xdr:from>
      <xdr:col>7</xdr:col>
      <xdr:colOff>769620</xdr:colOff>
      <xdr:row>94</xdr:row>
      <xdr:rowOff>68580</xdr:rowOff>
    </xdr:from>
    <xdr:to>
      <xdr:col>7</xdr:col>
      <xdr:colOff>1005840</xdr:colOff>
      <xdr:row>94</xdr:row>
      <xdr:rowOff>121920</xdr:rowOff>
    </xdr:to>
    <xdr:sp macro="" textlink="">
      <xdr:nvSpPr>
        <xdr:cNvPr id="41" name="Rectangle 40"/>
        <xdr:cNvSpPr/>
      </xdr:nvSpPr>
      <xdr:spPr>
        <a:xfrm>
          <a:off x="8945880" y="17815560"/>
          <a:ext cx="236220" cy="53340"/>
        </a:xfrm>
        <a:prstGeom prst="rect">
          <a:avLst/>
        </a:prstGeom>
        <a:solidFill>
          <a:srgbClr val="FFFF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0</xdr:colOff>
      <xdr:row>94</xdr:row>
      <xdr:rowOff>0</xdr:rowOff>
    </xdr:from>
    <xdr:to>
      <xdr:col>7</xdr:col>
      <xdr:colOff>0</xdr:colOff>
      <xdr:row>95</xdr:row>
      <xdr:rowOff>0</xdr:rowOff>
    </xdr:to>
    <xdr:sp macro="" textlink="">
      <xdr:nvSpPr>
        <xdr:cNvPr id="42" name="Rectangle à coins arrondis 41"/>
        <xdr:cNvSpPr/>
      </xdr:nvSpPr>
      <xdr:spPr>
        <a:xfrm>
          <a:off x="792480" y="16375380"/>
          <a:ext cx="7383780" cy="175260"/>
        </a:xfrm>
        <a:prstGeom prst="roundRect">
          <a:avLst/>
        </a:prstGeom>
        <a:solidFill>
          <a:srgbClr val="F4C8D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Marge globale</a:t>
          </a:r>
        </a:p>
      </xdr:txBody>
    </xdr:sp>
    <xdr:clientData/>
  </xdr:twoCellAnchor>
  <xdr:twoCellAnchor>
    <xdr:from>
      <xdr:col>0</xdr:col>
      <xdr:colOff>601980</xdr:colOff>
      <xdr:row>98</xdr:row>
      <xdr:rowOff>0</xdr:rowOff>
    </xdr:from>
    <xdr:to>
      <xdr:col>2</xdr:col>
      <xdr:colOff>0</xdr:colOff>
      <xdr:row>100</xdr:row>
      <xdr:rowOff>0</xdr:rowOff>
    </xdr:to>
    <xdr:sp macro="" textlink="">
      <xdr:nvSpPr>
        <xdr:cNvPr id="46" name="Rectangle à coins arrondis 45"/>
        <xdr:cNvSpPr/>
      </xdr:nvSpPr>
      <xdr:spPr>
        <a:xfrm>
          <a:off x="601980" y="17076420"/>
          <a:ext cx="2598420" cy="350520"/>
        </a:xfrm>
        <a:prstGeom prst="roundRect">
          <a:avLst/>
        </a:prstGeom>
        <a:solidFill>
          <a:srgbClr val="F2F0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" panose="020B0502040204020203" pitchFamily="34" charset="0"/>
            </a:rPr>
            <a:t>NOTES</a:t>
          </a:r>
        </a:p>
      </xdr:txBody>
    </xdr:sp>
    <xdr:clientData/>
  </xdr:twoCellAnchor>
  <xdr:twoCellAnchor>
    <xdr:from>
      <xdr:col>1</xdr:col>
      <xdr:colOff>0</xdr:colOff>
      <xdr:row>99</xdr:row>
      <xdr:rowOff>152400</xdr:rowOff>
    </xdr:from>
    <xdr:to>
      <xdr:col>7</xdr:col>
      <xdr:colOff>7620</xdr:colOff>
      <xdr:row>113</xdr:row>
      <xdr:rowOff>7620</xdr:rowOff>
    </xdr:to>
    <xdr:sp macro="" textlink="">
      <xdr:nvSpPr>
        <xdr:cNvPr id="47" name="Rectangle à coins arrondis 46"/>
        <xdr:cNvSpPr/>
      </xdr:nvSpPr>
      <xdr:spPr>
        <a:xfrm>
          <a:off x="792480" y="18775680"/>
          <a:ext cx="7391400" cy="2308860"/>
        </a:xfrm>
        <a:prstGeom prst="roundRect">
          <a:avLst/>
        </a:prstGeom>
        <a:solidFill>
          <a:srgbClr val="F2F0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Pour chiffrer ce projet, nous avons calculé l'ensemble des tâches en admettant deux constantes</a:t>
          </a:r>
          <a:r>
            <a:rPr lang="fr-FR" sz="9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 : temps de travail hebdomadaire de 6h et une marge de main d'oeuvre de 1.</a:t>
          </a:r>
        </a:p>
        <a:p>
          <a:pPr algn="l"/>
          <a:endParaRPr lang="fr-FR" sz="9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0"/>
                </a:schemeClr>
              </a:outerShdw>
            </a:effectLst>
            <a:latin typeface="Bahnschrift Light" panose="020B0502040204020203" pitchFamily="34" charset="0"/>
          </a:endParaRPr>
        </a:p>
        <a:p>
          <a:pPr algn="l"/>
          <a:r>
            <a:rPr lang="fr-FR" sz="9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DailyBank est un logiciel d'entreprise bancaire, nous avons choisi de lui fournir une licence ORACLE Entreprise Edition :</a:t>
          </a:r>
        </a:p>
        <a:p>
          <a:pPr algn="l"/>
          <a:r>
            <a:rPr lang="fr-FR" sz="9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	• Nous avons choisi une solution standard</a:t>
          </a:r>
        </a:p>
        <a:p>
          <a:pPr algn="l"/>
          <a:r>
            <a:rPr lang="fr-FR" sz="9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	• Un socket avec un processeur associé pour réduire les coûts</a:t>
          </a:r>
        </a:p>
        <a:p>
          <a:pPr algn="l"/>
          <a:endParaRPr lang="fr-FR" sz="9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0"/>
                </a:schemeClr>
              </a:outerShdw>
            </a:effectLst>
            <a:latin typeface="Bahnschrift Light" panose="020B0502040204020203" pitchFamily="34" charset="0"/>
          </a:endParaRPr>
        </a:p>
        <a:p>
          <a:pPr algn="l"/>
          <a:r>
            <a:rPr lang="fr-FR" sz="9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De plus, nous avons choisi, en connaissance de cause, d'acheter un serveur haut de gamme simple </a:t>
          </a:r>
          <a:r>
            <a:rPr lang="fr-FR" sz="9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sans climatisation</a:t>
          </a:r>
          <a:r>
            <a:rPr lang="fr-FR" sz="900" b="0" u="non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 :</a:t>
          </a:r>
        </a:p>
        <a:p>
          <a:pPr algn="l"/>
          <a:r>
            <a:rPr lang="fr-FR" sz="900" b="0" u="non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	• Serveur 	:	Tour</a:t>
          </a:r>
        </a:p>
        <a:p>
          <a:pPr algn="l"/>
          <a:r>
            <a:rPr lang="fr-FR" sz="900" b="0" u="non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	• Marque	:	DELL</a:t>
          </a:r>
        </a:p>
        <a:p>
          <a:pPr algn="l"/>
          <a:r>
            <a:rPr lang="fr-FR" sz="900" b="0" u="non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	• Modèle	:	T330</a:t>
          </a:r>
        </a:p>
        <a:p>
          <a:pPr algn="l"/>
          <a:r>
            <a:rPr lang="fr-FR" sz="900" b="0" u="non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	• Type	:	Chassis</a:t>
          </a:r>
        </a:p>
        <a:p>
          <a:pPr algn="l"/>
          <a:endParaRPr lang="fr-FR" sz="900" b="0" u="none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0"/>
                </a:schemeClr>
              </a:outerShdw>
            </a:effectLst>
            <a:latin typeface="Bahnschrift Light" panose="020B0502040204020203" pitchFamily="34" charset="0"/>
          </a:endParaRPr>
        </a:p>
        <a:p>
          <a:pPr algn="l"/>
          <a:r>
            <a:rPr lang="fr-FR" sz="900" b="0" i="1" u="non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Bahnschrift Light" panose="020B0502040204020203" pitchFamily="34" charset="0"/>
            </a:rPr>
            <a:t>NB : ceci est un chiffrage fictif car la version 1 n'a pas pu être terminée dû à des  problèmes techniques...</a:t>
          </a:r>
          <a:endParaRPr lang="fr-FR" sz="900" b="0" i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0"/>
                </a:schemeClr>
              </a:outerShdw>
            </a:effectLst>
            <a:latin typeface="Bahnschrift Light" panose="020B05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au1" displayName="Tableau1" ref="A1:F16" totalsRowShown="0" headerRowDxfId="1">
  <autoFilter ref="A1:F16"/>
  <sortState ref="A2:F3">
    <sortCondition ref="B1:B3"/>
  </sortState>
  <tableColumns count="6">
    <tableColumn id="1" name="TACHES" dataDxfId="6"/>
    <tableColumn id="2" name="NOM" dataDxfId="5"/>
    <tableColumn id="3" name="DESCRIPTION" dataDxfId="4"/>
    <tableColumn id="4" name="EVALUATION CHARGE NECESSAIRE" dataDxfId="0">
      <calculatedColumnFormula>ROUND(1.1,(3*(TpsTrav_SEMAINE/7)/2))</calculatedColumnFormula>
    </tableColumn>
    <tableColumn id="5" name="UNITE D'ŒUVRE" dataDxfId="3"/>
    <tableColumn id="6" name="COMMENTAIRE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18"/>
  <sheetViews>
    <sheetView showGridLines="0" tabSelected="1" zoomScaleNormal="100" workbookViewId="0">
      <selection activeCell="K85" sqref="K85"/>
    </sheetView>
  </sheetViews>
  <sheetFormatPr baseColWidth="10" defaultRowHeight="13.8" x14ac:dyDescent="0.25"/>
  <cols>
    <col min="1" max="1" width="11.5546875" style="2"/>
    <col min="2" max="2" width="35.109375" style="2" customWidth="1"/>
    <col min="3" max="3" width="18.109375" style="2" customWidth="1"/>
    <col min="4" max="4" width="11.5546875" style="2"/>
    <col min="5" max="5" width="14.5546875" style="2" customWidth="1"/>
    <col min="6" max="6" width="13.109375" style="2" customWidth="1"/>
    <col min="7" max="7" width="15.21875" style="67" customWidth="1"/>
    <col min="8" max="8" width="15" style="2" customWidth="1"/>
    <col min="9" max="9" width="11.5546875" style="2"/>
    <col min="10" max="10" width="16" style="2" customWidth="1"/>
    <col min="11" max="11" width="14.33203125" style="2" customWidth="1"/>
    <col min="12" max="12" width="13.109375" style="2" customWidth="1"/>
    <col min="13" max="16384" width="11.5546875" style="2"/>
  </cols>
  <sheetData>
    <row r="2" spans="1:11" ht="21" customHeight="1" x14ac:dyDescent="0.25">
      <c r="I2" s="1"/>
    </row>
    <row r="8" spans="1:11" x14ac:dyDescent="0.25">
      <c r="F8" s="3" t="s">
        <v>0</v>
      </c>
    </row>
    <row r="14" spans="1:11" ht="27" customHeight="1" x14ac:dyDescent="0.25">
      <c r="A14" s="7"/>
      <c r="B14" s="6" t="s">
        <v>1</v>
      </c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8" t="s">
        <v>10</v>
      </c>
    </row>
    <row r="15" spans="1:11" x14ac:dyDescent="0.25">
      <c r="A15" s="7"/>
      <c r="B15" s="29" t="s">
        <v>47</v>
      </c>
      <c r="C15" s="51">
        <v>47500.5</v>
      </c>
      <c r="D15" s="30">
        <v>1</v>
      </c>
      <c r="E15" s="51">
        <f>C15*D15</f>
        <v>47500.5</v>
      </c>
      <c r="F15" s="31" t="s">
        <v>57</v>
      </c>
      <c r="G15" s="41">
        <f>IF(ISBLANK(F15),"",VLOOKUP(F15,ChargesP,3,FALSE))</f>
        <v>0.02</v>
      </c>
      <c r="H15" s="48">
        <f>IF(G15="",E15,(E15+E15*G15))</f>
        <v>48450.51</v>
      </c>
      <c r="I15" s="32">
        <v>0.15</v>
      </c>
      <c r="J15" s="51">
        <f>H15+H15*I15</f>
        <v>55718.086500000005</v>
      </c>
      <c r="K15" s="45">
        <f>ROUNDDOWN(J15,0)</f>
        <v>55718</v>
      </c>
    </row>
    <row r="16" spans="1:11" x14ac:dyDescent="0.25">
      <c r="A16" s="7"/>
      <c r="B16" s="33" t="s">
        <v>97</v>
      </c>
      <c r="C16" s="52">
        <v>439.5</v>
      </c>
      <c r="D16" s="34">
        <v>1</v>
      </c>
      <c r="E16" s="52">
        <f>C16*D16</f>
        <v>439.5</v>
      </c>
      <c r="F16" s="35" t="s">
        <v>57</v>
      </c>
      <c r="G16" s="42">
        <f>IF(ISBLANK(F16),"",VLOOKUP(F16,ChargesP,3,FALSE))</f>
        <v>0.02</v>
      </c>
      <c r="H16" s="49">
        <f>IF(G16="",E16,(E16+E16*G16))</f>
        <v>448.29</v>
      </c>
      <c r="I16" s="36">
        <v>0.15</v>
      </c>
      <c r="J16" s="52">
        <f>H16+H16*I16</f>
        <v>515.5335</v>
      </c>
      <c r="K16" s="46">
        <f>ROUNDDOWN(J16,0)</f>
        <v>515</v>
      </c>
    </row>
    <row r="17" spans="1:11" x14ac:dyDescent="0.25">
      <c r="A17" s="7"/>
      <c r="B17" s="33" t="s">
        <v>98</v>
      </c>
      <c r="C17" s="51">
        <v>0.36696000000000001</v>
      </c>
      <c r="D17" s="34">
        <v>1</v>
      </c>
      <c r="E17" s="52">
        <f>C17*D17</f>
        <v>0.36696000000000001</v>
      </c>
      <c r="F17" s="35" t="s">
        <v>25</v>
      </c>
      <c r="G17" s="42">
        <f>IF(ISBLANK(F17),"",VLOOKUP(F17,ChargesP,3,FALSE))</f>
        <v>0.05</v>
      </c>
      <c r="H17" s="49">
        <f>IF(G17="",E17,(E17+E17*G17))</f>
        <v>0.38530799999999998</v>
      </c>
      <c r="I17" s="36">
        <v>1.1499999999999999</v>
      </c>
      <c r="J17" s="52">
        <f>H17+H17*I17</f>
        <v>0.82841219999999993</v>
      </c>
      <c r="K17" s="46">
        <f>ROUNDDOWN(J17,1)</f>
        <v>0.8</v>
      </c>
    </row>
    <row r="18" spans="1:11" x14ac:dyDescent="0.25">
      <c r="A18" s="7"/>
      <c r="B18" s="33"/>
      <c r="C18" s="52"/>
      <c r="D18" s="34"/>
      <c r="E18" s="52"/>
      <c r="F18" s="35"/>
      <c r="G18" s="42"/>
      <c r="H18" s="49"/>
      <c r="I18" s="34"/>
      <c r="J18" s="52"/>
      <c r="K18" s="46"/>
    </row>
    <row r="19" spans="1:11" x14ac:dyDescent="0.25">
      <c r="A19" s="7"/>
      <c r="B19" s="37"/>
      <c r="C19" s="51"/>
      <c r="D19" s="30"/>
      <c r="E19" s="51"/>
      <c r="F19" s="31"/>
      <c r="G19" s="41"/>
      <c r="H19" s="48"/>
      <c r="I19" s="30"/>
      <c r="J19" s="51"/>
      <c r="K19" s="45"/>
    </row>
    <row r="20" spans="1:11" x14ac:dyDescent="0.25">
      <c r="A20" s="7"/>
      <c r="B20" s="33"/>
      <c r="C20" s="52"/>
      <c r="D20" s="34"/>
      <c r="E20" s="52"/>
      <c r="F20" s="35"/>
      <c r="G20" s="42"/>
      <c r="H20" s="49"/>
      <c r="I20" s="34"/>
      <c r="J20" s="52"/>
      <c r="K20" s="46"/>
    </row>
    <row r="21" spans="1:11" x14ac:dyDescent="0.25">
      <c r="A21" s="7"/>
      <c r="B21" s="37"/>
      <c r="C21" s="51"/>
      <c r="D21" s="30"/>
      <c r="E21" s="51"/>
      <c r="F21" s="31"/>
      <c r="G21" s="41"/>
      <c r="H21" s="48"/>
      <c r="I21" s="30"/>
      <c r="J21" s="51"/>
      <c r="K21" s="45"/>
    </row>
    <row r="22" spans="1:11" x14ac:dyDescent="0.25">
      <c r="A22" s="7"/>
      <c r="B22" s="33"/>
      <c r="C22" s="52"/>
      <c r="D22" s="34"/>
      <c r="E22" s="52"/>
      <c r="F22" s="35"/>
      <c r="G22" s="42"/>
      <c r="H22" s="49"/>
      <c r="I22" s="34"/>
      <c r="J22" s="52"/>
      <c r="K22" s="46"/>
    </row>
    <row r="23" spans="1:11" x14ac:dyDescent="0.25">
      <c r="A23" s="7"/>
      <c r="B23" s="37"/>
      <c r="C23" s="51"/>
      <c r="D23" s="30"/>
      <c r="E23" s="51"/>
      <c r="F23" s="31"/>
      <c r="G23" s="41"/>
      <c r="H23" s="48"/>
      <c r="I23" s="30"/>
      <c r="J23" s="51"/>
      <c r="K23" s="45"/>
    </row>
    <row r="24" spans="1:11" x14ac:dyDescent="0.25">
      <c r="A24" s="7"/>
      <c r="B24" s="38"/>
      <c r="C24" s="53"/>
      <c r="D24" s="39"/>
      <c r="E24" s="53"/>
      <c r="F24" s="40"/>
      <c r="G24" s="43"/>
      <c r="H24" s="50"/>
      <c r="I24" s="39"/>
      <c r="J24" s="53"/>
      <c r="K24" s="47"/>
    </row>
    <row r="27" spans="1:11" x14ac:dyDescent="0.25">
      <c r="H27" s="60">
        <f>SUM(H15:H24)</f>
        <v>48899.185308</v>
      </c>
      <c r="I27" s="54">
        <f>1-(H27/K27)</f>
        <v>0.1304307141256682</v>
      </c>
      <c r="J27" s="54"/>
      <c r="K27" s="78">
        <f>SUM(K15:K24)</f>
        <v>56233.8</v>
      </c>
    </row>
    <row r="33" spans="1:42" x14ac:dyDescent="0.25">
      <c r="K33" s="4"/>
    </row>
    <row r="34" spans="1:42" ht="18" customHeight="1" x14ac:dyDescent="0.25">
      <c r="B34" s="61" t="s">
        <v>66</v>
      </c>
    </row>
    <row r="36" spans="1:42" ht="21" customHeight="1" x14ac:dyDescent="0.25">
      <c r="A36" s="7"/>
      <c r="B36" s="6" t="s">
        <v>48</v>
      </c>
      <c r="C36" s="5" t="s">
        <v>62</v>
      </c>
      <c r="D36" s="5" t="s">
        <v>49</v>
      </c>
      <c r="E36" s="5" t="s">
        <v>50</v>
      </c>
      <c r="F36" s="5" t="s">
        <v>51</v>
      </c>
      <c r="G36" s="5" t="s">
        <v>52</v>
      </c>
      <c r="H36" s="5" t="s">
        <v>54</v>
      </c>
      <c r="I36" s="5" t="s">
        <v>53</v>
      </c>
      <c r="J36" s="8" t="s">
        <v>55</v>
      </c>
      <c r="K36" s="80"/>
      <c r="L36" s="79" t="s">
        <v>90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 x14ac:dyDescent="0.25">
      <c r="A37" s="7"/>
      <c r="B37" s="62" t="s">
        <v>60</v>
      </c>
      <c r="C37" s="63" t="s">
        <v>38</v>
      </c>
      <c r="D37" s="63" t="str">
        <f>IF(ISBLANK(C37),,VLOOKUP(C37,PERSONNEL,2,FALSE))</f>
        <v>Gabin MUNOZ</v>
      </c>
      <c r="E37" s="64" t="str">
        <f>IF(ISBLANK(C37),,VLOOKUP(C37,PERSONNEL,3,FALSE))</f>
        <v>DEV&amp;CP</v>
      </c>
      <c r="F37" s="65">
        <f>IF(ISBLANK(E37),,VLOOKUP(E37,PROFIL,3,FALSE))</f>
        <v>200</v>
      </c>
      <c r="G37" s="64">
        <f>IF(ISBLANK(B37),,VLOOKUP(B37,TACHES,3,FALSE))</f>
        <v>2.6</v>
      </c>
      <c r="H37" s="65">
        <f>F37*G37*TpsTrav_SEMAINE/7</f>
        <v>445.71428571428572</v>
      </c>
      <c r="I37" s="65">
        <f>H37*Marge_MO</f>
        <v>445.71428571428572</v>
      </c>
      <c r="J37" s="66">
        <f>H37+I37</f>
        <v>891.42857142857144</v>
      </c>
      <c r="K37" s="28"/>
      <c r="L37" s="81">
        <f>J37</f>
        <v>891.42857142857144</v>
      </c>
    </row>
    <row r="39" spans="1:42" ht="18" customHeight="1" x14ac:dyDescent="0.25">
      <c r="B39" s="61" t="s">
        <v>67</v>
      </c>
      <c r="C39" s="55"/>
    </row>
    <row r="41" spans="1:42" ht="21" customHeight="1" x14ac:dyDescent="0.25">
      <c r="A41" s="7"/>
      <c r="B41" s="6" t="s">
        <v>48</v>
      </c>
      <c r="C41" s="5" t="s">
        <v>62</v>
      </c>
      <c r="D41" s="5" t="s">
        <v>49</v>
      </c>
      <c r="E41" s="5" t="s">
        <v>50</v>
      </c>
      <c r="F41" s="5" t="s">
        <v>51</v>
      </c>
      <c r="G41" s="5" t="s">
        <v>52</v>
      </c>
      <c r="H41" s="5" t="s">
        <v>54</v>
      </c>
      <c r="I41" s="5" t="s">
        <v>53</v>
      </c>
      <c r="J41" s="8" t="s">
        <v>55</v>
      </c>
      <c r="K41" s="80"/>
      <c r="L41" s="79" t="s">
        <v>90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 spans="1:42" x14ac:dyDescent="0.25">
      <c r="A42" s="7"/>
      <c r="B42" s="18" t="s">
        <v>68</v>
      </c>
      <c r="C42" s="19" t="s">
        <v>34</v>
      </c>
      <c r="D42" s="19" t="str">
        <f>IF(ISBLANK(C42),,VLOOKUP(C42,PERSONNEL,2,FALSE))</f>
        <v>Hugo CASTELL</v>
      </c>
      <c r="E42" s="31" t="str">
        <f>IF(ISBLANK(C42),,VLOOKUP(C42,PERSONNEL,3,FALSE))</f>
        <v>DEV&amp;DBA</v>
      </c>
      <c r="F42" s="56">
        <f>IF(ISBLANK(E42),,VLOOKUP(E42,PROFIL,3,FALSE))</f>
        <v>160</v>
      </c>
      <c r="G42" s="31">
        <f>IF(ISBLANK(B42),,VLOOKUP(B42,TACHES,3,FALSE))</f>
        <v>2.6</v>
      </c>
      <c r="H42" s="56">
        <f>F42*G42*TpsTrav_SEMAINE/7</f>
        <v>356.57142857142856</v>
      </c>
      <c r="I42" s="56">
        <f>H42*Marge_MO</f>
        <v>356.57142857142856</v>
      </c>
      <c r="J42" s="58">
        <f>H42+I42</f>
        <v>713.14285714285711</v>
      </c>
      <c r="K42" s="28"/>
      <c r="L42" s="81">
        <f>SUM(J42:J44)+L37</f>
        <v>3030.8571428571431</v>
      </c>
    </row>
    <row r="43" spans="1:42" x14ac:dyDescent="0.25">
      <c r="A43" s="7"/>
      <c r="B43" s="20" t="s">
        <v>30</v>
      </c>
      <c r="C43" s="21" t="s">
        <v>34</v>
      </c>
      <c r="D43" s="21" t="str">
        <f>IF(ISBLANK(C43),,VLOOKUP(C43,PERSONNEL,2,FALSE))</f>
        <v>Hugo CASTELL</v>
      </c>
      <c r="E43" s="35" t="str">
        <f>IF(ISBLANK(C43),,VLOOKUP(C43,PERSONNEL,3,FALSE))</f>
        <v>DEV&amp;DBA</v>
      </c>
      <c r="F43" s="57">
        <f>IF(ISBLANK(E43),,VLOOKUP(E43,PROFIL,3,FALSE))</f>
        <v>160</v>
      </c>
      <c r="G43" s="35">
        <f>IF(ISBLANK(B43),,VLOOKUP(B43,TACHES,3,FALSE))</f>
        <v>2.6</v>
      </c>
      <c r="H43" s="57">
        <f>F43*G43*TpsTrav_SEMAINE/7</f>
        <v>356.57142857142856</v>
      </c>
      <c r="I43" s="57">
        <f>H43*Marge_MO</f>
        <v>356.57142857142856</v>
      </c>
      <c r="J43" s="59">
        <f t="shared" ref="J43:J44" si="0">H43+I43</f>
        <v>713.14285714285711</v>
      </c>
      <c r="K43" s="28"/>
    </row>
    <row r="44" spans="1:42" x14ac:dyDescent="0.25">
      <c r="A44" s="7"/>
      <c r="B44" s="68" t="s">
        <v>29</v>
      </c>
      <c r="C44" s="69" t="s">
        <v>34</v>
      </c>
      <c r="D44" s="69" t="str">
        <f>IF(ISBLANK(C44),,VLOOKUP(C44,PERSONNEL,2,FALSE))</f>
        <v>Hugo CASTELL</v>
      </c>
      <c r="E44" s="70" t="str">
        <f>IF(ISBLANK(C44),,VLOOKUP(C44,PERSONNEL,3,FALSE))</f>
        <v>DEV&amp;DBA</v>
      </c>
      <c r="F44" s="71">
        <f>IF(ISBLANK(E44),,VLOOKUP(E44,PROFIL,3,FALSE))</f>
        <v>160</v>
      </c>
      <c r="G44" s="70">
        <f>IF(ISBLANK(B44),,VLOOKUP(B44,TACHES,3,FALSE))</f>
        <v>2.6</v>
      </c>
      <c r="H44" s="71">
        <f>F44*G44*TpsTrav_SEMAINE/7</f>
        <v>356.57142857142856</v>
      </c>
      <c r="I44" s="71">
        <f>H44*Marge_MO</f>
        <v>356.57142857142856</v>
      </c>
      <c r="J44" s="72">
        <f t="shared" si="0"/>
        <v>713.14285714285711</v>
      </c>
      <c r="K44" s="28"/>
    </row>
    <row r="46" spans="1:42" ht="18" customHeight="1" x14ac:dyDescent="0.25">
      <c r="B46" s="61" t="s">
        <v>69</v>
      </c>
    </row>
    <row r="48" spans="1:42" ht="21" customHeight="1" x14ac:dyDescent="0.25">
      <c r="A48" s="7"/>
      <c r="B48" s="6" t="s">
        <v>48</v>
      </c>
      <c r="C48" s="5" t="s">
        <v>62</v>
      </c>
      <c r="D48" s="5" t="s">
        <v>49</v>
      </c>
      <c r="E48" s="5" t="s">
        <v>50</v>
      </c>
      <c r="F48" s="5" t="s">
        <v>51</v>
      </c>
      <c r="G48" s="5" t="s">
        <v>52</v>
      </c>
      <c r="H48" s="5" t="s">
        <v>54</v>
      </c>
      <c r="I48" s="5" t="s">
        <v>53</v>
      </c>
      <c r="J48" s="8" t="s">
        <v>55</v>
      </c>
      <c r="K48" s="80"/>
      <c r="L48" s="79" t="s">
        <v>90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 spans="1:42" x14ac:dyDescent="0.25">
      <c r="A49" s="7"/>
      <c r="B49" s="18" t="s">
        <v>70</v>
      </c>
      <c r="C49" s="19" t="s">
        <v>38</v>
      </c>
      <c r="D49" s="19" t="str">
        <f>IF(ISBLANK(C49),,VLOOKUP(C49,PERSONNEL,2,FALSE))</f>
        <v>Gabin MUNOZ</v>
      </c>
      <c r="E49" s="31" t="str">
        <f>IF(ISBLANK(C49),,VLOOKUP(C49,PERSONNEL,3,FALSE))</f>
        <v>DEV&amp;CP</v>
      </c>
      <c r="F49" s="56">
        <f>IF(ISBLANK(E49),,VLOOKUP(E49,PROFIL,3,FALSE))</f>
        <v>200</v>
      </c>
      <c r="G49" s="31">
        <f>IF(ISBLANK(B49),,VLOOKUP(B49,TACHES,3,FALSE))</f>
        <v>0.1</v>
      </c>
      <c r="H49" s="56">
        <f>F49*G49*TpsTrav_SEMAINE/7</f>
        <v>17.142857142857142</v>
      </c>
      <c r="I49" s="56">
        <f>H49*Marge_MO</f>
        <v>17.142857142857142</v>
      </c>
      <c r="J49" s="58">
        <f>H49+I49</f>
        <v>34.285714285714285</v>
      </c>
      <c r="K49" s="28"/>
      <c r="L49" s="81">
        <f>SUM(J49:J52)+L42</f>
        <v>3100.8</v>
      </c>
    </row>
    <row r="50" spans="1:42" x14ac:dyDescent="0.25">
      <c r="A50" s="7"/>
      <c r="B50" s="20" t="s">
        <v>71</v>
      </c>
      <c r="C50" s="21" t="s">
        <v>38</v>
      </c>
      <c r="D50" s="21" t="str">
        <f>IF(ISBLANK(C50),,VLOOKUP(C50,PERSONNEL,2,FALSE))</f>
        <v>Gabin MUNOZ</v>
      </c>
      <c r="E50" s="35" t="str">
        <f>IF(ISBLANK(C50),,VLOOKUP(C50,PERSONNEL,3,FALSE))</f>
        <v>DEV&amp;CP</v>
      </c>
      <c r="F50" s="57">
        <f>IF(ISBLANK(E50),,VLOOKUP(E50,PROFIL,3,FALSE))</f>
        <v>200</v>
      </c>
      <c r="G50" s="35">
        <f>IF(ISBLANK(B50),,VLOOKUP(B50,TACHES,3,FALSE))</f>
        <v>0.04</v>
      </c>
      <c r="H50" s="57">
        <f>F50*G50*TpsTrav_SEMAINE/7</f>
        <v>6.8571428571428568</v>
      </c>
      <c r="I50" s="57">
        <f>H50*Marge_MO</f>
        <v>6.8571428571428568</v>
      </c>
      <c r="J50" s="59">
        <f t="shared" ref="J50:J52" si="1">H50+I50</f>
        <v>13.714285714285714</v>
      </c>
      <c r="K50" s="28"/>
    </row>
    <row r="51" spans="1:42" x14ac:dyDescent="0.25">
      <c r="A51" s="7"/>
      <c r="B51" s="22" t="s">
        <v>71</v>
      </c>
      <c r="C51" s="19" t="s">
        <v>37</v>
      </c>
      <c r="D51" s="19" t="str">
        <f>IF(ISBLANK(C51),,VLOOKUP(C51,PERSONNEL,2,FALSE))</f>
        <v>Matéo PEPIN</v>
      </c>
      <c r="E51" s="31" t="str">
        <f>IF(ISBLANK(C51),,VLOOKUP(C51,PERSONNEL,3,FALSE))</f>
        <v>DEV&amp;RESPIHM</v>
      </c>
      <c r="F51" s="56">
        <f>IF(ISBLANK(E51),,VLOOKUP(E51,PROFIL,3,FALSE))</f>
        <v>160</v>
      </c>
      <c r="G51" s="31">
        <f>IF(ISBLANK(B51),,VLOOKUP(B51,TACHES,3,FALSE))</f>
        <v>0.04</v>
      </c>
      <c r="H51" s="56">
        <f>F51*G51*TpsTrav_SEMAINE/7</f>
        <v>5.4857142857142867</v>
      </c>
      <c r="I51" s="56">
        <f>H51*Marge_MO</f>
        <v>5.4857142857142867</v>
      </c>
      <c r="J51" s="58">
        <f t="shared" si="1"/>
        <v>10.971428571428573</v>
      </c>
      <c r="K51" s="28"/>
    </row>
    <row r="52" spans="1:42" x14ac:dyDescent="0.25">
      <c r="A52" s="7"/>
      <c r="B52" s="73" t="s">
        <v>71</v>
      </c>
      <c r="C52" s="74" t="s">
        <v>34</v>
      </c>
      <c r="D52" s="74" t="str">
        <f>IF(ISBLANK(C52),,VLOOKUP(C52,PERSONNEL,2,FALSE))</f>
        <v>Hugo CASTELL</v>
      </c>
      <c r="E52" s="75" t="str">
        <f>IF(ISBLANK(C52),,VLOOKUP(C52,PERSONNEL,3,FALSE))</f>
        <v>DEV&amp;DBA</v>
      </c>
      <c r="F52" s="76">
        <f>IF(ISBLANK(E52),,VLOOKUP(E52,PROFIL,3,FALSE))</f>
        <v>160</v>
      </c>
      <c r="G52" s="75">
        <f>IF(ISBLANK(B52),,VLOOKUP(B52,TACHES,3,FALSE))</f>
        <v>0.04</v>
      </c>
      <c r="H52" s="76">
        <f>F52*G52*TpsTrav_SEMAINE/7</f>
        <v>5.4857142857142867</v>
      </c>
      <c r="I52" s="76">
        <f>H52*Marge_MO</f>
        <v>5.4857142857142867</v>
      </c>
      <c r="J52" s="77">
        <f t="shared" si="1"/>
        <v>10.971428571428573</v>
      </c>
      <c r="K52" s="28"/>
    </row>
    <row r="54" spans="1:42" ht="18" customHeight="1" x14ac:dyDescent="0.25">
      <c r="B54" s="61" t="s">
        <v>72</v>
      </c>
    </row>
    <row r="56" spans="1:42" ht="21" customHeight="1" x14ac:dyDescent="0.25">
      <c r="A56" s="7"/>
      <c r="B56" s="6" t="s">
        <v>48</v>
      </c>
      <c r="C56" s="5" t="s">
        <v>62</v>
      </c>
      <c r="D56" s="5" t="s">
        <v>49</v>
      </c>
      <c r="E56" s="5" t="s">
        <v>50</v>
      </c>
      <c r="F56" s="5" t="s">
        <v>51</v>
      </c>
      <c r="G56" s="5" t="s">
        <v>52</v>
      </c>
      <c r="H56" s="5" t="s">
        <v>54</v>
      </c>
      <c r="I56" s="5" t="s">
        <v>53</v>
      </c>
      <c r="J56" s="8" t="s">
        <v>55</v>
      </c>
      <c r="K56" s="80"/>
      <c r="L56" s="79" t="s">
        <v>90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 spans="1:42" x14ac:dyDescent="0.25">
      <c r="A57" s="7"/>
      <c r="B57" s="18" t="s">
        <v>73</v>
      </c>
      <c r="C57" s="19" t="s">
        <v>34</v>
      </c>
      <c r="D57" s="19" t="str">
        <f>IF(ISBLANK(C57),,VLOOKUP(C57,PERSONNEL,2,FALSE))</f>
        <v>Hugo CASTELL</v>
      </c>
      <c r="E57" s="31" t="str">
        <f>IF(ISBLANK(C57),,VLOOKUP(C57,PERSONNEL,3,FALSE))</f>
        <v>DEV&amp;DBA</v>
      </c>
      <c r="F57" s="56">
        <f>IF(ISBLANK(E57),,VLOOKUP(E57,PROFIL,3,FALSE))</f>
        <v>160</v>
      </c>
      <c r="G57" s="31">
        <f>IF(ISBLANK(B57),,VLOOKUP(B57,TACHES,3,FALSE))</f>
        <v>6</v>
      </c>
      <c r="H57" s="56">
        <f>F57*G57*TpsTrav_SEMAINE/7</f>
        <v>822.85714285714289</v>
      </c>
      <c r="I57" s="56">
        <f>H57*Marge_MO</f>
        <v>822.85714285714289</v>
      </c>
      <c r="J57" s="58">
        <f>H57+I57</f>
        <v>1645.7142857142858</v>
      </c>
      <c r="K57" s="28"/>
      <c r="L57" s="81">
        <f>SUM(J57:J60)+L49</f>
        <v>6414.1714285714288</v>
      </c>
    </row>
    <row r="58" spans="1:42" x14ac:dyDescent="0.25">
      <c r="A58" s="7"/>
      <c r="B58" s="20" t="s">
        <v>74</v>
      </c>
      <c r="C58" s="21" t="s">
        <v>34</v>
      </c>
      <c r="D58" s="21" t="str">
        <f>IF(ISBLANK(C58),,VLOOKUP(C58,PERSONNEL,2,FALSE))</f>
        <v>Hugo CASTELL</v>
      </c>
      <c r="E58" s="35" t="str">
        <f>IF(ISBLANK(C58),,VLOOKUP(C58,PERSONNEL,3,FALSE))</f>
        <v>DEV&amp;DBA</v>
      </c>
      <c r="F58" s="57">
        <f>IF(ISBLANK(E58),,VLOOKUP(E58,PROFIL,3,FALSE))</f>
        <v>160</v>
      </c>
      <c r="G58" s="35">
        <f>IF(ISBLANK(B58),,VLOOKUP(B58,TACHES,3,FALSE))</f>
        <v>6</v>
      </c>
      <c r="H58" s="57">
        <f>F58*G58*TpsTrav_SEMAINE/7</f>
        <v>822.85714285714289</v>
      </c>
      <c r="I58" s="57">
        <f>H58*Marge_MO</f>
        <v>822.85714285714289</v>
      </c>
      <c r="J58" s="59">
        <f t="shared" ref="J58:J60" si="2">H58+I58</f>
        <v>1645.7142857142858</v>
      </c>
      <c r="K58" s="28"/>
    </row>
    <row r="59" spans="1:42" x14ac:dyDescent="0.25">
      <c r="A59" s="7"/>
      <c r="B59" s="22" t="s">
        <v>71</v>
      </c>
      <c r="C59" s="19" t="s">
        <v>37</v>
      </c>
      <c r="D59" s="19" t="str">
        <f>IF(ISBLANK(C59),,VLOOKUP(C59,PERSONNEL,2,FALSE))</f>
        <v>Matéo PEPIN</v>
      </c>
      <c r="E59" s="31" t="str">
        <f>IF(ISBLANK(C59),,VLOOKUP(C59,PERSONNEL,3,FALSE))</f>
        <v>DEV&amp;RESPIHM</v>
      </c>
      <c r="F59" s="56">
        <f>IF(ISBLANK(E59),,VLOOKUP(E59,PROFIL,3,FALSE))</f>
        <v>160</v>
      </c>
      <c r="G59" s="31">
        <f>IF(ISBLANK(B59),,VLOOKUP(B59,TACHES,3,FALSE))</f>
        <v>0.04</v>
      </c>
      <c r="H59" s="56">
        <f>F59*G59*TpsTrav_SEMAINE/7</f>
        <v>5.4857142857142867</v>
      </c>
      <c r="I59" s="56">
        <f>H59*Marge_MO</f>
        <v>5.4857142857142867</v>
      </c>
      <c r="J59" s="58">
        <f t="shared" si="2"/>
        <v>10.971428571428573</v>
      </c>
      <c r="K59" s="28"/>
    </row>
    <row r="60" spans="1:42" x14ac:dyDescent="0.25">
      <c r="A60" s="7"/>
      <c r="B60" s="73" t="s">
        <v>71</v>
      </c>
      <c r="C60" s="74" t="s">
        <v>34</v>
      </c>
      <c r="D60" s="74" t="str">
        <f>IF(ISBLANK(C60),,VLOOKUP(C60,PERSONNEL,2,FALSE))</f>
        <v>Hugo CASTELL</v>
      </c>
      <c r="E60" s="75" t="str">
        <f>IF(ISBLANK(C60),,VLOOKUP(C60,PERSONNEL,3,FALSE))</f>
        <v>DEV&amp;DBA</v>
      </c>
      <c r="F60" s="76">
        <f>IF(ISBLANK(E60),,VLOOKUP(E60,PROFIL,3,FALSE))</f>
        <v>160</v>
      </c>
      <c r="G60" s="75">
        <f>IF(ISBLANK(B60),,VLOOKUP(B60,TACHES,3,FALSE))</f>
        <v>0.04</v>
      </c>
      <c r="H60" s="76">
        <f>F60*G60*TpsTrav_SEMAINE/7</f>
        <v>5.4857142857142867</v>
      </c>
      <c r="I60" s="76">
        <f>H60*Marge_MO</f>
        <v>5.4857142857142867</v>
      </c>
      <c r="J60" s="77">
        <f t="shared" si="2"/>
        <v>10.971428571428573</v>
      </c>
      <c r="K60" s="28"/>
    </row>
    <row r="62" spans="1:42" ht="18" customHeight="1" x14ac:dyDescent="0.25">
      <c r="B62" s="61" t="s">
        <v>95</v>
      </c>
    </row>
    <row r="64" spans="1:42" ht="21" customHeight="1" x14ac:dyDescent="0.25">
      <c r="A64" s="7"/>
      <c r="B64" s="6" t="s">
        <v>48</v>
      </c>
      <c r="C64" s="5" t="s">
        <v>62</v>
      </c>
      <c r="D64" s="5" t="s">
        <v>49</v>
      </c>
      <c r="E64" s="5" t="s">
        <v>50</v>
      </c>
      <c r="F64" s="5" t="s">
        <v>51</v>
      </c>
      <c r="G64" s="5" t="s">
        <v>52</v>
      </c>
      <c r="H64" s="5" t="s">
        <v>54</v>
      </c>
      <c r="I64" s="5" t="s">
        <v>53</v>
      </c>
      <c r="J64" s="8" t="s">
        <v>55</v>
      </c>
      <c r="K64" s="80"/>
      <c r="L64" s="79" t="s">
        <v>90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5" spans="1:42" x14ac:dyDescent="0.25">
      <c r="A65" s="7"/>
      <c r="B65" s="18" t="s">
        <v>91</v>
      </c>
      <c r="C65" s="19" t="s">
        <v>37</v>
      </c>
      <c r="D65" s="19" t="str">
        <f>IF(ISBLANK(C65),,VLOOKUP(C65,PERSONNEL,2,FALSE))</f>
        <v>Matéo PEPIN</v>
      </c>
      <c r="E65" s="31" t="str">
        <f>IF(ISBLANK(C65),,VLOOKUP(C65,PERSONNEL,3,FALSE))</f>
        <v>DEV&amp;RESPIHM</v>
      </c>
      <c r="F65" s="56">
        <f>IF(ISBLANK(E65),,VLOOKUP(E65,PROFIL,3,FALSE))</f>
        <v>160</v>
      </c>
      <c r="G65" s="31">
        <f>IF(ISBLANK(B65),,VLOOKUP(B65,TACHES,3,FALSE))</f>
        <v>2.6</v>
      </c>
      <c r="H65" s="56">
        <f>F65*G65*TpsTrav_SEMAINE/7</f>
        <v>356.57142857142856</v>
      </c>
      <c r="I65" s="56">
        <f>H65*Marge_MO</f>
        <v>356.57142857142856</v>
      </c>
      <c r="J65" s="58">
        <f>H65+I65</f>
        <v>713.14285714285711</v>
      </c>
      <c r="K65" s="28"/>
      <c r="L65" s="81">
        <f>SUM(J65:J67)+L57</f>
        <v>7929.6</v>
      </c>
    </row>
    <row r="66" spans="1:42" x14ac:dyDescent="0.25">
      <c r="A66" s="7"/>
      <c r="B66" s="20" t="s">
        <v>92</v>
      </c>
      <c r="C66" s="21" t="s">
        <v>34</v>
      </c>
      <c r="D66" s="21" t="str">
        <f>IF(ISBLANK(C66),,VLOOKUP(C66,PERSONNEL,2,FALSE))</f>
        <v>Hugo CASTELL</v>
      </c>
      <c r="E66" s="35" t="str">
        <f>IF(ISBLANK(C66),,VLOOKUP(C66,PERSONNEL,3,FALSE))</f>
        <v>DEV&amp;DBA</v>
      </c>
      <c r="F66" s="57">
        <f>IF(ISBLANK(E66),,VLOOKUP(E66,PROFIL,3,FALSE))</f>
        <v>160</v>
      </c>
      <c r="G66" s="35">
        <f>IF(ISBLANK(B66),,VLOOKUP(B66,TACHES,3,FALSE))</f>
        <v>1.3</v>
      </c>
      <c r="H66" s="57">
        <f>F66*G66*TpsTrav_SEMAINE/7</f>
        <v>178.28571428571428</v>
      </c>
      <c r="I66" s="57">
        <f>H66*Marge_MO</f>
        <v>178.28571428571428</v>
      </c>
      <c r="J66" s="59">
        <f t="shared" ref="J66:J67" si="3">H66+I66</f>
        <v>356.57142857142856</v>
      </c>
      <c r="K66" s="28"/>
    </row>
    <row r="67" spans="1:42" x14ac:dyDescent="0.25">
      <c r="A67" s="7"/>
      <c r="B67" s="68" t="s">
        <v>92</v>
      </c>
      <c r="C67" s="69" t="s">
        <v>38</v>
      </c>
      <c r="D67" s="69" t="str">
        <f>IF(ISBLANK(C67),,VLOOKUP(C67,PERSONNEL,2,FALSE))</f>
        <v>Gabin MUNOZ</v>
      </c>
      <c r="E67" s="70" t="str">
        <f>IF(ISBLANK(C67),,VLOOKUP(C67,PERSONNEL,3,FALSE))</f>
        <v>DEV&amp;CP</v>
      </c>
      <c r="F67" s="71">
        <f>IF(ISBLANK(E67),,VLOOKUP(E67,PROFIL,3,FALSE))</f>
        <v>200</v>
      </c>
      <c r="G67" s="70">
        <f>IF(ISBLANK(B67),,VLOOKUP(B67,TACHES,3,FALSE))</f>
        <v>1.3</v>
      </c>
      <c r="H67" s="71">
        <f>F67*G67*TpsTrav_SEMAINE/7</f>
        <v>222.85714285714286</v>
      </c>
      <c r="I67" s="71">
        <f>H67*Marge_MO</f>
        <v>222.85714285714286</v>
      </c>
      <c r="J67" s="72">
        <f t="shared" si="3"/>
        <v>445.71428571428572</v>
      </c>
      <c r="K67" s="28"/>
    </row>
    <row r="69" spans="1:42" ht="18" customHeight="1" x14ac:dyDescent="0.25">
      <c r="B69" s="61" t="s">
        <v>82</v>
      </c>
    </row>
    <row r="71" spans="1:42" ht="21" customHeight="1" x14ac:dyDescent="0.25">
      <c r="A71" s="7"/>
      <c r="B71" s="6" t="s">
        <v>48</v>
      </c>
      <c r="C71" s="5" t="s">
        <v>62</v>
      </c>
      <c r="D71" s="5" t="s">
        <v>49</v>
      </c>
      <c r="E71" s="5" t="s">
        <v>50</v>
      </c>
      <c r="F71" s="5" t="s">
        <v>51</v>
      </c>
      <c r="G71" s="5" t="s">
        <v>52</v>
      </c>
      <c r="H71" s="5" t="s">
        <v>54</v>
      </c>
      <c r="I71" s="5" t="s">
        <v>53</v>
      </c>
      <c r="J71" s="8" t="s">
        <v>55</v>
      </c>
      <c r="K71" s="80"/>
      <c r="L71" s="79" t="s">
        <v>90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</row>
    <row r="72" spans="1:42" x14ac:dyDescent="0.25">
      <c r="A72" s="7"/>
      <c r="B72" s="18" t="s">
        <v>78</v>
      </c>
      <c r="C72" s="19" t="s">
        <v>34</v>
      </c>
      <c r="D72" s="19" t="str">
        <f>IF(ISBLANK(C72),,VLOOKUP(C72,PERSONNEL,2,FALSE))</f>
        <v>Hugo CASTELL</v>
      </c>
      <c r="E72" s="31" t="str">
        <f>IF(ISBLANK(C72),,VLOOKUP(C72,PERSONNEL,3,FALSE))</f>
        <v>DEV&amp;DBA</v>
      </c>
      <c r="F72" s="56">
        <f>IF(ISBLANK(E72),,VLOOKUP(E72,PROFIL,3,FALSE))</f>
        <v>160</v>
      </c>
      <c r="G72" s="31">
        <f>IF(ISBLANK(B72),,VLOOKUP(B72,TACHES,3,FALSE))</f>
        <v>0.4</v>
      </c>
      <c r="H72" s="56">
        <f>F72*G72*TpsTrav_SEMAINE/7</f>
        <v>54.857142857142854</v>
      </c>
      <c r="I72" s="56">
        <f>H72*Marge_MO</f>
        <v>54.857142857142854</v>
      </c>
      <c r="J72" s="58">
        <f>H72+I72</f>
        <v>109.71428571428571</v>
      </c>
      <c r="K72" s="28"/>
      <c r="L72" s="81">
        <f>SUM(J72:J73)+L65</f>
        <v>8094.1714285714288</v>
      </c>
    </row>
    <row r="73" spans="1:42" x14ac:dyDescent="0.25">
      <c r="A73" s="7"/>
      <c r="B73" s="73" t="s">
        <v>79</v>
      </c>
      <c r="C73" s="74" t="s">
        <v>34</v>
      </c>
      <c r="D73" s="74" t="str">
        <f>IF(ISBLANK(C73),,VLOOKUP(C73,PERSONNEL,2,FALSE))</f>
        <v>Hugo CASTELL</v>
      </c>
      <c r="E73" s="75" t="str">
        <f>IF(ISBLANK(C73),,VLOOKUP(C73,PERSONNEL,3,FALSE))</f>
        <v>DEV&amp;DBA</v>
      </c>
      <c r="F73" s="76">
        <f>IF(ISBLANK(E73),,VLOOKUP(E73,PROFIL,3,FALSE))</f>
        <v>160</v>
      </c>
      <c r="G73" s="75">
        <f>IF(ISBLANK(B73),,VLOOKUP(B73,TACHES,3,FALSE))</f>
        <v>0.2</v>
      </c>
      <c r="H73" s="76">
        <f>F73*G73*TpsTrav_SEMAINE/7</f>
        <v>27.428571428571427</v>
      </c>
      <c r="I73" s="76">
        <f>H73*Marge_MO</f>
        <v>27.428571428571427</v>
      </c>
      <c r="J73" s="77">
        <f t="shared" ref="J73" si="4">H73+I73</f>
        <v>54.857142857142854</v>
      </c>
      <c r="K73" s="28"/>
    </row>
    <row r="75" spans="1:42" ht="18" customHeight="1" x14ac:dyDescent="0.25">
      <c r="B75" s="61" t="s">
        <v>83</v>
      </c>
    </row>
    <row r="77" spans="1:42" ht="21" customHeight="1" x14ac:dyDescent="0.25">
      <c r="A77" s="7"/>
      <c r="B77" s="6" t="s">
        <v>48</v>
      </c>
      <c r="C77" s="5" t="s">
        <v>62</v>
      </c>
      <c r="D77" s="5" t="s">
        <v>49</v>
      </c>
      <c r="E77" s="5" t="s">
        <v>50</v>
      </c>
      <c r="F77" s="5" t="s">
        <v>51</v>
      </c>
      <c r="G77" s="5" t="s">
        <v>52</v>
      </c>
      <c r="H77" s="5" t="s">
        <v>54</v>
      </c>
      <c r="I77" s="5" t="s">
        <v>53</v>
      </c>
      <c r="J77" s="8" t="s">
        <v>55</v>
      </c>
      <c r="K77" s="80"/>
      <c r="L77" s="79" t="s">
        <v>90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</row>
    <row r="78" spans="1:42" x14ac:dyDescent="0.25">
      <c r="A78" s="7"/>
      <c r="B78" s="18" t="s">
        <v>84</v>
      </c>
      <c r="C78" s="19" t="s">
        <v>34</v>
      </c>
      <c r="D78" s="19" t="str">
        <f>IF(ISBLANK(C78),,VLOOKUP(C78,PERSONNEL,2,FALSE))</f>
        <v>Hugo CASTELL</v>
      </c>
      <c r="E78" s="31" t="str">
        <f>IF(ISBLANK(C78),,VLOOKUP(C78,PERSONNEL,3,FALSE))</f>
        <v>DEV&amp;DBA</v>
      </c>
      <c r="F78" s="56">
        <f>IF(ISBLANK(E78),,VLOOKUP(E78,PROFIL,3,FALSE))</f>
        <v>160</v>
      </c>
      <c r="G78" s="31">
        <f>IF(ISBLANK(B78),,VLOOKUP(B78,TACHES,3,FALSE))</f>
        <v>0.1</v>
      </c>
      <c r="H78" s="56">
        <f>F78*G78*TpsTrav_SEMAINE/7</f>
        <v>13.714285714285714</v>
      </c>
      <c r="I78" s="56">
        <f>H78*Marge_MO</f>
        <v>13.714285714285714</v>
      </c>
      <c r="J78" s="58">
        <f>H78+I78</f>
        <v>27.428571428571427</v>
      </c>
      <c r="K78" s="28"/>
      <c r="L78" s="81">
        <f>SUM(J78:J80)+L72</f>
        <v>8176.4571428571435</v>
      </c>
    </row>
    <row r="79" spans="1:42" x14ac:dyDescent="0.25">
      <c r="A79" s="7"/>
      <c r="B79" s="20" t="s">
        <v>85</v>
      </c>
      <c r="C79" s="21" t="s">
        <v>34</v>
      </c>
      <c r="D79" s="21" t="str">
        <f>IF(ISBLANK(C79),,VLOOKUP(C79,PERSONNEL,2,FALSE))</f>
        <v>Hugo CASTELL</v>
      </c>
      <c r="E79" s="35" t="str">
        <f>IF(ISBLANK(C79),,VLOOKUP(C79,PERSONNEL,3,FALSE))</f>
        <v>DEV&amp;DBA</v>
      </c>
      <c r="F79" s="57">
        <f>IF(ISBLANK(E79),,VLOOKUP(E79,PROFIL,3,FALSE))</f>
        <v>160</v>
      </c>
      <c r="G79" s="35">
        <f>IF(ISBLANK(B79),,VLOOKUP(B79,TACHES,3,FALSE))</f>
        <v>0.1</v>
      </c>
      <c r="H79" s="57">
        <f>F79*G79*TpsTrav_SEMAINE/7</f>
        <v>13.714285714285714</v>
      </c>
      <c r="I79" s="57">
        <f>H79*Marge_MO</f>
        <v>13.714285714285714</v>
      </c>
      <c r="J79" s="59">
        <f t="shared" ref="J79:J80" si="5">H79+I79</f>
        <v>27.428571428571427</v>
      </c>
      <c r="K79" s="28"/>
    </row>
    <row r="80" spans="1:42" x14ac:dyDescent="0.25">
      <c r="A80" s="7"/>
      <c r="B80" s="68" t="s">
        <v>86</v>
      </c>
      <c r="C80" s="69" t="s">
        <v>37</v>
      </c>
      <c r="D80" s="69" t="str">
        <f>IF(ISBLANK(C80),,VLOOKUP(C80,PERSONNEL,2,FALSE))</f>
        <v>Matéo PEPIN</v>
      </c>
      <c r="E80" s="70" t="str">
        <f>IF(ISBLANK(C80),,VLOOKUP(C80,PERSONNEL,3,FALSE))</f>
        <v>DEV&amp;RESPIHM</v>
      </c>
      <c r="F80" s="71">
        <f>IF(ISBLANK(E80),,VLOOKUP(E80,PROFIL,3,FALSE))</f>
        <v>160</v>
      </c>
      <c r="G80" s="70">
        <f>IF(ISBLANK(B80),,VLOOKUP(B80,TACHES,3,FALSE))</f>
        <v>0.1</v>
      </c>
      <c r="H80" s="71">
        <f>F80*G80*TpsTrav_SEMAINE/7</f>
        <v>13.714285714285714</v>
      </c>
      <c r="I80" s="71">
        <f>H80*Marge_MO</f>
        <v>13.714285714285714</v>
      </c>
      <c r="J80" s="72">
        <f t="shared" si="5"/>
        <v>27.428571428571427</v>
      </c>
      <c r="K80" s="28"/>
    </row>
    <row r="83" spans="8:11" x14ac:dyDescent="0.25">
      <c r="H83" s="60">
        <f>SUM(H37:H80)</f>
        <v>4088.2285714285717</v>
      </c>
      <c r="I83" s="44">
        <f>1-(H83/J83)</f>
        <v>0.5</v>
      </c>
      <c r="J83" s="78">
        <f>L78</f>
        <v>8176.4571428571435</v>
      </c>
      <c r="K83" s="78"/>
    </row>
    <row r="90" spans="8:11" x14ac:dyDescent="0.25">
      <c r="H90" s="60">
        <f>J83+K27</f>
        <v>64410.257142857146</v>
      </c>
      <c r="I90" s="54"/>
      <c r="J90" s="54"/>
      <c r="K90" s="78"/>
    </row>
    <row r="91" spans="8:11" x14ac:dyDescent="0.25">
      <c r="H91" s="60">
        <f>H83</f>
        <v>4088.2285714285717</v>
      </c>
      <c r="I91" s="54"/>
      <c r="J91" s="54"/>
      <c r="K91" s="78"/>
    </row>
    <row r="92" spans="8:11" x14ac:dyDescent="0.25">
      <c r="H92" s="60">
        <f>J83-H83</f>
        <v>4088.2285714285717</v>
      </c>
      <c r="I92" s="54"/>
      <c r="J92" s="54"/>
      <c r="K92" s="78"/>
    </row>
    <row r="93" spans="8:11" x14ac:dyDescent="0.25">
      <c r="H93" s="60">
        <f>K27-H27</f>
        <v>7334.6146920000028</v>
      </c>
      <c r="I93" s="54"/>
      <c r="J93" s="54"/>
      <c r="K93" s="78"/>
    </row>
    <row r="94" spans="8:11" x14ac:dyDescent="0.25">
      <c r="H94" s="60">
        <f>H92+H93</f>
        <v>11422.843263428575</v>
      </c>
      <c r="I94" s="54"/>
      <c r="J94" s="54"/>
      <c r="K94" s="78"/>
    </row>
    <row r="95" spans="8:11" x14ac:dyDescent="0.25">
      <c r="H95" s="83">
        <f>H94/H90</f>
        <v>0.17734509641986929</v>
      </c>
      <c r="I95" s="54"/>
      <c r="J95" s="54"/>
      <c r="K95" s="78"/>
    </row>
    <row r="108" spans="2:2" x14ac:dyDescent="0.25">
      <c r="B108" s="84" t="s">
        <v>96</v>
      </c>
    </row>
    <row r="114" spans="2:2" x14ac:dyDescent="0.25">
      <c r="B114" s="86" t="s">
        <v>96</v>
      </c>
    </row>
    <row r="118" spans="2:2" x14ac:dyDescent="0.25">
      <c r="B118" s="85" t="s">
        <v>96</v>
      </c>
    </row>
  </sheetData>
  <mergeCells count="7">
    <mergeCell ref="I93:J93"/>
    <mergeCell ref="I94:J94"/>
    <mergeCell ref="I95:J95"/>
    <mergeCell ref="I27:J27"/>
    <mergeCell ref="I90:J90"/>
    <mergeCell ref="I91:J91"/>
    <mergeCell ref="I92:J92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References!$B$2:$B$24</xm:f>
          </x14:formula1>
          <xm:sqref>B37 B42:B44 B49:B52 B78:B80 B72:B73 B57:B60 B65:B67</xm:sqref>
        </x14:dataValidation>
        <x14:dataValidation type="list" allowBlank="1" showInputMessage="1" showErrorMessage="1">
          <x14:formula1>
            <xm:f>References!$H$2:$H$4</xm:f>
          </x14:formula1>
          <xm:sqref>C37 C42:C44 C49:C52 C78:C80 C72:C73 C57:C60 C65:C67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opLeftCell="K1" workbookViewId="0">
      <selection activeCell="W2" sqref="W2"/>
    </sheetView>
  </sheetViews>
  <sheetFormatPr baseColWidth="10" defaultRowHeight="14.4" x14ac:dyDescent="0.3"/>
  <cols>
    <col min="1" max="1" width="11.5546875" style="9"/>
    <col min="2" max="2" width="24.33203125" style="15" customWidth="1"/>
    <col min="3" max="3" width="35.5546875" style="15" customWidth="1"/>
    <col min="4" max="4" width="32.33203125" style="10" customWidth="1"/>
    <col min="5" max="5" width="16.6640625" style="10" customWidth="1"/>
    <col min="6" max="6" width="25" style="9" customWidth="1"/>
    <col min="7" max="7" width="11.5546875" style="9"/>
    <col min="8" max="8" width="11.5546875" style="10"/>
    <col min="9" max="9" width="15" style="9" customWidth="1"/>
    <col min="10" max="10" width="11.5546875" style="10"/>
    <col min="11" max="11" width="11.5546875" style="9"/>
    <col min="12" max="12" width="11.5546875" style="10"/>
    <col min="13" max="13" width="13.77734375" style="16" customWidth="1"/>
    <col min="14" max="14" width="15.33203125" style="10" customWidth="1"/>
    <col min="15" max="15" width="26.77734375" style="9" customWidth="1"/>
    <col min="16" max="16" width="6.33203125" style="10" customWidth="1"/>
    <col min="17" max="17" width="29.77734375" style="15" customWidth="1"/>
    <col min="18" max="18" width="11.5546875" style="10"/>
    <col min="19" max="19" width="26.5546875" style="15" customWidth="1"/>
    <col min="20" max="20" width="17.33203125" style="9" customWidth="1"/>
    <col min="21" max="16384" width="11.5546875" style="9"/>
  </cols>
  <sheetData>
    <row r="1" spans="1:23" s="11" customFormat="1" x14ac:dyDescent="0.3">
      <c r="A1" s="12" t="s">
        <v>11</v>
      </c>
      <c r="B1" s="14" t="s">
        <v>15</v>
      </c>
      <c r="C1" s="14" t="s">
        <v>17</v>
      </c>
      <c r="D1" s="11" t="s">
        <v>58</v>
      </c>
      <c r="E1" s="11" t="s">
        <v>27</v>
      </c>
      <c r="F1" s="11" t="s">
        <v>28</v>
      </c>
      <c r="G1" s="12" t="s">
        <v>12</v>
      </c>
      <c r="H1" s="11" t="s">
        <v>33</v>
      </c>
      <c r="I1" s="11" t="s">
        <v>15</v>
      </c>
      <c r="J1" s="11" t="s">
        <v>13</v>
      </c>
      <c r="K1" s="12" t="s">
        <v>13</v>
      </c>
      <c r="L1" s="25" t="s">
        <v>16</v>
      </c>
      <c r="M1" s="26" t="s">
        <v>17</v>
      </c>
      <c r="N1" s="25" t="s">
        <v>41</v>
      </c>
      <c r="O1" s="12" t="s">
        <v>14</v>
      </c>
      <c r="P1" s="11" t="s">
        <v>16</v>
      </c>
      <c r="Q1" s="14" t="s">
        <v>17</v>
      </c>
      <c r="R1" s="11" t="s">
        <v>18</v>
      </c>
      <c r="S1" s="14" t="s">
        <v>19</v>
      </c>
      <c r="T1" s="12" t="s">
        <v>63</v>
      </c>
      <c r="U1" s="11">
        <v>6</v>
      </c>
      <c r="V1" s="12" t="s">
        <v>64</v>
      </c>
      <c r="W1" s="11">
        <v>1</v>
      </c>
    </row>
    <row r="2" spans="1:23" ht="39.6" x14ac:dyDescent="0.3">
      <c r="B2" s="15" t="s">
        <v>30</v>
      </c>
      <c r="C2" s="15" t="s">
        <v>31</v>
      </c>
      <c r="D2" s="10">
        <f>ROUND((3*(TpsTrav_SEMAINE/7)),1.1)</f>
        <v>2.6</v>
      </c>
      <c r="E2" s="10" t="s">
        <v>59</v>
      </c>
      <c r="H2" s="10" t="s">
        <v>34</v>
      </c>
      <c r="I2" s="9" t="s">
        <v>35</v>
      </c>
      <c r="J2" s="10" t="s">
        <v>36</v>
      </c>
      <c r="K2" s="23"/>
      <c r="L2" s="24" t="s">
        <v>42</v>
      </c>
      <c r="M2" s="27" t="s">
        <v>43</v>
      </c>
      <c r="N2" s="24">
        <v>200</v>
      </c>
      <c r="P2" s="10" t="s">
        <v>20</v>
      </c>
      <c r="Q2" s="15" t="s">
        <v>21</v>
      </c>
      <c r="R2" s="13">
        <v>0.2</v>
      </c>
      <c r="S2" s="15" t="s">
        <v>22</v>
      </c>
    </row>
    <row r="3" spans="1:23" ht="39.6" x14ac:dyDescent="0.3">
      <c r="B3" s="15" t="s">
        <v>29</v>
      </c>
      <c r="C3" s="15" t="s">
        <v>32</v>
      </c>
      <c r="D3" s="10">
        <f>ROUND((3*(TpsTrav_SEMAINE/7)),1.1)</f>
        <v>2.6</v>
      </c>
      <c r="E3" s="10" t="s">
        <v>59</v>
      </c>
      <c r="H3" s="10" t="s">
        <v>37</v>
      </c>
      <c r="I3" s="9" t="s">
        <v>39</v>
      </c>
      <c r="J3" s="10" t="s">
        <v>44</v>
      </c>
      <c r="K3" s="23"/>
      <c r="L3" s="24" t="s">
        <v>44</v>
      </c>
      <c r="M3" s="27" t="s">
        <v>45</v>
      </c>
      <c r="N3" s="24">
        <v>160</v>
      </c>
      <c r="P3" s="10" t="s">
        <v>23</v>
      </c>
      <c r="Q3" s="15" t="s">
        <v>24</v>
      </c>
      <c r="R3" s="13">
        <v>0.02</v>
      </c>
    </row>
    <row r="4" spans="1:23" ht="39.6" x14ac:dyDescent="0.3">
      <c r="B4" s="15" t="s">
        <v>60</v>
      </c>
      <c r="C4" s="15" t="s">
        <v>61</v>
      </c>
      <c r="D4" s="10">
        <f>ROUND((3*(TpsTrav_SEMAINE/7)),1.1)</f>
        <v>2.6</v>
      </c>
      <c r="E4" s="10" t="s">
        <v>59</v>
      </c>
      <c r="H4" s="10" t="s">
        <v>38</v>
      </c>
      <c r="I4" s="9" t="s">
        <v>40</v>
      </c>
      <c r="J4" s="10" t="s">
        <v>42</v>
      </c>
      <c r="L4" s="24" t="s">
        <v>36</v>
      </c>
      <c r="M4" s="27" t="s">
        <v>46</v>
      </c>
      <c r="N4" s="24">
        <v>160</v>
      </c>
      <c r="P4" s="10" t="s">
        <v>25</v>
      </c>
      <c r="Q4" s="15" t="s">
        <v>26</v>
      </c>
      <c r="R4" s="13">
        <v>0.05</v>
      </c>
    </row>
    <row r="5" spans="1:23" ht="28.8" x14ac:dyDescent="0.3">
      <c r="B5" s="15" t="s">
        <v>68</v>
      </c>
      <c r="C5" s="15" t="s">
        <v>65</v>
      </c>
      <c r="D5" s="10">
        <f>ROUND((3*(TpsTrav_SEMAINE/7)),1.1)</f>
        <v>2.6</v>
      </c>
      <c r="E5" s="10" t="s">
        <v>59</v>
      </c>
      <c r="P5" s="10" t="s">
        <v>57</v>
      </c>
      <c r="Q5" s="15" t="s">
        <v>56</v>
      </c>
      <c r="R5" s="13">
        <v>0.02</v>
      </c>
    </row>
    <row r="6" spans="1:23" x14ac:dyDescent="0.3">
      <c r="B6" s="15" t="s">
        <v>70</v>
      </c>
      <c r="C6" s="15" t="s">
        <v>70</v>
      </c>
      <c r="D6" s="10">
        <f>ROUND((1/7*(TpsTrav_SEMAINE/7)),1.1)</f>
        <v>0.1</v>
      </c>
      <c r="E6" s="10" t="s">
        <v>59</v>
      </c>
    </row>
    <row r="7" spans="1:23" x14ac:dyDescent="0.3">
      <c r="B7" s="15" t="s">
        <v>71</v>
      </c>
      <c r="C7" s="15" t="s">
        <v>71</v>
      </c>
      <c r="D7" s="10">
        <f>ROUND((1/7*(TpsTrav_SEMAINE/7)/3),2)</f>
        <v>0.04</v>
      </c>
      <c r="E7" s="10" t="s">
        <v>59</v>
      </c>
    </row>
    <row r="8" spans="1:23" x14ac:dyDescent="0.3">
      <c r="B8" s="15" t="s">
        <v>73</v>
      </c>
      <c r="C8" s="15" t="s">
        <v>75</v>
      </c>
      <c r="D8" s="10">
        <f>ROUND(TpsTrav_SEMAINE,1.1)</f>
        <v>6</v>
      </c>
      <c r="E8" s="10" t="s">
        <v>77</v>
      </c>
    </row>
    <row r="9" spans="1:23" x14ac:dyDescent="0.3">
      <c r="B9" s="15" t="s">
        <v>74</v>
      </c>
      <c r="C9" s="15" t="s">
        <v>76</v>
      </c>
      <c r="D9" s="10">
        <f>ROUND(TpsTrav_SEMAINE,1.1)</f>
        <v>6</v>
      </c>
      <c r="E9" s="10" t="s">
        <v>77</v>
      </c>
      <c r="M9" s="17"/>
    </row>
    <row r="10" spans="1:23" ht="28.8" x14ac:dyDescent="0.3">
      <c r="B10" s="15" t="s">
        <v>78</v>
      </c>
      <c r="C10" s="15" t="s">
        <v>80</v>
      </c>
      <c r="D10" s="10">
        <f>ROUND((3/7*(TpsTrav_SEMAINE/7)),1.1)</f>
        <v>0.4</v>
      </c>
      <c r="E10" s="10" t="s">
        <v>59</v>
      </c>
    </row>
    <row r="11" spans="1:23" ht="28.8" x14ac:dyDescent="0.3">
      <c r="B11" s="15" t="s">
        <v>79</v>
      </c>
      <c r="C11" s="15" t="s">
        <v>81</v>
      </c>
      <c r="D11" s="10">
        <f>ROUND((2/7*(TpsTrav_SEMAINE/7)),1.1)</f>
        <v>0.2</v>
      </c>
      <c r="E11" s="10" t="s">
        <v>59</v>
      </c>
    </row>
    <row r="12" spans="1:23" x14ac:dyDescent="0.3">
      <c r="B12" s="15" t="s">
        <v>84</v>
      </c>
      <c r="C12" s="15" t="s">
        <v>87</v>
      </c>
      <c r="D12" s="10">
        <f>ROUND((1/7*(TpsTrav_SEMAINE/7)),1.1)</f>
        <v>0.1</v>
      </c>
      <c r="E12" s="10" t="s">
        <v>59</v>
      </c>
    </row>
    <row r="13" spans="1:23" x14ac:dyDescent="0.3">
      <c r="B13" s="15" t="s">
        <v>85</v>
      </c>
      <c r="C13" s="15" t="s">
        <v>88</v>
      </c>
      <c r="D13" s="10">
        <f>ROUND((1/7*(TpsTrav_SEMAINE/7)),1.1)</f>
        <v>0.1</v>
      </c>
      <c r="E13" s="10" t="s">
        <v>59</v>
      </c>
    </row>
    <row r="14" spans="1:23" x14ac:dyDescent="0.3">
      <c r="B14" s="15" t="s">
        <v>86</v>
      </c>
      <c r="C14" s="15" t="s">
        <v>89</v>
      </c>
      <c r="D14" s="10">
        <f>ROUND((1/7*(TpsTrav_SEMAINE/7)),1.1)</f>
        <v>0.1</v>
      </c>
      <c r="E14" s="10" t="s">
        <v>59</v>
      </c>
    </row>
    <row r="15" spans="1:23" ht="43.2" x14ac:dyDescent="0.3">
      <c r="B15" s="15" t="s">
        <v>91</v>
      </c>
      <c r="C15" s="15" t="s">
        <v>93</v>
      </c>
      <c r="D15" s="82">
        <f>ROUND((3*(TpsTrav_SEMAINE/7)),1.1)</f>
        <v>2.6</v>
      </c>
      <c r="E15" s="10" t="s">
        <v>59</v>
      </c>
    </row>
    <row r="16" spans="1:23" ht="43.2" x14ac:dyDescent="0.3">
      <c r="B16" s="15" t="s">
        <v>92</v>
      </c>
      <c r="C16" s="15" t="s">
        <v>94</v>
      </c>
      <c r="D16" s="82">
        <f>ROUND((3*(TpsTrav_SEMAINE/7)/2),1.1)</f>
        <v>1.3</v>
      </c>
      <c r="E16" s="10" t="s">
        <v>59</v>
      </c>
    </row>
    <row r="17" spans="4:4" x14ac:dyDescent="0.3">
      <c r="D17" s="82"/>
    </row>
  </sheetData>
  <pageMargins left="0.7" right="0.7" top="0.75" bottom="0.75" header="0.3" footer="0.3"/>
  <pageSetup paperSize="9" orientation="portrait" r:id="rId1"/>
  <ignoredErrors>
    <ignoredError sqref="D3:D7 D12:D16 D10:D11 D8:D9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6</vt:i4>
      </vt:variant>
    </vt:vector>
  </HeadingPairs>
  <TitlesOfParts>
    <vt:vector size="8" baseType="lpstr">
      <vt:lpstr>Evalutation du coût du projet</vt:lpstr>
      <vt:lpstr>References</vt:lpstr>
      <vt:lpstr>ChargesP</vt:lpstr>
      <vt:lpstr>Marge_MO</vt:lpstr>
      <vt:lpstr>PERSONNEL</vt:lpstr>
      <vt:lpstr>PROFIL</vt:lpstr>
      <vt:lpstr>TACHES</vt:lpstr>
      <vt:lpstr>TpsTrav_SEMAINE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</dc:creator>
  <cp:lastModifiedBy>Etudiant</cp:lastModifiedBy>
  <dcterms:created xsi:type="dcterms:W3CDTF">2022-06-07T18:26:24Z</dcterms:created>
  <dcterms:modified xsi:type="dcterms:W3CDTF">2022-06-12T14:52:46Z</dcterms:modified>
</cp:coreProperties>
</file>