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65" yWindow="375" windowWidth="19485" windowHeight="8970" tabRatio="500"/>
  </bookViews>
  <sheets>
    <sheet name="Sheet1" sheetId="1" r:id="rId1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G18" i="1"/>
  <c r="G16" i="1"/>
  <c r="H2" i="1"/>
  <c r="B9" i="1"/>
  <c r="B7" i="1"/>
  <c r="B5" i="1"/>
  <c r="I5" i="1"/>
  <c r="I6" i="1"/>
  <c r="J6" i="1"/>
  <c r="H18" i="1"/>
  <c r="I18" i="1"/>
  <c r="K18" i="1"/>
  <c r="J18" i="1"/>
  <c r="J7" i="1"/>
  <c r="L18" i="1"/>
  <c r="M18" i="1"/>
  <c r="S18" i="1"/>
  <c r="R18" i="1"/>
  <c r="X18" i="1"/>
  <c r="Q18" i="1"/>
  <c r="W18" i="1"/>
  <c r="P18" i="1"/>
  <c r="V18" i="1"/>
  <c r="O18" i="1"/>
  <c r="U18" i="1"/>
  <c r="N18" i="1"/>
  <c r="T18" i="1"/>
  <c r="J5" i="1"/>
  <c r="I4" i="1"/>
  <c r="J4" i="1"/>
</calcChain>
</file>

<file path=xl/sharedStrings.xml><?xml version="1.0" encoding="utf-8"?>
<sst xmlns="http://schemas.openxmlformats.org/spreadsheetml/2006/main" count="60" uniqueCount="49">
  <si>
    <t>resolution [m/px]</t>
  </si>
  <si>
    <t>at zoom 14</t>
  </si>
  <si>
    <t>IOPS</t>
  </si>
  <si>
    <t>throughput [MB/s]</t>
  </si>
  <si>
    <t>cost [$/GB/month]</t>
  </si>
  <si>
    <t>piramids factor []</t>
  </si>
  <si>
    <t>theoretically should be around 1,4 but it looks like postgis compresses images so the value here was calibrated against actual storage usage</t>
  </si>
  <si>
    <t>AWS gp3 SSD</t>
  </si>
  <si>
    <t>vs 120 000 iops 6 GB/s odessa </t>
  </si>
  <si>
    <t>UTM area [km2]</t>
  </si>
  <si>
    <t>CPU</t>
  </si>
  <si>
    <t>RAM</t>
  </si>
  <si>
    <t> cost [$/hour] </t>
  </si>
  <si>
    <t>cost [$/hour/core]</t>
  </si>
  <si>
    <t>cost [$/month/core]</t>
  </si>
  <si>
    <t>UTM size [GB]</t>
  </si>
  <si>
    <t>AWS t4g medium</t>
  </si>
  <si>
    <t>UTM preprocessing time [h]</t>
  </si>
  <si>
    <t>AWS m6g.2xlarge</t>
  </si>
  <si>
    <t>UTM preprocessing memory [GB]</t>
  </si>
  <si>
    <t>AWS m6g.4xlarge</t>
  </si>
  <si>
    <t>UTM ingestion time [h]</t>
  </si>
  <si>
    <t>BOKU-odessa with 3-years deprecation rate and 2 times initial buying cost overhead</t>
  </si>
  <si>
    <t>UTM ingestion memory [GB]</t>
  </si>
  <si>
    <t>UTM download time [h]</t>
  </si>
  <si>
    <t>daily processing time [h/compute weight]</t>
  </si>
  <si>
    <t>storage weight per db core</t>
  </si>
  <si>
    <t>reflect the usage pattern of the API. See logs (i.e api_logs db table) =&gt; Distribution of parallel request; peaks of requests at the same time i.e. 95% percentile.</t>
  </si>
  <si>
    <t>storage weight per www core</t>
  </si>
  <si>
    <t>reflect the usage pattern of the API</t>
  </si>
  <si>
    <t>min CPU count per ROI</t>
  </si>
  <si>
    <t>data reuse ratio</t>
  </si>
  <si>
    <t>monthly cost</t>
  </si>
  <si>
    <t>yearly cost</t>
  </si>
  <si>
    <t>cost share</t>
  </si>
  <si>
    <t>roi</t>
  </si>
  <si>
    <t>bands count (single-byte equivalent at zoom level 14)</t>
  </si>
  <si>
    <t>UTMs count (UTM x acquisitions)</t>
  </si>
  <si>
    <t>daily-interpolated data storage weight</t>
  </si>
  <si>
    <t>daily-interpolated data  compute weight</t>
  </si>
  <si>
    <t>real acquisitions storage weight (how many band/UTMtile)</t>
  </si>
  <si>
    <t>real size [GB]</t>
  </si>
  <si>
    <t>real acquisitions storage</t>
  </si>
  <si>
    <t>daily-interpolated data storage</t>
  </si>
  <si>
    <t>real acquisitions processing</t>
  </si>
  <si>
    <t>daily-interpolated data processing</t>
  </si>
  <si>
    <t>db and www hosts</t>
  </si>
  <si>
    <t>total</t>
  </si>
  <si>
    <t>Name of the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</si>
</sst>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z_ł_-;\-* #,##0.00\ _z_ł_-;_-* &quot;-&quot;??\ _z_ł_-;_-@_-"/>
    <numFmt numFmtId="165" formatCode="_-[$€-2]\ * #,##0_-;\-[$€-2]\ * #,##0_-;_-[$€-2]\ * &quot;-&quot;??_-;_-@_-"/>
    <numFmt numFmtId="166" formatCode="_([$€-2]\ * #,##0_);_([$€-2]\ * \(#,##0\);_([$€-2]\ * &quot;-&quot;??_);_(@_)"/>
    <numFmt numFmtId="167" formatCode="_-* #,##0\ _z_ł_-;\-* #,##0\ _z_ł_-;_-* &quot;-&quot;??\ _z_ł_-;_-@_-"/>
    <numFmt numFmtId="168" formatCode="_-[$$-409]* #,##0.00_ ;_-[$$-409]* \-#,##0.00\ ;_-[$$-409]* &quot;-&quot;??_ ;_-@_ "/>
  </numFmts>
  <fonts count="5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4" borderId="0" xfId="0" applyFont="1" applyFill="1"/>
    <xf numFmtId="2" fontId="3" fillId="4" borderId="0" xfId="0" applyNumberFormat="1" applyFont="1" applyFill="1"/>
    <xf numFmtId="0" fontId="3" fillId="0" borderId="0" xfId="0" applyFo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9" fontId="3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center"/>
    </xf>
    <xf numFmtId="1" fontId="3" fillId="0" borderId="0" xfId="0" applyNumberFormat="1" applyFont="1"/>
    <xf numFmtId="166" fontId="3" fillId="0" borderId="0" xfId="0" applyNumberFormat="1" applyFont="1"/>
    <xf numFmtId="166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167" fontId="3" fillId="0" borderId="0" xfId="0" applyNumberFormat="1" applyFont="1"/>
    <xf numFmtId="1" fontId="4" fillId="0" borderId="0" xfId="0" applyNumberFormat="1" applyFont="1"/>
    <xf numFmtId="0" fontId="2" fillId="0" borderId="0" xfId="0" applyFont="1"/>
    <xf numFmtId="165" fontId="2" fillId="0" borderId="0" xfId="0" applyNumberFormat="1" applyFont="1"/>
    <xf numFmtId="9" fontId="2" fillId="0" borderId="0" xfId="0" applyNumberFormat="1" applyFont="1"/>
    <xf numFmtId="168" fontId="3" fillId="0" borderId="0" xfId="0" applyNumberFormat="1" applyFont="1"/>
    <xf numFmtId="168" fontId="3" fillId="4" borderId="0" xfId="0" applyNumberFormat="1" applyFont="1" applyFill="1"/>
    <xf numFmtId="168" fontId="3" fillId="5" borderId="0" xfId="0" applyNumberFormat="1" applyFont="1" applyFill="1"/>
    <xf numFmtId="0" fontId="3" fillId="6" borderId="0" xfId="0" applyFont="1" applyFill="1" applyAlignment="1">
      <alignment wrapText="1"/>
    </xf>
    <xf numFmtId="1" fontId="3" fillId="4" borderId="0" xfId="0" applyNumberFormat="1" applyFont="1" applyFill="1"/>
    <xf numFmtId="168" fontId="3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1" fontId="3" fillId="4" borderId="0" xfId="0" applyNumberFormat="1" applyFont="1" applyFill="1" applyAlignment="1">
      <alignment horizontal="center" wrapText="1"/>
    </xf>
    <xf numFmtId="9" fontId="3" fillId="4" borderId="0" xfId="0" applyNumberFormat="1" applyFont="1" applyFill="1"/>
    <xf numFmtId="0" fontId="3" fillId="7" borderId="0" xfId="0" applyFont="1" applyFill="1"/>
    <xf numFmtId="168" fontId="3" fillId="7" borderId="0" xfId="0" applyNumberFormat="1" applyFont="1" applyFill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7" fontId="4" fillId="5" borderId="0" xfId="0" applyNumberFormat="1" applyFont="1" applyFill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topLeftCell="D1" zoomScale="70" zoomScaleNormal="70" workbookViewId="0">
      <selection activeCell="G17" sqref="G17:M18"/>
    </sheetView>
  </sheetViews>
  <sheetFormatPr defaultColWidth="10.875" defaultRowHeight="15"/>
  <cols>
    <col min="1" max="1" width="36.875" style="3" bestFit="1" customWidth="1"/>
    <col min="2" max="6" width="25" style="3" customWidth="1"/>
    <col min="7" max="7" width="18" style="3" customWidth="1"/>
    <col min="8" max="8" width="13.625" style="3" bestFit="1" customWidth="1"/>
    <col min="9" max="9" width="29.5" style="3" bestFit="1" customWidth="1"/>
    <col min="10" max="10" width="12.875" style="3" customWidth="1"/>
    <col min="11" max="11" width="12.5" style="3" bestFit="1" customWidth="1"/>
    <col min="12" max="12" width="11.875" style="3" bestFit="1" customWidth="1"/>
    <col min="13" max="13" width="11.125" style="3" bestFit="1" customWidth="1"/>
    <col min="14" max="14" width="12.75" style="3" bestFit="1" customWidth="1"/>
    <col min="15" max="15" width="13" style="3" bestFit="1" customWidth="1"/>
    <col min="16" max="16" width="12.75" style="3" bestFit="1" customWidth="1"/>
    <col min="17" max="17" width="12.5" style="3" bestFit="1" customWidth="1"/>
    <col min="18" max="18" width="13.25" style="3" bestFit="1" customWidth="1"/>
    <col min="19" max="19" width="12.25" style="3" bestFit="1" customWidth="1"/>
    <col min="20" max="20" width="12.75" style="3" bestFit="1" customWidth="1"/>
    <col min="21" max="21" width="10.125" style="3" bestFit="1" customWidth="1"/>
    <col min="22" max="23" width="11.875" style="3" bestFit="1" customWidth="1"/>
    <col min="24" max="24" width="7.75" style="3" bestFit="1" customWidth="1"/>
    <col min="25" max="16384" width="10.875" style="3"/>
  </cols>
  <sheetData>
    <row r="1" spans="1:24" ht="30">
      <c r="A1" s="1" t="s">
        <v>0</v>
      </c>
      <c r="B1" s="2">
        <v>9.5546000000000006</v>
      </c>
      <c r="C1" s="3" t="s">
        <v>1</v>
      </c>
      <c r="E1" s="1"/>
      <c r="F1" s="28" t="s">
        <v>2</v>
      </c>
      <c r="G1" s="28" t="s">
        <v>3</v>
      </c>
      <c r="H1" s="28" t="s">
        <v>4</v>
      </c>
      <c r="J1" s="12"/>
    </row>
    <row r="2" spans="1:24">
      <c r="A2" s="1" t="s">
        <v>5</v>
      </c>
      <c r="B2" s="1">
        <v>1.1000000000000001</v>
      </c>
      <c r="C2" s="3" t="s">
        <v>6</v>
      </c>
      <c r="E2" s="31" t="s">
        <v>7</v>
      </c>
      <c r="F2" s="31">
        <v>3000</v>
      </c>
      <c r="G2" s="31">
        <v>125</v>
      </c>
      <c r="H2" s="32">
        <f>0.1+MAX(0, F2-3000)*0.006 + MAX(0, G2-125)*0.048</f>
        <v>0.1</v>
      </c>
      <c r="I2" s="3" t="s">
        <v>8</v>
      </c>
    </row>
    <row r="3" spans="1:24" ht="45">
      <c r="A3" s="1" t="s">
        <v>9</v>
      </c>
      <c r="B3" s="1">
        <f>100*100</f>
        <v>10000</v>
      </c>
      <c r="C3" s="9"/>
      <c r="E3" s="1"/>
      <c r="F3" s="28" t="s">
        <v>10</v>
      </c>
      <c r="G3" s="28" t="s">
        <v>11</v>
      </c>
      <c r="H3" s="27" t="s">
        <v>12</v>
      </c>
      <c r="I3" s="28" t="s">
        <v>13</v>
      </c>
      <c r="J3" s="29" t="s">
        <v>14</v>
      </c>
    </row>
    <row r="4" spans="1:24">
      <c r="A4" s="1" t="s">
        <v>15</v>
      </c>
      <c r="B4" s="2">
        <f>(B3*10^6)  / (B1^2) / 2^30</f>
        <v>0.10201760172117112</v>
      </c>
      <c r="C4" s="9"/>
      <c r="E4" s="1" t="s">
        <v>16</v>
      </c>
      <c r="F4" s="1">
        <v>2</v>
      </c>
      <c r="G4" s="1">
        <v>4</v>
      </c>
      <c r="H4" s="23">
        <v>0.04</v>
      </c>
      <c r="I4" s="23">
        <f>H4/F4</f>
        <v>0.02</v>
      </c>
      <c r="J4" s="23">
        <f>I4*24*365.25/12</f>
        <v>14.61</v>
      </c>
    </row>
    <row r="5" spans="1:24">
      <c r="A5" s="1" t="s">
        <v>17</v>
      </c>
      <c r="B5" s="2">
        <f>2/60</f>
        <v>3.3333333333333333E-2</v>
      </c>
      <c r="C5" s="9"/>
      <c r="E5" s="1" t="s">
        <v>18</v>
      </c>
      <c r="F5" s="1">
        <v>8</v>
      </c>
      <c r="G5" s="1">
        <v>32</v>
      </c>
      <c r="H5" s="23">
        <v>0.44</v>
      </c>
      <c r="I5" s="23">
        <f>H5/F5</f>
        <v>5.5E-2</v>
      </c>
      <c r="J5" s="23">
        <f t="shared" ref="J5:J6" si="0">I5*24*365.25/12</f>
        <v>40.177500000000002</v>
      </c>
    </row>
    <row r="6" spans="1:24">
      <c r="A6" s="1" t="s">
        <v>19</v>
      </c>
      <c r="B6" s="2">
        <v>1</v>
      </c>
      <c r="D6" s="10"/>
      <c r="E6" s="1" t="s">
        <v>20</v>
      </c>
      <c r="F6" s="1">
        <v>16</v>
      </c>
      <c r="G6" s="1">
        <v>64</v>
      </c>
      <c r="H6" s="23">
        <v>0.87</v>
      </c>
      <c r="I6" s="23">
        <f>H6/F6</f>
        <v>5.4375E-2</v>
      </c>
      <c r="J6" s="23">
        <f t="shared" si="0"/>
        <v>39.720937499999998</v>
      </c>
    </row>
    <row r="7" spans="1:24">
      <c r="A7" s="1" t="s">
        <v>21</v>
      </c>
      <c r="B7" s="2">
        <f>5/60</f>
        <v>8.3333333333333329E-2</v>
      </c>
      <c r="E7" s="1" t="s">
        <v>22</v>
      </c>
      <c r="F7" s="1">
        <v>64</v>
      </c>
      <c r="G7" s="1">
        <v>256</v>
      </c>
      <c r="H7" s="1"/>
      <c r="I7" s="1"/>
      <c r="J7" s="23">
        <f>20000*2/3/12/F7</f>
        <v>17.361111111111111</v>
      </c>
    </row>
    <row r="8" spans="1:24">
      <c r="A8" s="1" t="s">
        <v>23</v>
      </c>
      <c r="B8" s="2">
        <v>1</v>
      </c>
    </row>
    <row r="9" spans="1:24">
      <c r="A9" s="1" t="s">
        <v>24</v>
      </c>
      <c r="B9" s="2">
        <f>1/60</f>
        <v>1.6666666666666666E-2</v>
      </c>
      <c r="D9" s="10"/>
    </row>
    <row r="10" spans="1:24">
      <c r="A10" s="1" t="s">
        <v>25</v>
      </c>
      <c r="B10" s="2">
        <v>0.5</v>
      </c>
      <c r="D10" s="10"/>
    </row>
    <row r="11" spans="1:24">
      <c r="A11" s="1" t="s">
        <v>26</v>
      </c>
      <c r="B11" s="26">
        <v>5000</v>
      </c>
      <c r="C11" s="3" t="s">
        <v>27</v>
      </c>
      <c r="D11" s="10"/>
    </row>
    <row r="12" spans="1:24">
      <c r="A12" s="1" t="s">
        <v>28</v>
      </c>
      <c r="B12" s="26">
        <v>25000</v>
      </c>
      <c r="C12" s="3" t="s">
        <v>29</v>
      </c>
      <c r="D12" s="10"/>
    </row>
    <row r="13" spans="1:24">
      <c r="A13" s="1" t="s">
        <v>30</v>
      </c>
      <c r="B13" s="2">
        <v>0.1</v>
      </c>
      <c r="D13" s="10"/>
    </row>
    <row r="15" spans="1:24" ht="15.75">
      <c r="G15" s="38" t="s">
        <v>31</v>
      </c>
    </row>
    <row r="16" spans="1:24" ht="15.75" customHeight="1">
      <c r="B16" s="4"/>
      <c r="C16" s="5"/>
      <c r="D16" s="25"/>
      <c r="G16" s="37">
        <f>SUM(G19:G43) / G18</f>
        <v>0</v>
      </c>
      <c r="H16" s="33" t="s">
        <v>32</v>
      </c>
      <c r="I16" s="33"/>
      <c r="J16" s="33"/>
      <c r="K16" s="33"/>
      <c r="L16" s="33"/>
      <c r="M16" s="33"/>
      <c r="N16" s="34" t="s">
        <v>33</v>
      </c>
      <c r="O16" s="34"/>
      <c r="P16" s="34"/>
      <c r="Q16" s="34"/>
      <c r="R16" s="34"/>
      <c r="S16" s="34"/>
      <c r="T16" s="35" t="s">
        <v>34</v>
      </c>
      <c r="U16" s="35"/>
      <c r="V16" s="35"/>
      <c r="W16" s="35"/>
      <c r="X16" s="35"/>
    </row>
    <row r="17" spans="1:24" ht="75.75" customHeight="1">
      <c r="A17" s="15" t="s">
        <v>35</v>
      </c>
      <c r="B17" s="39" t="s">
        <v>36</v>
      </c>
      <c r="C17" s="40" t="s">
        <v>37</v>
      </c>
      <c r="D17" s="41" t="s">
        <v>38</v>
      </c>
      <c r="E17" s="41" t="s">
        <v>39</v>
      </c>
      <c r="F17" s="42" t="s">
        <v>40</v>
      </c>
      <c r="G17" s="42" t="s">
        <v>41</v>
      </c>
      <c r="H17" s="46" t="s">
        <v>42</v>
      </c>
      <c r="I17" s="46" t="s">
        <v>43</v>
      </c>
      <c r="J17" s="46" t="s">
        <v>44</v>
      </c>
      <c r="K17" s="46" t="s">
        <v>45</v>
      </c>
      <c r="L17" s="46" t="s">
        <v>46</v>
      </c>
      <c r="M17" s="46" t="s">
        <v>47</v>
      </c>
      <c r="N17" s="42" t="s">
        <v>42</v>
      </c>
      <c r="O17" s="42" t="s">
        <v>43</v>
      </c>
      <c r="P17" s="42" t="s">
        <v>44</v>
      </c>
      <c r="Q17" s="42" t="s">
        <v>45</v>
      </c>
      <c r="R17" s="42" t="s">
        <v>46</v>
      </c>
      <c r="S17" s="42" t="s">
        <v>47</v>
      </c>
      <c r="T17" s="46" t="s">
        <v>42</v>
      </c>
      <c r="U17" s="46" t="s">
        <v>43</v>
      </c>
      <c r="V17" s="46" t="s">
        <v>44</v>
      </c>
      <c r="W17" s="46" t="s">
        <v>45</v>
      </c>
      <c r="X17" s="46" t="s">
        <v>46</v>
      </c>
    </row>
    <row r="18" spans="1:24" ht="15" customHeight="1">
      <c r="A18" s="6" t="s">
        <v>48</v>
      </c>
      <c r="B18" s="43">
        <v>1</v>
      </c>
      <c r="C18" s="44">
        <v>57222</v>
      </c>
      <c r="D18" s="45">
        <v>64125</v>
      </c>
      <c r="E18" s="45">
        <v>56870</v>
      </c>
      <c r="F18" s="45">
        <v>56870</v>
      </c>
      <c r="G18" s="36">
        <f>$B$4*$B$2*(F18+D18)</f>
        <v>13577.98169227841</v>
      </c>
      <c r="H18" s="23">
        <f t="shared" ref="H18" si="1">$B$4*$B$2*F18*$H$2</f>
        <v>638.19151108713027</v>
      </c>
      <c r="I18" s="23">
        <f t="shared" ref="I18" si="2">$B$4*$B$2*D18*$H$2</f>
        <v>719.60665814071081</v>
      </c>
      <c r="J18" s="23">
        <f t="shared" ref="J18" si="3">($B$9+$B$7+$B$5)*B18*C18*$H$5</f>
        <v>3357.0239999999999</v>
      </c>
      <c r="K18" s="23">
        <f t="shared" ref="K18" si="4">$B$10*E18*$I$5</f>
        <v>1563.925</v>
      </c>
      <c r="L18" s="23">
        <f t="shared" ref="L18" si="5">MAX($B$13, (F18+D18)/$B$11+(F18+D18)/$B$12)*$J$6</f>
        <v>1153.4483598750001</v>
      </c>
      <c r="M18" s="23">
        <f>SUM(H18:L18)</f>
        <v>7432.1955291028416</v>
      </c>
      <c r="N18" s="24">
        <f>H18*12</f>
        <v>7658.2981330455632</v>
      </c>
      <c r="O18" s="24">
        <f>I18*12</f>
        <v>8635.2798976885297</v>
      </c>
      <c r="P18" s="24">
        <f>J18*12</f>
        <v>40284.288</v>
      </c>
      <c r="Q18" s="24">
        <f>K18*12</f>
        <v>18767.099999999999</v>
      </c>
      <c r="R18" s="24">
        <f>L18*12</f>
        <v>13841.3803185</v>
      </c>
      <c r="S18" s="24">
        <f t="shared" ref="S18" si="6">M18*12</f>
        <v>89186.346349234096</v>
      </c>
      <c r="T18" s="30">
        <f t="shared" ref="T18" si="7">N18/$S18</f>
        <v>8.5868503941818108E-2</v>
      </c>
      <c r="U18" s="30">
        <f t="shared" ref="U18" si="8">O18/$S18</f>
        <v>9.6822891072078171E-2</v>
      </c>
      <c r="V18" s="30">
        <f t="shared" ref="V18" si="9">P18/$S18</f>
        <v>0.45168671718264586</v>
      </c>
      <c r="W18" s="30">
        <f t="shared" ref="W18" si="10">Q18/$S18</f>
        <v>0.21042570716499773</v>
      </c>
      <c r="X18" s="30">
        <f t="shared" ref="X18" si="11">R18/$S18</f>
        <v>0.15519618063846008</v>
      </c>
    </row>
    <row r="19" spans="1:24">
      <c r="B19" s="7"/>
      <c r="D19" s="22"/>
      <c r="F19" s="8"/>
      <c r="G19" s="8"/>
    </row>
    <row r="23" spans="1:24" ht="15" customHeight="1"/>
    <row r="24" spans="1:24" ht="15" customHeight="1"/>
    <row r="28" spans="1:24">
      <c r="I28" s="47"/>
      <c r="J28" s="47"/>
      <c r="K28" s="47"/>
      <c r="L28" s="11"/>
    </row>
    <row r="29" spans="1:24">
      <c r="I29" s="11"/>
      <c r="J29" s="11"/>
      <c r="K29" s="11"/>
      <c r="L29" s="11"/>
    </row>
    <row r="30" spans="1:24">
      <c r="I30" s="11"/>
      <c r="J30" s="11"/>
      <c r="K30" s="11"/>
      <c r="L30" s="11"/>
    </row>
    <row r="31" spans="1:24">
      <c r="I31" s="11"/>
      <c r="J31" s="11"/>
      <c r="K31" s="11"/>
      <c r="L31" s="11"/>
    </row>
    <row r="32" spans="1:24">
      <c r="I32" s="11"/>
      <c r="J32" s="11"/>
      <c r="K32" s="11"/>
      <c r="L32" s="11"/>
    </row>
    <row r="33" spans="4:12">
      <c r="D33" s="12"/>
      <c r="F33" s="12"/>
      <c r="G33" s="12"/>
      <c r="H33" s="7"/>
      <c r="I33" s="13"/>
      <c r="J33" s="8"/>
    </row>
    <row r="34" spans="4:12">
      <c r="H34" s="7"/>
      <c r="I34" s="13"/>
      <c r="J34" s="13"/>
    </row>
    <row r="35" spans="4:12">
      <c r="J35" s="8"/>
    </row>
    <row r="36" spans="4:12" ht="15.75">
      <c r="H36" s="7"/>
      <c r="J36" s="14"/>
      <c r="K36" s="15"/>
      <c r="L36" s="15"/>
    </row>
    <row r="37" spans="4:12" ht="15.75">
      <c r="H37" s="7"/>
      <c r="J37" s="16"/>
      <c r="K37" s="15"/>
      <c r="L37" s="15"/>
    </row>
    <row r="38" spans="4:12">
      <c r="J38" s="17"/>
    </row>
    <row r="50" spans="1:3" ht="15.75">
      <c r="A50" s="15"/>
      <c r="B50" s="18"/>
    </row>
    <row r="51" spans="1:3" ht="15.75">
      <c r="A51" s="15"/>
      <c r="B51" s="18"/>
    </row>
    <row r="52" spans="1:3" ht="15.75">
      <c r="A52" s="15"/>
      <c r="B52" s="15"/>
    </row>
    <row r="53" spans="1:3" ht="15.75">
      <c r="A53" s="19"/>
      <c r="B53" s="20"/>
      <c r="C53" s="21"/>
    </row>
    <row r="54" spans="1:3" ht="15.75">
      <c r="A54" s="19"/>
      <c r="B54" s="20"/>
      <c r="C54" s="21"/>
    </row>
  </sheetData>
  <mergeCells count="1">
    <mergeCell ref="I28:K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2019-12-05T04:01:36Z</dcterms:created>
  <dcterms:modified xsi:type="dcterms:W3CDTF">2023-06-20T13:18:42Z</dcterms:modified>
  <cp:category/>
  <cp:contentStatus/>
</cp:coreProperties>
</file>