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tefana\IVL Svenska Miljöinstitutet AB\Sofia Klugman - Task 3.1 CBA\CBA\00 For calculations\"/>
    </mc:Choice>
  </mc:AlternateContent>
  <xr:revisionPtr revIDLastSave="136" documentId="6_{C516FE75-1EB3-437E-9407-360320BF6975}" xr6:coauthVersionLast="45" xr6:coauthVersionMax="45" xr10:uidLastSave="{115CB860-93A9-4CDC-B908-E6FC87C6D422}"/>
  <bookViews>
    <workbookView xWindow="-120" yWindow="-120" windowWidth="29040" windowHeight="15840" xr2:uid="{00000000-000D-0000-FFFF-FFFF00000000}"/>
  </bookViews>
  <sheets>
    <sheet name="Option_data" sheetId="1" r:id="rId1"/>
    <sheet name="ES_Ele_emfac" sheetId="5" r:id="rId2"/>
    <sheet name="Sheet1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7" i="1" l="1"/>
  <c r="T14" i="1" l="1"/>
  <c r="L8" i="5" l="1"/>
  <c r="L77" i="5"/>
  <c r="L76" i="5"/>
  <c r="L75" i="5"/>
  <c r="L74" i="5"/>
  <c r="L7" i="5"/>
  <c r="T8" i="1" l="1"/>
  <c r="AI8" i="1" l="1"/>
  <c r="AI14" i="1" s="1"/>
  <c r="Y8" i="1"/>
  <c r="Y14" i="1" s="1"/>
  <c r="X14" i="1"/>
  <c r="AH8" i="1"/>
  <c r="AH14" i="1" s="1"/>
  <c r="AA14" i="1"/>
  <c r="AG8" i="1"/>
  <c r="AG14" i="1" s="1"/>
  <c r="AE8" i="1"/>
  <c r="AE14" i="1" s="1"/>
  <c r="AD8" i="1"/>
  <c r="AC8" i="1"/>
  <c r="AC14" i="1" s="1"/>
  <c r="Z8" i="1"/>
  <c r="Z14" i="1" s="1"/>
  <c r="AB8" i="1"/>
  <c r="AB14" i="1" s="1"/>
  <c r="Z7" i="1"/>
  <c r="Y7" i="1"/>
  <c r="AF8" i="1" l="1"/>
  <c r="AF14" i="1" s="1"/>
  <c r="AD14" i="1"/>
  <c r="N8" i="1"/>
  <c r="F12" i="1" l="1"/>
  <c r="F13" i="1" l="1"/>
  <c r="F11" i="1"/>
  <c r="AC13" i="1"/>
  <c r="E179" i="5" l="1"/>
  <c r="E180" i="5" s="1"/>
  <c r="E181" i="5" s="1"/>
  <c r="E182" i="5" s="1"/>
  <c r="E183" i="5" s="1"/>
  <c r="E184" i="5" s="1"/>
  <c r="E185" i="5" s="1"/>
  <c r="E186" i="5" s="1"/>
  <c r="E187" i="5" s="1"/>
  <c r="E188" i="5" s="1"/>
  <c r="E175" i="5"/>
  <c r="E176" i="5" s="1"/>
  <c r="E177" i="5" s="1"/>
  <c r="E178" i="5" s="1"/>
  <c r="E171" i="5"/>
  <c r="E172" i="5" s="1"/>
  <c r="E173" i="5" s="1"/>
  <c r="E174" i="5" s="1"/>
  <c r="E170" i="5"/>
  <c r="D170" i="5"/>
  <c r="D171" i="5" s="1"/>
  <c r="M39" i="5" s="1"/>
  <c r="E166" i="5"/>
  <c r="E167" i="5" s="1"/>
  <c r="E168" i="5" s="1"/>
  <c r="E165" i="5"/>
  <c r="D165" i="5"/>
  <c r="D166" i="5" s="1"/>
  <c r="D167" i="5" s="1"/>
  <c r="D162" i="5"/>
  <c r="E161" i="5"/>
  <c r="E160" i="5"/>
  <c r="D160" i="5"/>
  <c r="D161" i="5" s="1"/>
  <c r="E156" i="5"/>
  <c r="E157" i="5" s="1"/>
  <c r="E158" i="5" s="1"/>
  <c r="E155" i="5"/>
  <c r="D155" i="5"/>
  <c r="D153" i="5"/>
  <c r="D152" i="5"/>
  <c r="E151" i="5"/>
  <c r="E152" i="5" s="1"/>
  <c r="E153" i="5" s="1"/>
  <c r="E150" i="5"/>
  <c r="D150" i="5"/>
  <c r="D151" i="5" s="1"/>
  <c r="E146" i="5"/>
  <c r="E145" i="5"/>
  <c r="D145" i="5"/>
  <c r="D146" i="5" s="1"/>
  <c r="D147" i="5" s="1"/>
  <c r="D142" i="5"/>
  <c r="D143" i="5" s="1"/>
  <c r="E141" i="5"/>
  <c r="E142" i="5" s="1"/>
  <c r="E143" i="5" s="1"/>
  <c r="E140" i="5"/>
  <c r="D140" i="5"/>
  <c r="D141" i="5" s="1"/>
  <c r="F118" i="5"/>
  <c r="F119" i="5" s="1"/>
  <c r="F120" i="5" s="1"/>
  <c r="F121" i="5" s="1"/>
  <c r="F122" i="5" s="1"/>
  <c r="H113" i="5"/>
  <c r="H114" i="5" s="1"/>
  <c r="H115" i="5" s="1"/>
  <c r="H116" i="5" s="1"/>
  <c r="H117" i="5" s="1"/>
  <c r="H118" i="5" s="1"/>
  <c r="H119" i="5" s="1"/>
  <c r="H120" i="5" s="1"/>
  <c r="H121" i="5" s="1"/>
  <c r="H122" i="5" s="1"/>
  <c r="M108" i="5"/>
  <c r="M109" i="5" s="1"/>
  <c r="M110" i="5" s="1"/>
  <c r="M111" i="5" s="1"/>
  <c r="M112" i="5" s="1"/>
  <c r="M113" i="5" s="1"/>
  <c r="M114" i="5" s="1"/>
  <c r="M115" i="5" s="1"/>
  <c r="M116" i="5" s="1"/>
  <c r="M117" i="5" s="1"/>
  <c r="M118" i="5" s="1"/>
  <c r="M119" i="5" s="1"/>
  <c r="M120" i="5" s="1"/>
  <c r="M121" i="5" s="1"/>
  <c r="M122" i="5" s="1"/>
  <c r="M106" i="5"/>
  <c r="M107" i="5" s="1"/>
  <c r="H106" i="5"/>
  <c r="H107" i="5" s="1"/>
  <c r="H108" i="5" s="1"/>
  <c r="H109" i="5" s="1"/>
  <c r="H110" i="5" s="1"/>
  <c r="H111" i="5" s="1"/>
  <c r="H112" i="5" s="1"/>
  <c r="E106" i="5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O105" i="5"/>
  <c r="O106" i="5" s="1"/>
  <c r="O107" i="5" s="1"/>
  <c r="O108" i="5" s="1"/>
  <c r="O109" i="5" s="1"/>
  <c r="O110" i="5" s="1"/>
  <c r="O111" i="5" s="1"/>
  <c r="O112" i="5" s="1"/>
  <c r="O113" i="5" s="1"/>
  <c r="O114" i="5" s="1"/>
  <c r="O115" i="5" s="1"/>
  <c r="O116" i="5" s="1"/>
  <c r="O117" i="5" s="1"/>
  <c r="O118" i="5" s="1"/>
  <c r="O119" i="5" s="1"/>
  <c r="O120" i="5" s="1"/>
  <c r="O121" i="5" s="1"/>
  <c r="O122" i="5" s="1"/>
  <c r="K105" i="5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H105" i="5"/>
  <c r="F105" i="5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E105" i="5"/>
  <c r="O104" i="5"/>
  <c r="N104" i="5"/>
  <c r="N105" i="5" s="1"/>
  <c r="N106" i="5" s="1"/>
  <c r="N107" i="5" s="1"/>
  <c r="N108" i="5" s="1"/>
  <c r="N109" i="5" s="1"/>
  <c r="N110" i="5" s="1"/>
  <c r="N111" i="5" s="1"/>
  <c r="N112" i="5" s="1"/>
  <c r="N113" i="5" s="1"/>
  <c r="N114" i="5" s="1"/>
  <c r="N115" i="5" s="1"/>
  <c r="N116" i="5" s="1"/>
  <c r="N117" i="5" s="1"/>
  <c r="N118" i="5" s="1"/>
  <c r="N119" i="5" s="1"/>
  <c r="N120" i="5" s="1"/>
  <c r="N121" i="5" s="1"/>
  <c r="N122" i="5" s="1"/>
  <c r="M104" i="5"/>
  <c r="M105" i="5" s="1"/>
  <c r="L104" i="5"/>
  <c r="K104" i="5"/>
  <c r="J104" i="5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I104" i="5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H104" i="5"/>
  <c r="F104" i="5"/>
  <c r="E104" i="5"/>
  <c r="L103" i="5"/>
  <c r="O102" i="5"/>
  <c r="M102" i="5"/>
  <c r="M101" i="5"/>
  <c r="J101" i="5"/>
  <c r="L101" i="5" s="1"/>
  <c r="I101" i="5"/>
  <c r="I102" i="5" s="1"/>
  <c r="M100" i="5"/>
  <c r="L100" i="5"/>
  <c r="E100" i="5"/>
  <c r="E101" i="5" s="1"/>
  <c r="E102" i="5" s="1"/>
  <c r="D100" i="5"/>
  <c r="D101" i="5" s="1"/>
  <c r="D102" i="5" s="1"/>
  <c r="O99" i="5"/>
  <c r="O100" i="5" s="1"/>
  <c r="O101" i="5" s="1"/>
  <c r="N99" i="5"/>
  <c r="N100" i="5" s="1"/>
  <c r="N101" i="5" s="1"/>
  <c r="N102" i="5" s="1"/>
  <c r="M99" i="5"/>
  <c r="K99" i="5"/>
  <c r="K100" i="5" s="1"/>
  <c r="K101" i="5" s="1"/>
  <c r="K102" i="5" s="1"/>
  <c r="J99" i="5"/>
  <c r="J100" i="5" s="1"/>
  <c r="I99" i="5"/>
  <c r="I100" i="5" s="1"/>
  <c r="H99" i="5"/>
  <c r="H33" i="5" s="1"/>
  <c r="F99" i="5"/>
  <c r="F100" i="5" s="1"/>
  <c r="F101" i="5" s="1"/>
  <c r="F102" i="5" s="1"/>
  <c r="E99" i="5"/>
  <c r="D99" i="5"/>
  <c r="L98" i="5"/>
  <c r="O97" i="5"/>
  <c r="O96" i="5"/>
  <c r="J96" i="5"/>
  <c r="L96" i="5" s="1"/>
  <c r="H96" i="5"/>
  <c r="H97" i="5" s="1"/>
  <c r="F96" i="5"/>
  <c r="F97" i="5" s="1"/>
  <c r="O95" i="5"/>
  <c r="M95" i="5"/>
  <c r="M96" i="5" s="1"/>
  <c r="M97" i="5" s="1"/>
  <c r="J95" i="5"/>
  <c r="L95" i="5" s="1"/>
  <c r="I95" i="5"/>
  <c r="I96" i="5" s="1"/>
  <c r="I97" i="5" s="1"/>
  <c r="H95" i="5"/>
  <c r="F95" i="5"/>
  <c r="D95" i="5"/>
  <c r="D96" i="5" s="1"/>
  <c r="D97" i="5" s="1"/>
  <c r="O94" i="5"/>
  <c r="N94" i="5"/>
  <c r="M94" i="5"/>
  <c r="L94" i="5"/>
  <c r="L28" i="5" s="1"/>
  <c r="K94" i="5"/>
  <c r="K95" i="5" s="1"/>
  <c r="K96" i="5" s="1"/>
  <c r="K97" i="5" s="1"/>
  <c r="J94" i="5"/>
  <c r="I94" i="5"/>
  <c r="H94" i="5"/>
  <c r="F94" i="5"/>
  <c r="E94" i="5"/>
  <c r="E95" i="5" s="1"/>
  <c r="E96" i="5" s="1"/>
  <c r="E97" i="5" s="1"/>
  <c r="D94" i="5"/>
  <c r="L93" i="5"/>
  <c r="L27" i="5" s="1"/>
  <c r="I92" i="5"/>
  <c r="F92" i="5"/>
  <c r="F91" i="5"/>
  <c r="O90" i="5"/>
  <c r="O91" i="5" s="1"/>
  <c r="O92" i="5" s="1"/>
  <c r="N90" i="5"/>
  <c r="N91" i="5" s="1"/>
  <c r="N92" i="5" s="1"/>
  <c r="M90" i="5"/>
  <c r="M91" i="5" s="1"/>
  <c r="M92" i="5" s="1"/>
  <c r="H90" i="5"/>
  <c r="H91" i="5" s="1"/>
  <c r="H92" i="5" s="1"/>
  <c r="F90" i="5"/>
  <c r="E90" i="5"/>
  <c r="E91" i="5" s="1"/>
  <c r="E92" i="5" s="1"/>
  <c r="O89" i="5"/>
  <c r="N89" i="5"/>
  <c r="M89" i="5"/>
  <c r="K89" i="5"/>
  <c r="K90" i="5" s="1"/>
  <c r="K91" i="5" s="1"/>
  <c r="K92" i="5" s="1"/>
  <c r="J89" i="5"/>
  <c r="L89" i="5" s="1"/>
  <c r="I89" i="5"/>
  <c r="I90" i="5" s="1"/>
  <c r="I91" i="5" s="1"/>
  <c r="H89" i="5"/>
  <c r="F89" i="5"/>
  <c r="E89" i="5"/>
  <c r="D89" i="5"/>
  <c r="D90" i="5" s="1"/>
  <c r="D91" i="5" s="1"/>
  <c r="D92" i="5" s="1"/>
  <c r="L88" i="5"/>
  <c r="N87" i="5"/>
  <c r="N21" i="5" s="1"/>
  <c r="I86" i="5"/>
  <c r="I87" i="5" s="1"/>
  <c r="F86" i="5"/>
  <c r="F20" i="5" s="1"/>
  <c r="M85" i="5"/>
  <c r="M86" i="5" s="1"/>
  <c r="M87" i="5" s="1"/>
  <c r="M21" i="5" s="1"/>
  <c r="K85" i="5"/>
  <c r="K86" i="5" s="1"/>
  <c r="K87" i="5" s="1"/>
  <c r="I85" i="5"/>
  <c r="O84" i="5"/>
  <c r="O85" i="5" s="1"/>
  <c r="O86" i="5" s="1"/>
  <c r="N84" i="5"/>
  <c r="N85" i="5" s="1"/>
  <c r="N86" i="5" s="1"/>
  <c r="N20" i="5" s="1"/>
  <c r="M84" i="5"/>
  <c r="K84" i="5"/>
  <c r="J84" i="5"/>
  <c r="I84" i="5"/>
  <c r="H84" i="5"/>
  <c r="H85" i="5" s="1"/>
  <c r="H86" i="5" s="1"/>
  <c r="H87" i="5" s="1"/>
  <c r="F84" i="5"/>
  <c r="F85" i="5" s="1"/>
  <c r="E84" i="5"/>
  <c r="E85" i="5" s="1"/>
  <c r="E86" i="5" s="1"/>
  <c r="E87" i="5" s="1"/>
  <c r="D84" i="5"/>
  <c r="D18" i="5" s="1"/>
  <c r="L83" i="5"/>
  <c r="N82" i="5"/>
  <c r="N81" i="5"/>
  <c r="E81" i="5"/>
  <c r="E82" i="5" s="1"/>
  <c r="N80" i="5"/>
  <c r="I80" i="5"/>
  <c r="I81" i="5" s="1"/>
  <c r="I82" i="5" s="1"/>
  <c r="H80" i="5"/>
  <c r="H81" i="5" s="1"/>
  <c r="H82" i="5" s="1"/>
  <c r="F80" i="5"/>
  <c r="F81" i="5" s="1"/>
  <c r="F82" i="5" s="1"/>
  <c r="E80" i="5"/>
  <c r="O79" i="5"/>
  <c r="O80" i="5" s="1"/>
  <c r="N79" i="5"/>
  <c r="M79" i="5"/>
  <c r="M80" i="5" s="1"/>
  <c r="M81" i="5" s="1"/>
  <c r="M82" i="5" s="1"/>
  <c r="K79" i="5"/>
  <c r="K80" i="5" s="1"/>
  <c r="K81" i="5" s="1"/>
  <c r="K82" i="5" s="1"/>
  <c r="J79" i="5"/>
  <c r="J80" i="5" s="1"/>
  <c r="J81" i="5" s="1"/>
  <c r="I79" i="5"/>
  <c r="H79" i="5"/>
  <c r="F79" i="5"/>
  <c r="E79" i="5"/>
  <c r="D79" i="5"/>
  <c r="L78" i="5"/>
  <c r="K77" i="5"/>
  <c r="K11" i="5" s="1"/>
  <c r="K76" i="5"/>
  <c r="J76" i="5"/>
  <c r="N75" i="5"/>
  <c r="N76" i="5" s="1"/>
  <c r="N77" i="5" s="1"/>
  <c r="M75" i="5"/>
  <c r="M76" i="5" s="1"/>
  <c r="M77" i="5" s="1"/>
  <c r="K75" i="5"/>
  <c r="E75" i="5"/>
  <c r="E76" i="5" s="1"/>
  <c r="D75" i="5"/>
  <c r="D76" i="5" s="1"/>
  <c r="O74" i="5"/>
  <c r="O75" i="5" s="1"/>
  <c r="N74" i="5"/>
  <c r="M74" i="5"/>
  <c r="K74" i="5"/>
  <c r="J74" i="5"/>
  <c r="J75" i="5" s="1"/>
  <c r="I74" i="5"/>
  <c r="I75" i="5" s="1"/>
  <c r="H74" i="5"/>
  <c r="H75" i="5" s="1"/>
  <c r="F74" i="5"/>
  <c r="F75" i="5" s="1"/>
  <c r="F76" i="5" s="1"/>
  <c r="F77" i="5" s="1"/>
  <c r="F11" i="5" s="1"/>
  <c r="E74" i="5"/>
  <c r="D74" i="5"/>
  <c r="L73" i="5"/>
  <c r="E39" i="5"/>
  <c r="O38" i="5"/>
  <c r="N38" i="5"/>
  <c r="M38" i="5"/>
  <c r="K38" i="5"/>
  <c r="J38" i="5"/>
  <c r="I38" i="5"/>
  <c r="H38" i="5"/>
  <c r="G38" i="5"/>
  <c r="F38" i="5"/>
  <c r="E38" i="5"/>
  <c r="O37" i="5"/>
  <c r="N37" i="5"/>
  <c r="M37" i="5"/>
  <c r="L37" i="5"/>
  <c r="K37" i="5"/>
  <c r="J37" i="5"/>
  <c r="I37" i="5"/>
  <c r="H37" i="5"/>
  <c r="G37" i="5"/>
  <c r="F37" i="5"/>
  <c r="E37" i="5"/>
  <c r="D37" i="5"/>
  <c r="O35" i="5"/>
  <c r="M35" i="5"/>
  <c r="K35" i="5"/>
  <c r="G35" i="5"/>
  <c r="F35" i="5"/>
  <c r="E35" i="5"/>
  <c r="O34" i="5"/>
  <c r="M34" i="5"/>
  <c r="K34" i="5"/>
  <c r="J34" i="5"/>
  <c r="I34" i="5"/>
  <c r="G34" i="5"/>
  <c r="E34" i="5"/>
  <c r="O33" i="5"/>
  <c r="N33" i="5"/>
  <c r="M33" i="5"/>
  <c r="K33" i="5"/>
  <c r="J33" i="5"/>
  <c r="I33" i="5"/>
  <c r="G33" i="5"/>
  <c r="F33" i="5"/>
  <c r="E33" i="5"/>
  <c r="D33" i="5"/>
  <c r="O32" i="5"/>
  <c r="N32" i="5"/>
  <c r="M32" i="5"/>
  <c r="L32" i="5"/>
  <c r="K32" i="5"/>
  <c r="J32" i="5"/>
  <c r="I32" i="5"/>
  <c r="H32" i="5"/>
  <c r="G32" i="5"/>
  <c r="F32" i="5"/>
  <c r="E32" i="5"/>
  <c r="D32" i="5"/>
  <c r="O29" i="5"/>
  <c r="M29" i="5"/>
  <c r="K29" i="5"/>
  <c r="I29" i="5"/>
  <c r="G29" i="5"/>
  <c r="F29" i="5"/>
  <c r="E29" i="5"/>
  <c r="O28" i="5"/>
  <c r="M28" i="5"/>
  <c r="K28" i="5"/>
  <c r="J28" i="5"/>
  <c r="I28" i="5"/>
  <c r="H28" i="5"/>
  <c r="G28" i="5"/>
  <c r="F28" i="5"/>
  <c r="D28" i="5"/>
  <c r="O27" i="5"/>
  <c r="N27" i="5"/>
  <c r="M27" i="5"/>
  <c r="K27" i="5"/>
  <c r="J27" i="5"/>
  <c r="I27" i="5"/>
  <c r="H27" i="5"/>
  <c r="G27" i="5"/>
  <c r="F27" i="5"/>
  <c r="E27" i="5"/>
  <c r="D27" i="5"/>
  <c r="O23" i="5"/>
  <c r="N23" i="5"/>
  <c r="M23" i="5"/>
  <c r="K23" i="5"/>
  <c r="I23" i="5"/>
  <c r="F23" i="5"/>
  <c r="O22" i="5"/>
  <c r="N22" i="5"/>
  <c r="M22" i="5"/>
  <c r="L22" i="5"/>
  <c r="K22" i="5"/>
  <c r="J22" i="5"/>
  <c r="I22" i="5"/>
  <c r="H22" i="5"/>
  <c r="G22" i="5"/>
  <c r="F22" i="5"/>
  <c r="E22" i="5"/>
  <c r="D22" i="5"/>
  <c r="K21" i="5"/>
  <c r="I21" i="5"/>
  <c r="G21" i="5"/>
  <c r="E21" i="5"/>
  <c r="K20" i="5"/>
  <c r="I20" i="5"/>
  <c r="G20" i="5"/>
  <c r="E20" i="5"/>
  <c r="O19" i="5"/>
  <c r="N19" i="5"/>
  <c r="K19" i="5"/>
  <c r="I19" i="5"/>
  <c r="H19" i="5"/>
  <c r="G19" i="5"/>
  <c r="F19" i="5"/>
  <c r="E19" i="5"/>
  <c r="O18" i="5"/>
  <c r="N18" i="5"/>
  <c r="M18" i="5"/>
  <c r="K18" i="5"/>
  <c r="J18" i="5"/>
  <c r="I18" i="5"/>
  <c r="H18" i="5"/>
  <c r="G18" i="5"/>
  <c r="F18" i="5"/>
  <c r="E18" i="5"/>
  <c r="O17" i="5"/>
  <c r="N17" i="5"/>
  <c r="M17" i="5"/>
  <c r="L17" i="5"/>
  <c r="K17" i="5"/>
  <c r="J17" i="5"/>
  <c r="I17" i="5"/>
  <c r="H17" i="5"/>
  <c r="G17" i="5"/>
  <c r="F17" i="5"/>
  <c r="E17" i="5"/>
  <c r="D17" i="5"/>
  <c r="E14" i="5"/>
  <c r="O13" i="5"/>
  <c r="N13" i="5"/>
  <c r="K13" i="5"/>
  <c r="J13" i="5"/>
  <c r="I13" i="5"/>
  <c r="H13" i="5"/>
  <c r="G13" i="5"/>
  <c r="F13" i="5"/>
  <c r="E13" i="5"/>
  <c r="O12" i="5"/>
  <c r="N12" i="5"/>
  <c r="M12" i="5"/>
  <c r="L12" i="5"/>
  <c r="K12" i="5"/>
  <c r="J12" i="5"/>
  <c r="I12" i="5"/>
  <c r="H12" i="5"/>
  <c r="G12" i="5"/>
  <c r="F12" i="5"/>
  <c r="E12" i="5"/>
  <c r="D12" i="5"/>
  <c r="N11" i="5"/>
  <c r="M11" i="5"/>
  <c r="G11" i="5"/>
  <c r="M10" i="5"/>
  <c r="K10" i="5"/>
  <c r="J10" i="5"/>
  <c r="G10" i="5"/>
  <c r="F10" i="5"/>
  <c r="M9" i="5"/>
  <c r="L9" i="5"/>
  <c r="K9" i="5"/>
  <c r="J9" i="5"/>
  <c r="G9" i="5"/>
  <c r="F9" i="5"/>
  <c r="E9" i="5"/>
  <c r="D9" i="5"/>
  <c r="O8" i="5"/>
  <c r="N8" i="5"/>
  <c r="M8" i="5"/>
  <c r="K8" i="5"/>
  <c r="J8" i="5"/>
  <c r="I8" i="5"/>
  <c r="H8" i="5"/>
  <c r="G8" i="5"/>
  <c r="F8" i="5"/>
  <c r="E8" i="5"/>
  <c r="D8" i="5"/>
  <c r="O7" i="5"/>
  <c r="N7" i="5"/>
  <c r="M7" i="5"/>
  <c r="K7" i="5"/>
  <c r="J7" i="5"/>
  <c r="I7" i="5"/>
  <c r="H7" i="5"/>
  <c r="G7" i="5"/>
  <c r="F7" i="5"/>
  <c r="E7" i="5"/>
  <c r="D7" i="5"/>
  <c r="AI13" i="1"/>
  <c r="AH13" i="1"/>
  <c r="AG13" i="1"/>
  <c r="AE13" i="1"/>
  <c r="AD13" i="1"/>
  <c r="AB13" i="1"/>
  <c r="Z13" i="1"/>
  <c r="Y13" i="1"/>
  <c r="X13" i="1"/>
  <c r="AI7" i="1"/>
  <c r="AH7" i="1"/>
  <c r="AG7" i="1"/>
  <c r="AE7" i="1"/>
  <c r="AD7" i="1"/>
  <c r="AC7" i="1"/>
  <c r="AB7" i="1"/>
  <c r="AF13" i="1" l="1"/>
  <c r="AF7" i="1"/>
  <c r="O81" i="5"/>
  <c r="O82" i="5" s="1"/>
  <c r="O14" i="5"/>
  <c r="O87" i="5"/>
  <c r="O21" i="5" s="1"/>
  <c r="O20" i="5"/>
  <c r="O76" i="5"/>
  <c r="O9" i="5"/>
  <c r="E10" i="5"/>
  <c r="E77" i="5"/>
  <c r="E11" i="5" s="1"/>
  <c r="I76" i="5"/>
  <c r="I9" i="5"/>
  <c r="E147" i="5"/>
  <c r="M15" i="5" s="1"/>
  <c r="H14" i="5"/>
  <c r="L80" i="5"/>
  <c r="N9" i="5"/>
  <c r="M14" i="5"/>
  <c r="N95" i="5"/>
  <c r="N28" i="5"/>
  <c r="D15" i="5"/>
  <c r="D148" i="5"/>
  <c r="D156" i="5"/>
  <c r="L23" i="5"/>
  <c r="D23" i="5"/>
  <c r="J23" i="5"/>
  <c r="H23" i="5"/>
  <c r="J90" i="5"/>
  <c r="O39" i="5"/>
  <c r="N10" i="5"/>
  <c r="N14" i="5"/>
  <c r="M19" i="5"/>
  <c r="M20" i="5"/>
  <c r="G23" i="5"/>
  <c r="E28" i="5"/>
  <c r="I35" i="5"/>
  <c r="F87" i="5"/>
  <c r="F21" i="5" s="1"/>
  <c r="L105" i="5"/>
  <c r="L106" i="5" s="1"/>
  <c r="L107" i="5" s="1"/>
  <c r="L108" i="5" s="1"/>
  <c r="L109" i="5" s="1"/>
  <c r="L110" i="5" s="1"/>
  <c r="L111" i="5" s="1"/>
  <c r="L112" i="5" s="1"/>
  <c r="L113" i="5" s="1"/>
  <c r="L114" i="5" s="1"/>
  <c r="L115" i="5" s="1"/>
  <c r="L116" i="5" s="1"/>
  <c r="L117" i="5" s="1"/>
  <c r="L118" i="5" s="1"/>
  <c r="L119" i="5" s="1"/>
  <c r="L120" i="5" s="1"/>
  <c r="L121" i="5" s="1"/>
  <c r="L122" i="5" s="1"/>
  <c r="L38" i="5"/>
  <c r="F39" i="5"/>
  <c r="N35" i="5"/>
  <c r="G39" i="5"/>
  <c r="G14" i="5"/>
  <c r="I14" i="5"/>
  <c r="I39" i="5"/>
  <c r="D77" i="5"/>
  <c r="D10" i="5"/>
  <c r="D80" i="5"/>
  <c r="D81" i="5" s="1"/>
  <c r="D82" i="5" s="1"/>
  <c r="D13" i="5"/>
  <c r="E162" i="5"/>
  <c r="D30" i="5" s="1"/>
  <c r="L29" i="5"/>
  <c r="D29" i="5"/>
  <c r="J29" i="5"/>
  <c r="H29" i="5"/>
  <c r="H76" i="5"/>
  <c r="H9" i="5"/>
  <c r="J77" i="5"/>
  <c r="L10" i="5"/>
  <c r="J97" i="5"/>
  <c r="L97" i="5" s="1"/>
  <c r="H20" i="5"/>
  <c r="D163" i="5"/>
  <c r="L81" i="5"/>
  <c r="J82" i="5"/>
  <c r="L82" i="5" s="1"/>
  <c r="D105" i="5"/>
  <c r="L39" i="5"/>
  <c r="D39" i="5"/>
  <c r="K39" i="5"/>
  <c r="J39" i="5"/>
  <c r="D172" i="5"/>
  <c r="H39" i="5"/>
  <c r="F14" i="5"/>
  <c r="J14" i="5"/>
  <c r="M13" i="5"/>
  <c r="K14" i="5"/>
  <c r="E23" i="5"/>
  <c r="N39" i="5"/>
  <c r="D85" i="5"/>
  <c r="H100" i="5"/>
  <c r="H101" i="5" s="1"/>
  <c r="H102" i="5" s="1"/>
  <c r="J102" i="5"/>
  <c r="L102" i="5" s="1"/>
  <c r="D11" i="5"/>
  <c r="H21" i="5"/>
  <c r="D168" i="5"/>
  <c r="L35" i="5"/>
  <c r="D35" i="5"/>
  <c r="J35" i="5"/>
  <c r="H35" i="5"/>
  <c r="D14" i="5"/>
  <c r="L14" i="5"/>
  <c r="D34" i="5"/>
  <c r="L34" i="5"/>
  <c r="F34" i="5"/>
  <c r="N34" i="5"/>
  <c r="H34" i="5"/>
  <c r="L79" i="5"/>
  <c r="L13" i="5" s="1"/>
  <c r="L84" i="5"/>
  <c r="L18" i="5" s="1"/>
  <c r="J85" i="5"/>
  <c r="D104" i="5"/>
  <c r="D38" i="5" s="1"/>
  <c r="L99" i="5"/>
  <c r="L33" i="5" s="1"/>
  <c r="D106" i="5" l="1"/>
  <c r="H40" i="5"/>
  <c r="O40" i="5"/>
  <c r="G40" i="5"/>
  <c r="D173" i="5"/>
  <c r="N40" i="5"/>
  <c r="F40" i="5"/>
  <c r="L40" i="5"/>
  <c r="D40" i="5"/>
  <c r="M40" i="5"/>
  <c r="K40" i="5"/>
  <c r="J40" i="5"/>
  <c r="I40" i="5"/>
  <c r="E40" i="5"/>
  <c r="L15" i="5"/>
  <c r="L11" i="5"/>
  <c r="J11" i="5"/>
  <c r="L90" i="5"/>
  <c r="L24" i="5" s="1"/>
  <c r="J91" i="5"/>
  <c r="E148" i="5"/>
  <c r="I15" i="5"/>
  <c r="F15" i="5"/>
  <c r="G15" i="5"/>
  <c r="O15" i="5"/>
  <c r="E15" i="5"/>
  <c r="K15" i="5"/>
  <c r="N15" i="5"/>
  <c r="E163" i="5"/>
  <c r="M30" i="5"/>
  <c r="K30" i="5"/>
  <c r="J30" i="5"/>
  <c r="I30" i="5"/>
  <c r="O30" i="5"/>
  <c r="G30" i="5"/>
  <c r="E30" i="5"/>
  <c r="L30" i="5"/>
  <c r="I77" i="5"/>
  <c r="I11" i="5" s="1"/>
  <c r="I10" i="5"/>
  <c r="F30" i="5"/>
  <c r="H24" i="5"/>
  <c r="D157" i="5"/>
  <c r="N24" i="5"/>
  <c r="F24" i="5"/>
  <c r="D24" i="5"/>
  <c r="E24" i="5"/>
  <c r="O24" i="5"/>
  <c r="M24" i="5"/>
  <c r="K24" i="5"/>
  <c r="J24" i="5"/>
  <c r="I24" i="5"/>
  <c r="G24" i="5"/>
  <c r="H30" i="5"/>
  <c r="H15" i="5"/>
  <c r="O77" i="5"/>
  <c r="O11" i="5" s="1"/>
  <c r="O10" i="5"/>
  <c r="D86" i="5"/>
  <c r="D19" i="5"/>
  <c r="J15" i="5"/>
  <c r="L31" i="5"/>
  <c r="D31" i="5"/>
  <c r="J31" i="5"/>
  <c r="H31" i="5"/>
  <c r="M31" i="5"/>
  <c r="G31" i="5"/>
  <c r="K31" i="5"/>
  <c r="I31" i="5"/>
  <c r="F31" i="5"/>
  <c r="E31" i="5"/>
  <c r="O31" i="5"/>
  <c r="N96" i="5"/>
  <c r="N97" i="5" s="1"/>
  <c r="N31" i="5" s="1"/>
  <c r="N29" i="5"/>
  <c r="H10" i="5"/>
  <c r="H77" i="5"/>
  <c r="H11" i="5" s="1"/>
  <c r="J86" i="5"/>
  <c r="J19" i="5"/>
  <c r="L85" i="5"/>
  <c r="L19" i="5" s="1"/>
  <c r="H36" i="5"/>
  <c r="O36" i="5"/>
  <c r="N36" i="5"/>
  <c r="F36" i="5"/>
  <c r="L36" i="5"/>
  <c r="D36" i="5"/>
  <c r="G36" i="5"/>
  <c r="E36" i="5"/>
  <c r="M36" i="5"/>
  <c r="K36" i="5"/>
  <c r="J36" i="5"/>
  <c r="I36" i="5"/>
  <c r="H16" i="5"/>
  <c r="L16" i="5"/>
  <c r="D16" i="5"/>
  <c r="I16" i="5"/>
  <c r="G16" i="5"/>
  <c r="O16" i="5"/>
  <c r="F16" i="5"/>
  <c r="E16" i="5"/>
  <c r="M16" i="5"/>
  <c r="K16" i="5"/>
  <c r="N16" i="5"/>
  <c r="J16" i="5"/>
  <c r="N30" i="5" l="1"/>
  <c r="M41" i="5"/>
  <c r="D174" i="5"/>
  <c r="K41" i="5"/>
  <c r="N41" i="5"/>
  <c r="D107" i="5"/>
  <c r="D41" i="5" s="1"/>
  <c r="L41" i="5"/>
  <c r="J41" i="5"/>
  <c r="H41" i="5"/>
  <c r="F41" i="5"/>
  <c r="E41" i="5"/>
  <c r="I41" i="5"/>
  <c r="G41" i="5"/>
  <c r="O41" i="5"/>
  <c r="J87" i="5"/>
  <c r="J20" i="5"/>
  <c r="L86" i="5"/>
  <c r="L20" i="5" s="1"/>
  <c r="J92" i="5"/>
  <c r="L92" i="5" s="1"/>
  <c r="L91" i="5"/>
  <c r="D87" i="5"/>
  <c r="D21" i="5" s="1"/>
  <c r="D20" i="5"/>
  <c r="L25" i="5"/>
  <c r="D25" i="5"/>
  <c r="D158" i="5"/>
  <c r="J25" i="5"/>
  <c r="H25" i="5"/>
  <c r="F25" i="5"/>
  <c r="E25" i="5"/>
  <c r="N25" i="5"/>
  <c r="O25" i="5"/>
  <c r="I25" i="5"/>
  <c r="G25" i="5"/>
  <c r="M25" i="5"/>
  <c r="K25" i="5"/>
  <c r="E13" i="1"/>
  <c r="D175" i="5" l="1"/>
  <c r="I42" i="5"/>
  <c r="O42" i="5"/>
  <c r="G42" i="5"/>
  <c r="L42" i="5"/>
  <c r="K42" i="5"/>
  <c r="J42" i="5"/>
  <c r="F42" i="5"/>
  <c r="N42" i="5"/>
  <c r="M42" i="5"/>
  <c r="H42" i="5"/>
  <c r="E42" i="5"/>
  <c r="D108" i="5"/>
  <c r="D42" i="5" s="1"/>
  <c r="L87" i="5"/>
  <c r="L21" i="5" s="1"/>
  <c r="J21" i="5"/>
  <c r="H26" i="5"/>
  <c r="N26" i="5"/>
  <c r="F26" i="5"/>
  <c r="L26" i="5"/>
  <c r="D26" i="5"/>
  <c r="G26" i="5"/>
  <c r="E26" i="5"/>
  <c r="O26" i="5"/>
  <c r="M26" i="5"/>
  <c r="K26" i="5"/>
  <c r="J26" i="5"/>
  <c r="I26" i="5"/>
  <c r="M43" i="5" l="1"/>
  <c r="E43" i="5"/>
  <c r="K43" i="5"/>
  <c r="D176" i="5"/>
  <c r="J43" i="5"/>
  <c r="I43" i="5"/>
  <c r="H43" i="5"/>
  <c r="D109" i="5"/>
  <c r="D43" i="5" s="1"/>
  <c r="F43" i="5"/>
  <c r="N43" i="5"/>
  <c r="O43" i="5"/>
  <c r="L43" i="5"/>
  <c r="G43" i="5"/>
  <c r="D110" i="5" l="1"/>
  <c r="I44" i="5"/>
  <c r="O44" i="5"/>
  <c r="G44" i="5"/>
  <c r="D177" i="5"/>
  <c r="J44" i="5"/>
  <c r="H44" i="5"/>
  <c r="F44" i="5"/>
  <c r="N44" i="5"/>
  <c r="D44" i="5"/>
  <c r="L44" i="5"/>
  <c r="K44" i="5"/>
  <c r="E44" i="5"/>
  <c r="M44" i="5"/>
  <c r="M45" i="5" l="1"/>
  <c r="E45" i="5"/>
  <c r="D178" i="5"/>
  <c r="K45" i="5"/>
  <c r="H45" i="5"/>
  <c r="G45" i="5"/>
  <c r="F45" i="5"/>
  <c r="N45" i="5"/>
  <c r="I45" i="5"/>
  <c r="D111" i="5"/>
  <c r="D45" i="5" s="1"/>
  <c r="O45" i="5"/>
  <c r="L45" i="5"/>
  <c r="J45" i="5"/>
  <c r="D179" i="5" l="1"/>
  <c r="I46" i="5"/>
  <c r="D112" i="5"/>
  <c r="D46" i="5" s="1"/>
  <c r="O46" i="5"/>
  <c r="G46" i="5"/>
  <c r="F46" i="5"/>
  <c r="E46" i="5"/>
  <c r="N46" i="5"/>
  <c r="L46" i="5"/>
  <c r="J46" i="5"/>
  <c r="H46" i="5"/>
  <c r="M46" i="5"/>
  <c r="K46" i="5"/>
  <c r="D113" i="5" l="1"/>
  <c r="D47" i="5" s="1"/>
  <c r="M47" i="5"/>
  <c r="E47" i="5"/>
  <c r="K47" i="5"/>
  <c r="F47" i="5"/>
  <c r="O47" i="5"/>
  <c r="N47" i="5"/>
  <c r="J47" i="5"/>
  <c r="D180" i="5"/>
  <c r="L47" i="5"/>
  <c r="I47" i="5"/>
  <c r="G47" i="5"/>
  <c r="H47" i="5"/>
  <c r="I48" i="5" l="1"/>
  <c r="O48" i="5"/>
  <c r="G48" i="5"/>
  <c r="N48" i="5"/>
  <c r="D114" i="5"/>
  <c r="D48" i="5" s="1"/>
  <c r="M48" i="5"/>
  <c r="L48" i="5"/>
  <c r="D181" i="5"/>
  <c r="J48" i="5"/>
  <c r="F48" i="5"/>
  <c r="E48" i="5"/>
  <c r="K48" i="5"/>
  <c r="H48" i="5"/>
  <c r="N49" i="5" l="1"/>
  <c r="M49" i="5"/>
  <c r="E49" i="5"/>
  <c r="D182" i="5"/>
  <c r="K49" i="5"/>
  <c r="O49" i="5"/>
  <c r="L49" i="5"/>
  <c r="D115" i="5"/>
  <c r="D49" i="5" s="1"/>
  <c r="J49" i="5"/>
  <c r="H49" i="5"/>
  <c r="I49" i="5"/>
  <c r="F49" i="5"/>
  <c r="G49" i="5"/>
  <c r="D183" i="5" l="1"/>
  <c r="J50" i="5"/>
  <c r="I50" i="5"/>
  <c r="O50" i="5"/>
  <c r="G50" i="5"/>
  <c r="N50" i="5"/>
  <c r="M50" i="5"/>
  <c r="L50" i="5"/>
  <c r="D116" i="5"/>
  <c r="D50" i="5" s="1"/>
  <c r="H50" i="5"/>
  <c r="E50" i="5"/>
  <c r="K50" i="5"/>
  <c r="F50" i="5"/>
  <c r="N51" i="5" l="1"/>
  <c r="F51" i="5"/>
  <c r="M51" i="5"/>
  <c r="E51" i="5"/>
  <c r="K51" i="5"/>
  <c r="O51" i="5"/>
  <c r="D184" i="5"/>
  <c r="L51" i="5"/>
  <c r="D117" i="5"/>
  <c r="D51" i="5" s="1"/>
  <c r="I51" i="5"/>
  <c r="G51" i="5"/>
  <c r="J51" i="5"/>
  <c r="H51" i="5"/>
  <c r="J52" i="5" l="1"/>
  <c r="D118" i="5"/>
  <c r="I52" i="5"/>
  <c r="O52" i="5"/>
  <c r="G52" i="5"/>
  <c r="D52" i="5"/>
  <c r="D185" i="5"/>
  <c r="N52" i="5"/>
  <c r="M52" i="5"/>
  <c r="K52" i="5"/>
  <c r="F52" i="5"/>
  <c r="E52" i="5"/>
  <c r="L52" i="5"/>
  <c r="H52" i="5"/>
  <c r="N53" i="5" l="1"/>
  <c r="F53" i="5"/>
  <c r="M53" i="5"/>
  <c r="E53" i="5"/>
  <c r="D186" i="5"/>
  <c r="K53" i="5"/>
  <c r="D119" i="5"/>
  <c r="D53" i="5"/>
  <c r="O53" i="5"/>
  <c r="J53" i="5"/>
  <c r="L53" i="5"/>
  <c r="H53" i="5"/>
  <c r="I53" i="5"/>
  <c r="G53" i="5"/>
  <c r="D187" i="5" l="1"/>
  <c r="J54" i="5"/>
  <c r="I54" i="5"/>
  <c r="D120" i="5"/>
  <c r="O54" i="5"/>
  <c r="G54" i="5"/>
  <c r="E54" i="5"/>
  <c r="D54" i="5"/>
  <c r="N54" i="5"/>
  <c r="L54" i="5"/>
  <c r="H54" i="5"/>
  <c r="F54" i="5"/>
  <c r="M54" i="5"/>
  <c r="K54" i="5"/>
  <c r="D121" i="5" l="1"/>
  <c r="N55" i="5"/>
  <c r="F55" i="5"/>
  <c r="M55" i="5"/>
  <c r="E55" i="5"/>
  <c r="K55" i="5"/>
  <c r="D188" i="5"/>
  <c r="G55" i="5"/>
  <c r="D55" i="5"/>
  <c r="L55" i="5"/>
  <c r="O55" i="5"/>
  <c r="H55" i="5"/>
  <c r="J55" i="5"/>
  <c r="I55" i="5"/>
  <c r="J56" i="5" l="1"/>
  <c r="I56" i="5"/>
  <c r="O56" i="5"/>
  <c r="G56" i="5"/>
  <c r="F56" i="5"/>
  <c r="E56" i="5"/>
  <c r="D122" i="5"/>
  <c r="D56" i="5"/>
  <c r="M56" i="5"/>
  <c r="K56" i="5"/>
  <c r="H56" i="5"/>
  <c r="N56" i="5"/>
  <c r="L56" i="5"/>
</calcChain>
</file>

<file path=xl/sharedStrings.xml><?xml version="1.0" encoding="utf-8"?>
<sst xmlns="http://schemas.openxmlformats.org/spreadsheetml/2006/main" count="205" uniqueCount="153">
  <si>
    <t>Region:</t>
  </si>
  <si>
    <t>Spain</t>
  </si>
  <si>
    <t>T</t>
  </si>
  <si>
    <t>water</t>
  </si>
  <si>
    <t>solvents</t>
  </si>
  <si>
    <t>man_hours</t>
  </si>
  <si>
    <t>Option-specific data</t>
  </si>
  <si>
    <t>Option</t>
  </si>
  <si>
    <t>Year</t>
  </si>
  <si>
    <t>[€/kW thermal]</t>
  </si>
  <si>
    <t>Data type</t>
  </si>
  <si>
    <t>abbreviation</t>
  </si>
  <si>
    <t>ele</t>
  </si>
  <si>
    <t>proc_heat</t>
  </si>
  <si>
    <t>Fixed operation and maintenance costs</t>
  </si>
  <si>
    <t>co_invest</t>
  </si>
  <si>
    <t>co_fix_om</t>
  </si>
  <si>
    <t>co_var_om</t>
  </si>
  <si>
    <t>Investment costs</t>
  </si>
  <si>
    <t>Installation size</t>
  </si>
  <si>
    <t>[kW thermal]</t>
  </si>
  <si>
    <t>size</t>
  </si>
  <si>
    <t>nat_gas</t>
  </si>
  <si>
    <t>bio_gas</t>
  </si>
  <si>
    <t>sol_PV</t>
  </si>
  <si>
    <t>sol_th</t>
  </si>
  <si>
    <t>[MWh thermal]</t>
  </si>
  <si>
    <t>[€/MWh thermal]</t>
  </si>
  <si>
    <t>util</t>
  </si>
  <si>
    <t>[h/MWH thermal]</t>
  </si>
  <si>
    <t>co2</t>
  </si>
  <si>
    <t>ch4</t>
  </si>
  <si>
    <t>n2o</t>
  </si>
  <si>
    <t>oth_llghg</t>
  </si>
  <si>
    <t>so2</t>
  </si>
  <si>
    <t>nox</t>
  </si>
  <si>
    <t>pm2.5</t>
  </si>
  <si>
    <t>oc</t>
  </si>
  <si>
    <t>pmres</t>
  </si>
  <si>
    <t>bc</t>
  </si>
  <si>
    <t>nh3</t>
  </si>
  <si>
    <t>voc</t>
  </si>
  <si>
    <t>oth_air</t>
  </si>
  <si>
    <t>ws_wat</t>
  </si>
  <si>
    <t>oth_wat</t>
  </si>
  <si>
    <t>oth_soil</t>
  </si>
  <si>
    <t>oth_tox</t>
  </si>
  <si>
    <t>coal</t>
  </si>
  <si>
    <t>oil</t>
  </si>
  <si>
    <t>[kg/MWh thermal]</t>
  </si>
  <si>
    <t>voc emissions</t>
  </si>
  <si>
    <t>waste water emissions</t>
  </si>
  <si>
    <t>other air emissions</t>
  </si>
  <si>
    <t>other water emissions</t>
  </si>
  <si>
    <t>other soil pollution</t>
  </si>
  <si>
    <t>other toxic pollution</t>
  </si>
  <si>
    <t>mtrl</t>
  </si>
  <si>
    <t>Annual waste heat production / heat production</t>
  </si>
  <si>
    <t>biofuel</t>
  </si>
  <si>
    <t>[MWh ele/MWh thermal]</t>
  </si>
  <si>
    <t>[MWh fuel /MWh thermal]</t>
  </si>
  <si>
    <t>[litre/ MWh thermal]</t>
  </si>
  <si>
    <t>[MWh heat/ MWh thermal]</t>
  </si>
  <si>
    <t>Variable operation and maintenance costs</t>
  </si>
  <si>
    <t>Work hours demand</t>
  </si>
  <si>
    <t>Demand solvents</t>
  </si>
  <si>
    <t>Demand water</t>
  </si>
  <si>
    <t>Demand material</t>
  </si>
  <si>
    <t>Electricity demand</t>
  </si>
  <si>
    <t>Process heat demand</t>
  </si>
  <si>
    <t>Coal demand</t>
  </si>
  <si>
    <t>Oil demand</t>
  </si>
  <si>
    <t>Natural gas demand</t>
  </si>
  <si>
    <t>Biogas demand</t>
  </si>
  <si>
    <t>Biofuel demand</t>
  </si>
  <si>
    <t>Solar PV demand</t>
  </si>
  <si>
    <t>Solar thermal demand</t>
  </si>
  <si>
    <t>CO2 emissions</t>
  </si>
  <si>
    <t>CH4 emissions</t>
  </si>
  <si>
    <t>N2O emissions</t>
  </si>
  <si>
    <t>other greenhouse gas emissions</t>
  </si>
  <si>
    <t>SO2 emissions</t>
  </si>
  <si>
    <t>NOx emissions</t>
  </si>
  <si>
    <t>PM2.5 emissions</t>
  </si>
  <si>
    <t>OC emissions</t>
  </si>
  <si>
    <t>PMres emissions</t>
  </si>
  <si>
    <t>BC emissions</t>
  </si>
  <si>
    <t>NH3 emissions</t>
  </si>
  <si>
    <t>Emission factors</t>
  </si>
  <si>
    <t>suggested units</t>
  </si>
  <si>
    <t>Years of operation</t>
  </si>
  <si>
    <t>OT</t>
  </si>
  <si>
    <t>O</t>
  </si>
  <si>
    <t>Waste demand</t>
  </si>
  <si>
    <t>waste</t>
  </si>
  <si>
    <t>Town hall and hospital uses heat from bleaching effluent (water/water heat exchanger)</t>
  </si>
  <si>
    <t>Town hall and hospital uses heat from cooling tower effluent  (water/water heat exchanger)</t>
  </si>
  <si>
    <t>Heat grid to town hall (2 x 2.5 km)</t>
  </si>
  <si>
    <t xml:space="preserve">Biomass dryer runs on 3713 kW gas/water heat exchanger in the causticization stage (high capacity, 25 t biomass/h) </t>
  </si>
  <si>
    <t>o1</t>
  </si>
  <si>
    <t>o2</t>
  </si>
  <si>
    <t>o3</t>
  </si>
  <si>
    <t>o4</t>
  </si>
  <si>
    <t>o5</t>
  </si>
  <si>
    <t>Financial life time</t>
  </si>
  <si>
    <t>OF</t>
  </si>
  <si>
    <t>o6</t>
  </si>
  <si>
    <t>Substation for heat grid</t>
  </si>
  <si>
    <t>o7</t>
  </si>
  <si>
    <t>Investment made before 2020: Town hall and hospital uses heat from individual natural gas boilers</t>
  </si>
  <si>
    <t>Reinvestment made after 2020: Town hall and hospital uses heat from individual natural gas boilers</t>
  </si>
  <si>
    <t>Note: Biomass efficiency improvement with 2 tons/hr = 200 MWh per year!</t>
  </si>
  <si>
    <t>Emission factors electricity production (based on CEP_post2014_CLE_v.Dec.2018 emissions + extension to 2050 + trend-extrapolated ele and heat production + frozen GHG &amp; AQ tech from 2050 to 2069)</t>
  </si>
  <si>
    <t>[kg CO2/MWh Ele]</t>
  </si>
  <si>
    <t>[kg CH4/MWh Ele]</t>
  </si>
  <si>
    <t>[kg N2O/MWh Ele]</t>
  </si>
  <si>
    <t>[kg GHG/MWh Ele]</t>
  </si>
  <si>
    <t>[kg SO2/MWh Ele]</t>
  </si>
  <si>
    <t>[kg NOx/MWh Ele]</t>
  </si>
  <si>
    <t>[kg PM2.5/MWh Ele]</t>
  </si>
  <si>
    <t>[kg OC/MWh Ele]</t>
  </si>
  <si>
    <t>[kg PMres/MWh ele]</t>
  </si>
  <si>
    <t>[kg BC/MWh ele]</t>
  </si>
  <si>
    <t>[kg NH3/MWh ele]</t>
  </si>
  <si>
    <t>[kg VOC/MWh ele]</t>
  </si>
  <si>
    <t>[kg oth_air/MWh ele]</t>
  </si>
  <si>
    <t>[kg ws_wat/MWh ele]</t>
  </si>
  <si>
    <t>[kg oth_wat/MWh ele]</t>
  </si>
  <si>
    <t>[kg oth_soil/MWh ele]</t>
  </si>
  <si>
    <t>[kg oth_tox/MWh ele]</t>
  </si>
  <si>
    <t>Emissions</t>
  </si>
  <si>
    <t>[kton CO2]</t>
  </si>
  <si>
    <t>[kton CH4]</t>
  </si>
  <si>
    <t>[kton N2O]</t>
  </si>
  <si>
    <t>[kton GHG]</t>
  </si>
  <si>
    <t>[kton SO2]</t>
  </si>
  <si>
    <t>[kton NOx]</t>
  </si>
  <si>
    <t>[kton PM2.5]</t>
  </si>
  <si>
    <t>[kton OC]</t>
  </si>
  <si>
    <t>[kton PMres]</t>
  </si>
  <si>
    <t>[kton BC]</t>
  </si>
  <si>
    <t>[kton NH3]</t>
  </si>
  <si>
    <t>[kton VOC]</t>
  </si>
  <si>
    <t>[kton oth_air]</t>
  </si>
  <si>
    <t>[kton ws_wat]</t>
  </si>
  <si>
    <t>[kton oth_wat]</t>
  </si>
  <si>
    <t>[kton oth_soil]</t>
  </si>
  <si>
    <t>[kton oth_tox]</t>
  </si>
  <si>
    <t>Electricity produdction</t>
  </si>
  <si>
    <t>Heat production</t>
  </si>
  <si>
    <t>[PJ]</t>
  </si>
  <si>
    <t>Dummy</t>
  </si>
  <si>
    <t>o8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</si>
</sst>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"/>
    <numFmt numFmtId="166" formatCode="0.000"/>
    <numFmt numFmtId="167" formatCode="0.0000000"/>
    <numFmt numFmtId="168" formatCode="0.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wrapText="1"/>
    </xf>
    <xf numFmtId="0" fontId="4" fillId="0" borderId="0" xfId="0" applyFont="1" applyBorder="1" applyAlignment="1">
      <alignment horizontal="left" vertical="top" wrapText="1"/>
    </xf>
    <xf numFmtId="2" fontId="0" fillId="0" borderId="0" xfId="0" applyNumberFormat="1" applyBorder="1"/>
    <xf numFmtId="0" fontId="4" fillId="0" borderId="0" xfId="0" applyFont="1" applyBorder="1" applyAlignment="1">
      <alignment horizontal="left" vertical="top"/>
    </xf>
    <xf numFmtId="0" fontId="5" fillId="0" borderId="0" xfId="0" applyFont="1" applyBorder="1"/>
    <xf numFmtId="0" fontId="4" fillId="0" borderId="0" xfId="0" applyFont="1" applyBorder="1"/>
    <xf numFmtId="1" fontId="4" fillId="0" borderId="0" xfId="0" applyNumberFormat="1" applyFont="1" applyBorder="1"/>
    <xf numFmtId="0" fontId="4" fillId="0" borderId="0" xfId="0" applyFont="1" applyFill="1" applyBorder="1" applyAlignment="1">
      <alignment horizontal="left" vertical="top" wrapText="1"/>
    </xf>
    <xf numFmtId="0" fontId="4" fillId="0" borderId="0" xfId="0" applyFont="1" applyBorder="1" applyAlignment="1">
      <alignment wrapText="1"/>
    </xf>
    <xf numFmtId="0" fontId="4" fillId="0" borderId="0" xfId="0" applyFont="1" applyFill="1" applyBorder="1"/>
    <xf numFmtId="0" fontId="6" fillId="0" borderId="0" xfId="0" applyFont="1" applyBorder="1" applyAlignment="1">
      <alignment wrapText="1"/>
    </xf>
    <xf numFmtId="0" fontId="6" fillId="0" borderId="0" xfId="0" applyFont="1" applyBorder="1"/>
    <xf numFmtId="0" fontId="3" fillId="0" borderId="0" xfId="0" applyFont="1" applyBorder="1"/>
    <xf numFmtId="2" fontId="4" fillId="0" borderId="0" xfId="0" applyNumberFormat="1" applyFont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left" vertical="top"/>
    </xf>
    <xf numFmtId="0" fontId="7" fillId="0" borderId="0" xfId="0" applyFont="1" applyBorder="1" applyAlignment="1">
      <alignment wrapText="1"/>
    </xf>
    <xf numFmtId="2" fontId="4" fillId="2" borderId="0" xfId="0" applyNumberFormat="1" applyFont="1" applyFill="1" applyAlignment="1">
      <alignment horizontal="right"/>
    </xf>
    <xf numFmtId="164" fontId="4" fillId="2" borderId="0" xfId="0" applyNumberFormat="1" applyFont="1" applyFill="1" applyAlignment="1">
      <alignment horizontal="right"/>
    </xf>
    <xf numFmtId="165" fontId="4" fillId="2" borderId="0" xfId="0" applyNumberFormat="1" applyFont="1" applyFill="1" applyAlignment="1">
      <alignment horizontal="right"/>
    </xf>
    <xf numFmtId="1" fontId="4" fillId="2" borderId="0" xfId="0" applyNumberFormat="1" applyFont="1" applyFill="1" applyAlignment="1">
      <alignment horizontal="right"/>
    </xf>
    <xf numFmtId="1" fontId="0" fillId="0" borderId="0" xfId="0" applyNumberFormat="1"/>
    <xf numFmtId="166" fontId="4" fillId="2" borderId="0" xfId="0" applyNumberFormat="1" applyFont="1" applyFill="1" applyAlignment="1">
      <alignment horizontal="right"/>
    </xf>
    <xf numFmtId="166" fontId="0" fillId="0" borderId="0" xfId="0" applyNumberFormat="1" applyBorder="1"/>
    <xf numFmtId="167" fontId="0" fillId="0" borderId="0" xfId="0" applyNumberFormat="1" applyBorder="1"/>
    <xf numFmtId="168" fontId="0" fillId="0" borderId="0" xfId="0" applyNumberFormat="1" applyBorder="1"/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5" fillId="0" borderId="0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vlse-my.sharepoint.com/personal/sofia_klugman_ivl_se/Documents/SO%20WHAT/Task%203.1%20CBA/CBA/Input%20kostnader%20etc/Emission_factors_GAINS/CO2_emiss_factor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efana\IVL%20Svenska%20Milj&#246;institutet%20AB\Sofia%20Klugman%20-%20Task%203.1%20CBA\CBA\Input%20kostnader%20etc\Emission_factors_GAINS\NMVOC_emiss_facto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efana\IVL%20Svenska%20Milj&#246;institutet%20AB\Sofia%20Klugman%20-%20Task%203.1%20CBA\CBA\Input%20kostnader%20etc\Emission_factors_GAINS\Spain\CH4_emiss_factors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efana\IVL%20Svenska%20Milj&#246;institutet%20AB\Sofia%20Klugman%20-%20Task%203.1%20CBA\CBA\Input%20kostnader%20etc\Emission_factors_GAINS\Spain\N2O_emiss_factors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efana\IVL%20Svenska%20Milj&#246;institutet%20AB\Sofia%20Klugman%20-%20Task%203.1%20CBA\CBA\Input%20kostnader%20etc\Emission_factors_GAINS\Spain\SO2_emiss_factors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efana\IVL%20Svenska%20Milj&#246;institutet%20AB\Sofia%20Klugman%20-%20Task%203.1%20CBA\CBA\Input%20kostnader%20etc\Emission_factors_GAINS\Spain\NOx_emiss_factors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efana\IVL%20Svenska%20Milj&#246;institutet%20AB\Sofia%20Klugman%20-%20Task%203.1%20CBA\CBA\Input%20kostnader%20etc\Emission_factors_GAINS\Spain\PM25_emiss_factors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efana\IVL%20Svenska%20Milj&#246;institutet%20AB\Sofia%20Klugman%20-%20Task%203.1%20CBA\CBA\Input%20kostnader%20etc\Emission_factors_GAINS\Spain\OC_emiss_factor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efana\IVL%20Svenska%20Milj&#246;institutet%20AB\Sofia%20Klugman%20-%20Task%203.1%20CBA\CBA\Input%20kostnader%20etc\Emission_factors_GAINS\Spain\BC_emiss_factor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efana\IVL%20Svenska%20Milj&#246;institutet%20AB\Sofia%20Klugman%20-%20Task%203.1%20CBA\CBA\Input%20kostnader%20etc\Emission_factors_GAINS\Spain\NH3_emiss_factors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efana\IVL%20Svenska%20Milj&#246;institutet%20AB\Sofia%20Klugman%20-%20Task%203.1%20CBA\CBA\Input%20kostnader%20etc\Emission_factors_GAINS\Spain\NMVOC_emiss_facto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efana\IVL%20Svenska%20Milj&#246;institutet%20AB\Sofia%20Klugman%20-%20Task%203.1%20CBA\CBA\Input%20kostnader%20etc\Emission_factors_GAINS\CH4_emiss_facto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efana\IVL%20Svenska%20Milj&#246;institutet%20AB\Sofia%20Klugman%20-%20Task%203.1%20CBA\CBA\Input%20kostnader%20etc\Emission_factors_GAINS\N2O_emiss_factor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efana\IVL%20Svenska%20Milj&#246;institutet%20AB\Sofia%20Klugman%20-%20Task%203.1%20CBA\CBA\Input%20kostnader%20etc\Emission_factors_GAINS\SO2_emiss_factor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efana\IVL%20Svenska%20Milj&#246;institutet%20AB\Sofia%20Klugman%20-%20Task%203.1%20CBA\CBA\Input%20kostnader%20etc\Emission_factors_GAINS\NOx_emiss_factor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efana\IVL%20Svenska%20Milj&#246;institutet%20AB\Sofia%20Klugman%20-%20Task%203.1%20CBA\CBA\Input%20kostnader%20etc\Emission_factors_GAINS\PM25_emiss_factor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efana\IVL%20Svenska%20Milj&#246;institutet%20AB\Sofia%20Klugman%20-%20Task%203.1%20CBA\CBA\Input%20kostnader%20etc\Emission_factors_GAINS\OC_emiss_factor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efana\IVL%20Svenska%20Milj&#246;institutet%20AB\Sofia%20Klugman%20-%20Task%203.1%20CBA\CBA\Input%20kostnader%20etc\Emission_factors_GAINS\BC_emiss_factor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efana\IVL%20Svenska%20Milj&#246;institutet%20AB\Sofia%20Klugman%20-%20Task%203.1%20CBA\CBA\Input%20kostnader%20etc\Emission_factors_GAINS\NH3_emiss_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_WHAT_CEP"/>
    </sheetNames>
    <sheetDataSet>
      <sheetData sheetId="0" refreshError="1">
        <row r="69">
          <cell r="E69">
            <v>55.8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_WHAT_CEP"/>
    </sheetNames>
    <sheetDataSet>
      <sheetData sheetId="0">
        <row r="214">
          <cell r="E214">
            <v>2E-3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_WHAT_CEP"/>
    </sheetNames>
    <sheetDataSet>
      <sheetData sheetId="0">
        <row r="901">
          <cell r="E901">
            <v>1.0999999999999999E-2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_WHAT_CEP"/>
    </sheetNames>
    <sheetDataSet>
      <sheetData sheetId="0">
        <row r="430">
          <cell r="E430">
            <v>4.0000000000000001E-3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_WHAT_CEP"/>
    </sheetNames>
    <sheetDataSet>
      <sheetData sheetId="0">
        <row r="557">
          <cell r="E557">
            <v>3.7499999999999999E-2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_WHAT_CEP"/>
    </sheetNames>
    <sheetDataSet>
      <sheetData sheetId="0">
        <row r="805">
          <cell r="E805">
            <v>7.4999999999999997E-2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_WHAT_CEP"/>
    </sheetNames>
    <sheetDataSet>
      <sheetData sheetId="0">
        <row r="1293">
          <cell r="E1293">
            <v>7.3899999999999999E-3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_WHAT_CEP"/>
    </sheetNames>
    <sheetDataSet>
      <sheetData sheetId="0">
        <row r="1293">
          <cell r="E1293">
            <v>2.9E-4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_WHAT_CEP"/>
    </sheetNames>
    <sheetDataSet>
      <sheetData sheetId="0">
        <row r="1293">
          <cell r="E1293">
            <v>5.6999999999999998E-4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_WHAT_CEP"/>
    </sheetNames>
    <sheetDataSet>
      <sheetData sheetId="0">
        <row r="679">
          <cell r="E679">
            <v>3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_WHAT_CEP"/>
    </sheetNames>
    <sheetDataSet>
      <sheetData sheetId="0">
        <row r="792">
          <cell r="E792">
            <v>4.8000000000000001E-2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_WHAT_CEP"/>
    </sheetNames>
    <sheetDataSet>
      <sheetData sheetId="0" refreshError="1">
        <row r="283">
          <cell r="E283">
            <v>0.2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_WHAT_CEP"/>
    </sheetNames>
    <sheetDataSet>
      <sheetData sheetId="0" refreshError="1">
        <row r="118">
          <cell r="E118">
            <v>1E-4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_WHAT_CEP"/>
    </sheetNames>
    <sheetDataSet>
      <sheetData sheetId="0">
        <row r="111">
          <cell r="E11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_WHAT_CEP"/>
    </sheetNames>
    <sheetDataSet>
      <sheetData sheetId="0">
        <row r="116">
          <cell r="E116">
            <v>0.06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_WHAT_CEP"/>
    </sheetNames>
    <sheetDataSet>
      <sheetData sheetId="0">
        <row r="342">
          <cell r="E342">
            <v>1E-4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_WHAT_CEP"/>
    </sheetNames>
    <sheetDataSet>
      <sheetData sheetId="0">
        <row r="342">
          <cell r="E342">
            <v>6.9999999999999994E-5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_WHAT_CEP"/>
    </sheetNames>
    <sheetDataSet>
      <sheetData sheetId="0">
        <row r="342">
          <cell r="E342">
            <v>1.0000000000000001E-5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_WHAT_CEP"/>
    </sheetNames>
    <sheetDataSet>
      <sheetData sheetId="0">
        <row r="111">
          <cell r="E111">
            <v>0.23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7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I7" sqref="I7"/>
    </sheetView>
  </sheetViews>
  <sheetFormatPr defaultColWidth="9.140625" defaultRowHeight="15" x14ac:dyDescent="0.25"/>
  <cols>
    <col min="1" max="1" width="44.85546875" style="2" customWidth="1"/>
    <col min="2" max="2" width="7.5703125" style="2" customWidth="1"/>
    <col min="3" max="4" width="11" style="2" customWidth="1"/>
    <col min="5" max="5" width="12.42578125" style="2" customWidth="1"/>
    <col min="6" max="6" width="15.28515625" style="2" customWidth="1"/>
    <col min="7" max="7" width="11.28515625" style="2" customWidth="1"/>
    <col min="8" max="8" width="16.42578125" style="2" customWidth="1"/>
    <col min="9" max="9" width="14" style="2" customWidth="1"/>
    <col min="10" max="10" width="11.85546875" style="2" customWidth="1"/>
    <col min="11" max="12" width="9.140625" style="2"/>
    <col min="13" max="13" width="18.140625" style="2" customWidth="1"/>
    <col min="14" max="14" width="9.85546875" style="2" customWidth="1"/>
    <col min="15" max="15" width="12.42578125" style="2" customWidth="1"/>
    <col min="16" max="23" width="9.140625" style="2"/>
    <col min="24" max="38" width="9.85546875" style="2" customWidth="1"/>
    <col min="39" max="16384" width="9.140625" style="2"/>
  </cols>
  <sheetData>
    <row r="1" spans="1:41" x14ac:dyDescent="0.25">
      <c r="A1" s="2" t="s">
        <v>0</v>
      </c>
      <c r="B1" s="2" t="s">
        <v>1</v>
      </c>
      <c r="C1" s="8"/>
      <c r="D1" s="8"/>
    </row>
    <row r="3" spans="1:41" ht="165" x14ac:dyDescent="0.25">
      <c r="A3" s="3" t="s">
        <v>6</v>
      </c>
      <c r="N3" s="15"/>
      <c r="O3" s="14"/>
      <c r="T3" s="20" t="s">
        <v>111</v>
      </c>
    </row>
    <row r="4" spans="1:41" ht="61.5" customHeight="1" x14ac:dyDescent="0.25">
      <c r="A4" s="2" t="s">
        <v>10</v>
      </c>
      <c r="B4" s="2" t="s">
        <v>7</v>
      </c>
      <c r="C4" s="4" t="s">
        <v>90</v>
      </c>
      <c r="D4" s="12" t="s">
        <v>104</v>
      </c>
      <c r="E4" s="4" t="s">
        <v>19</v>
      </c>
      <c r="F4" s="4" t="s">
        <v>57</v>
      </c>
      <c r="G4" s="4" t="s">
        <v>18</v>
      </c>
      <c r="H4" s="4" t="s">
        <v>14</v>
      </c>
      <c r="I4" s="4" t="s">
        <v>63</v>
      </c>
      <c r="J4" s="4" t="s">
        <v>64</v>
      </c>
      <c r="K4" s="4" t="s">
        <v>65</v>
      </c>
      <c r="L4" s="4" t="s">
        <v>66</v>
      </c>
      <c r="M4" s="4" t="s">
        <v>67</v>
      </c>
      <c r="N4" s="4" t="s">
        <v>68</v>
      </c>
      <c r="O4" s="4" t="s">
        <v>69</v>
      </c>
      <c r="P4" s="4" t="s">
        <v>70</v>
      </c>
      <c r="Q4" s="4" t="s">
        <v>71</v>
      </c>
      <c r="R4" s="4" t="s">
        <v>72</v>
      </c>
      <c r="S4" s="4" t="s">
        <v>73</v>
      </c>
      <c r="T4" s="4" t="s">
        <v>74</v>
      </c>
      <c r="U4" s="4" t="s">
        <v>93</v>
      </c>
      <c r="V4" s="4" t="s">
        <v>75</v>
      </c>
      <c r="W4" s="4" t="s">
        <v>76</v>
      </c>
      <c r="X4" s="4" t="s">
        <v>77</v>
      </c>
      <c r="Y4" s="4" t="s">
        <v>78</v>
      </c>
      <c r="Z4" s="4" t="s">
        <v>79</v>
      </c>
      <c r="AA4" s="4" t="s">
        <v>80</v>
      </c>
      <c r="AB4" s="4" t="s">
        <v>81</v>
      </c>
      <c r="AC4" s="4" t="s">
        <v>82</v>
      </c>
      <c r="AD4" s="4" t="s">
        <v>83</v>
      </c>
      <c r="AE4" s="4" t="s">
        <v>84</v>
      </c>
      <c r="AF4" s="4" t="s">
        <v>85</v>
      </c>
      <c r="AG4" s="4" t="s">
        <v>86</v>
      </c>
      <c r="AH4" s="4" t="s">
        <v>87</v>
      </c>
      <c r="AI4" s="4" t="s">
        <v>50</v>
      </c>
      <c r="AJ4" s="4" t="s">
        <v>52</v>
      </c>
      <c r="AK4" s="4" t="s">
        <v>51</v>
      </c>
      <c r="AL4" s="4" t="s">
        <v>53</v>
      </c>
      <c r="AM4" s="4" t="s">
        <v>54</v>
      </c>
      <c r="AN4" s="4" t="s">
        <v>55</v>
      </c>
      <c r="AO4" s="32"/>
    </row>
    <row r="5" spans="1:41" ht="60" x14ac:dyDescent="0.25">
      <c r="A5" s="2" t="s">
        <v>89</v>
      </c>
      <c r="D5" s="9"/>
      <c r="E5" s="4" t="s">
        <v>20</v>
      </c>
      <c r="F5" s="4" t="s">
        <v>26</v>
      </c>
      <c r="G5" s="4" t="s">
        <v>9</v>
      </c>
      <c r="H5" s="4" t="s">
        <v>9</v>
      </c>
      <c r="I5" s="4" t="s">
        <v>27</v>
      </c>
      <c r="J5" s="4" t="s">
        <v>29</v>
      </c>
      <c r="K5" s="4" t="s">
        <v>61</v>
      </c>
      <c r="L5" s="4" t="s">
        <v>61</v>
      </c>
      <c r="M5" s="4" t="s">
        <v>49</v>
      </c>
      <c r="N5" s="4" t="s">
        <v>59</v>
      </c>
      <c r="O5" s="4" t="s">
        <v>62</v>
      </c>
      <c r="P5" s="4" t="s">
        <v>60</v>
      </c>
      <c r="Q5" s="4" t="s">
        <v>60</v>
      </c>
      <c r="R5" s="4" t="s">
        <v>60</v>
      </c>
      <c r="S5" s="4" t="s">
        <v>60</v>
      </c>
      <c r="T5" s="4" t="s">
        <v>60</v>
      </c>
      <c r="U5" s="4" t="s">
        <v>60</v>
      </c>
      <c r="V5" s="4" t="s">
        <v>60</v>
      </c>
      <c r="W5" s="4" t="s">
        <v>60</v>
      </c>
      <c r="X5" s="4" t="s">
        <v>49</v>
      </c>
      <c r="Y5" s="4" t="s">
        <v>49</v>
      </c>
      <c r="Z5" s="4" t="s">
        <v>49</v>
      </c>
      <c r="AA5" s="4" t="s">
        <v>49</v>
      </c>
      <c r="AB5" s="4" t="s">
        <v>49</v>
      </c>
      <c r="AC5" s="4" t="s">
        <v>49</v>
      </c>
      <c r="AD5" s="4" t="s">
        <v>49</v>
      </c>
      <c r="AE5" s="4" t="s">
        <v>49</v>
      </c>
      <c r="AF5" s="4" t="s">
        <v>49</v>
      </c>
      <c r="AG5" s="4" t="s">
        <v>49</v>
      </c>
      <c r="AH5" s="4" t="s">
        <v>49</v>
      </c>
      <c r="AI5" s="4" t="s">
        <v>49</v>
      </c>
      <c r="AJ5" s="4" t="s">
        <v>49</v>
      </c>
      <c r="AK5" s="4" t="s">
        <v>49</v>
      </c>
      <c r="AL5" s="4" t="s">
        <v>49</v>
      </c>
      <c r="AM5" s="4" t="s">
        <v>49</v>
      </c>
      <c r="AN5" s="4" t="s">
        <v>49</v>
      </c>
      <c r="AO5" s="32"/>
    </row>
    <row r="6" spans="1:41" x14ac:dyDescent="0.25">
      <c r="A6" s="2" t="s">
        <v>11</v>
      </c>
      <c r="B6" s="2" t="s">
        <v>92</v>
      </c>
      <c r="C6" s="2" t="s">
        <v>91</v>
      </c>
      <c r="D6" s="13" t="s">
        <v>105</v>
      </c>
      <c r="E6" s="2" t="s">
        <v>21</v>
      </c>
      <c r="F6" s="2" t="s">
        <v>28</v>
      </c>
      <c r="G6" s="2" t="s">
        <v>15</v>
      </c>
      <c r="H6" s="2" t="s">
        <v>16</v>
      </c>
      <c r="I6" s="2" t="s">
        <v>17</v>
      </c>
      <c r="J6" s="2" t="s">
        <v>5</v>
      </c>
      <c r="K6" s="2" t="s">
        <v>4</v>
      </c>
      <c r="L6" s="2" t="s">
        <v>3</v>
      </c>
      <c r="M6" s="2" t="s">
        <v>56</v>
      </c>
      <c r="N6" s="2" t="s">
        <v>12</v>
      </c>
      <c r="O6" s="2" t="s">
        <v>13</v>
      </c>
      <c r="P6" s="2" t="s">
        <v>47</v>
      </c>
      <c r="Q6" s="2" t="s">
        <v>48</v>
      </c>
      <c r="R6" s="2" t="s">
        <v>22</v>
      </c>
      <c r="S6" s="2" t="s">
        <v>23</v>
      </c>
      <c r="T6" s="2" t="s">
        <v>58</v>
      </c>
      <c r="U6" s="2" t="s">
        <v>94</v>
      </c>
      <c r="V6" s="2" t="s">
        <v>24</v>
      </c>
      <c r="W6" s="2" t="s">
        <v>25</v>
      </c>
      <c r="X6" s="2" t="s">
        <v>30</v>
      </c>
      <c r="Y6" s="2" t="s">
        <v>31</v>
      </c>
      <c r="Z6" s="2" t="s">
        <v>32</v>
      </c>
      <c r="AA6" s="2" t="s">
        <v>33</v>
      </c>
      <c r="AB6" s="2" t="s">
        <v>34</v>
      </c>
      <c r="AC6" s="2" t="s">
        <v>35</v>
      </c>
      <c r="AD6" s="2" t="s">
        <v>36</v>
      </c>
      <c r="AE6" s="2" t="s">
        <v>37</v>
      </c>
      <c r="AF6" s="2" t="s">
        <v>38</v>
      </c>
      <c r="AG6" s="2" t="s">
        <v>39</v>
      </c>
      <c r="AH6" s="2" t="s">
        <v>40</v>
      </c>
      <c r="AI6" s="2" t="s">
        <v>41</v>
      </c>
      <c r="AJ6" s="2" t="s">
        <v>42</v>
      </c>
      <c r="AK6" s="2" t="s">
        <v>43</v>
      </c>
      <c r="AL6" s="2" t="s">
        <v>44</v>
      </c>
      <c r="AM6" s="2" t="s">
        <v>45</v>
      </c>
      <c r="AN6" s="2" t="s">
        <v>46</v>
      </c>
    </row>
    <row r="7" spans="1:41" s="16" customFormat="1" x14ac:dyDescent="0.25">
      <c r="A7" s="7" t="s">
        <v>109</v>
      </c>
      <c r="B7" s="9" t="s">
        <v>99</v>
      </c>
      <c r="C7" s="5">
        <v>2</v>
      </c>
      <c r="D7" s="5">
        <v>2</v>
      </c>
      <c r="E7" s="10">
        <v>25000</v>
      </c>
      <c r="F7" s="10">
        <v>20000</v>
      </c>
      <c r="G7" s="9">
        <v>0</v>
      </c>
      <c r="H7" s="9">
        <v>0.5</v>
      </c>
      <c r="I7" s="9">
        <v>0</v>
      </c>
      <c r="J7" s="13">
        <v>0</v>
      </c>
      <c r="K7" s="13">
        <v>0</v>
      </c>
      <c r="L7" s="13">
        <v>0</v>
      </c>
      <c r="M7" s="13">
        <v>0</v>
      </c>
      <c r="N7" s="9">
        <v>5.0000000000000001E-3</v>
      </c>
      <c r="O7" s="13">
        <v>0</v>
      </c>
      <c r="P7" s="13">
        <v>0</v>
      </c>
      <c r="Q7" s="13">
        <v>0</v>
      </c>
      <c r="R7" s="9">
        <v>0.99009900990099009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24">
        <f>[1]SO_WHAT_CEP!$E$69/0.277778*R7</f>
        <v>198.89092999616685</v>
      </c>
      <c r="Y7" s="21">
        <f>[2]SO_WHAT_CEP!$E$283/0.277778*R7</f>
        <v>0.71287071683213943</v>
      </c>
      <c r="Z7" s="22">
        <f>[3]SO_WHAT_CEP!$E$118/0.277778*R7</f>
        <v>3.5643535841606966E-4</v>
      </c>
      <c r="AA7" s="21">
        <v>0</v>
      </c>
      <c r="AB7" s="21">
        <f>[4]SO_WHAT_CEP!$E$111/0.277778*R7</f>
        <v>0</v>
      </c>
      <c r="AC7" s="21">
        <f>[5]SO_WHAT_CEP!$E$116/0.277778*R7</f>
        <v>0.21386121504964178</v>
      </c>
      <c r="AD7" s="22">
        <f>[6]SO_WHAT_CEP!$E$342/0.277778*R7</f>
        <v>3.5643535841606966E-4</v>
      </c>
      <c r="AE7" s="22">
        <f>[7]SO_WHAT_CEP!$E$342/0.277778*R7</f>
        <v>2.4950475089124876E-4</v>
      </c>
      <c r="AF7" s="23">
        <f>AD7-AE7-AG7</f>
        <v>7.1287071683213927E-5</v>
      </c>
      <c r="AG7" s="23">
        <f>[8]SO_WHAT_CEP!$E$342/0.277778*R7</f>
        <v>3.564353584160697E-5</v>
      </c>
      <c r="AH7" s="22">
        <f>[9]SO_WHAT_CEP!$E$111/277.778*R7</f>
        <v>8.1980132435696034E-4</v>
      </c>
      <c r="AI7" s="21">
        <f>[10]SO_WHAT_CEP!$E$214/0.277778*R7</f>
        <v>7.1287071683213939E-3</v>
      </c>
      <c r="AJ7" s="17"/>
      <c r="AK7" s="17"/>
      <c r="AL7" s="17"/>
      <c r="AM7" s="17"/>
      <c r="AN7" s="17"/>
    </row>
    <row r="8" spans="1:41" x14ac:dyDescent="0.25">
      <c r="A8" s="7" t="s">
        <v>98</v>
      </c>
      <c r="B8" s="9" t="s">
        <v>100</v>
      </c>
      <c r="C8" s="5">
        <v>15</v>
      </c>
      <c r="D8" s="5">
        <v>5</v>
      </c>
      <c r="E8" s="9">
        <v>4000</v>
      </c>
      <c r="F8" s="10">
        <v>7000</v>
      </c>
      <c r="G8" s="9">
        <v>15</v>
      </c>
      <c r="H8" s="9">
        <v>0.12</v>
      </c>
      <c r="I8" s="13">
        <v>0</v>
      </c>
      <c r="J8" s="13">
        <v>0</v>
      </c>
      <c r="K8" s="13">
        <v>0</v>
      </c>
      <c r="L8" s="13">
        <v>0</v>
      </c>
      <c r="M8" s="10">
        <v>0</v>
      </c>
      <c r="N8" s="9">
        <f>(2422-2337)/F8</f>
        <v>1.2142857142857143E-2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f>-200/F8</f>
        <v>-2.8571428571428571E-2</v>
      </c>
      <c r="U8" s="13">
        <v>0</v>
      </c>
      <c r="V8" s="13">
        <v>0</v>
      </c>
      <c r="W8" s="13">
        <v>0</v>
      </c>
      <c r="X8" s="21">
        <v>0</v>
      </c>
      <c r="Y8" s="22">
        <f>[11]SO_WHAT_CEP!$E$901/0.277778*T8</f>
        <v>-1.1314276662864383E-3</v>
      </c>
      <c r="Z8" s="22">
        <f>[12]SO_WHAT_CEP!$E$430/0.277778*T8</f>
        <v>-4.1142824228597755E-4</v>
      </c>
      <c r="AA8" s="21">
        <v>0</v>
      </c>
      <c r="AB8" s="22">
        <f>[13]SO_WHAT_CEP!$E$557/0.277778*T8</f>
        <v>-3.8571397714310396E-3</v>
      </c>
      <c r="AC8" s="26">
        <f>[14]SO_WHAT_CEP!$E$805/0.277778*T8</f>
        <v>-7.7142795428620792E-3</v>
      </c>
      <c r="AD8" s="22">
        <f>[15]SO_WHAT_CEP!$E$1293/0.277778*T8</f>
        <v>-7.6011367762334348E-4</v>
      </c>
      <c r="AE8" s="23">
        <f>[16]SO_WHAT_CEP!$E$1293/0.277778*T8</f>
        <v>-2.9828547565733369E-5</v>
      </c>
      <c r="AF8" s="23">
        <f>AD8-AE8-AG8</f>
        <v>-6.7165660553185824E-4</v>
      </c>
      <c r="AG8" s="23">
        <f>[17]SO_WHAT_CEP!$E$1293/0.277778*T8</f>
        <v>-5.86285245257518E-5</v>
      </c>
      <c r="AH8" s="23">
        <f>[18]SO_WHAT_CEP!$E$679/277.778*T8</f>
        <v>-3.0857118171448319E-4</v>
      </c>
      <c r="AI8" s="22">
        <f>[19]SO_WHAT_CEP!$E$792/0.277778*T8</f>
        <v>-4.9371389074317311E-3</v>
      </c>
      <c r="AJ8" s="17"/>
      <c r="AK8" s="17"/>
      <c r="AL8" s="17"/>
      <c r="AM8" s="17"/>
      <c r="AN8" s="17"/>
    </row>
    <row r="9" spans="1:41" x14ac:dyDescent="0.25">
      <c r="A9" s="7" t="s">
        <v>95</v>
      </c>
      <c r="B9" s="9" t="s">
        <v>101</v>
      </c>
      <c r="C9" s="5">
        <v>15</v>
      </c>
      <c r="D9" s="5">
        <v>5</v>
      </c>
      <c r="E9" s="9">
        <v>12000</v>
      </c>
      <c r="F9" s="10">
        <v>5000</v>
      </c>
      <c r="G9" s="9">
        <v>1</v>
      </c>
      <c r="H9" s="9">
        <v>0.04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9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21">
        <v>0</v>
      </c>
      <c r="Y9" s="21">
        <v>0</v>
      </c>
      <c r="Z9" s="21">
        <v>0</v>
      </c>
      <c r="AA9" s="21">
        <v>0</v>
      </c>
      <c r="AB9" s="21">
        <v>0</v>
      </c>
      <c r="AC9" s="21">
        <v>0</v>
      </c>
      <c r="AD9" s="21">
        <v>0</v>
      </c>
      <c r="AE9" s="21">
        <v>0</v>
      </c>
      <c r="AF9" s="21">
        <v>0</v>
      </c>
      <c r="AG9" s="21">
        <v>0</v>
      </c>
      <c r="AH9" s="21">
        <v>0</v>
      </c>
      <c r="AI9" s="21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</row>
    <row r="10" spans="1:41" x14ac:dyDescent="0.25">
      <c r="A10" s="7" t="s">
        <v>96</v>
      </c>
      <c r="B10" s="9" t="s">
        <v>102</v>
      </c>
      <c r="C10" s="5">
        <v>15</v>
      </c>
      <c r="D10" s="5">
        <v>5</v>
      </c>
      <c r="E10" s="9">
        <v>13000</v>
      </c>
      <c r="F10" s="10">
        <v>5000</v>
      </c>
      <c r="G10" s="9">
        <v>1</v>
      </c>
      <c r="H10" s="9">
        <v>0.04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9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0</v>
      </c>
      <c r="AG10" s="21">
        <v>0</v>
      </c>
      <c r="AH10" s="21">
        <v>0</v>
      </c>
      <c r="AI10" s="21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</row>
    <row r="11" spans="1:41" x14ac:dyDescent="0.25">
      <c r="A11" s="7" t="s">
        <v>97</v>
      </c>
      <c r="B11" s="9" t="s">
        <v>103</v>
      </c>
      <c r="C11" s="7">
        <v>30</v>
      </c>
      <c r="D11" s="7">
        <v>30</v>
      </c>
      <c r="E11" s="9">
        <v>25000</v>
      </c>
      <c r="F11" s="10">
        <f>SUM(F9:F10)</f>
        <v>10000</v>
      </c>
      <c r="G11" s="9">
        <v>18</v>
      </c>
      <c r="H11" s="9">
        <v>2.0000000000000001E-4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0.01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18"/>
      <c r="AK11" s="18"/>
      <c r="AL11" s="18"/>
      <c r="AM11" s="18"/>
      <c r="AN11" s="18"/>
    </row>
    <row r="12" spans="1:41" x14ac:dyDescent="0.25">
      <c r="A12" s="19" t="s">
        <v>107</v>
      </c>
      <c r="B12" s="13" t="s">
        <v>106</v>
      </c>
      <c r="C12" s="11">
        <v>20</v>
      </c>
      <c r="D12" s="11">
        <v>20</v>
      </c>
      <c r="E12" s="9">
        <v>25000</v>
      </c>
      <c r="F12" s="10">
        <f>SUM(F9:F10)</f>
        <v>10000</v>
      </c>
      <c r="G12" s="9">
        <v>18</v>
      </c>
      <c r="H12" s="13">
        <v>0.1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</row>
    <row r="13" spans="1:41" s="16" customFormat="1" x14ac:dyDescent="0.25">
      <c r="A13" s="7" t="s">
        <v>110</v>
      </c>
      <c r="B13" s="9" t="s">
        <v>108</v>
      </c>
      <c r="C13" s="5">
        <v>25</v>
      </c>
      <c r="D13" s="5">
        <v>25</v>
      </c>
      <c r="E13" s="10">
        <f>(F13*1000)/1189</f>
        <v>8410.4289318755254</v>
      </c>
      <c r="F13" s="10">
        <f>SUM(F9:F10)</f>
        <v>10000</v>
      </c>
      <c r="G13" s="9">
        <v>23</v>
      </c>
      <c r="H13" s="9">
        <v>0.5</v>
      </c>
      <c r="I13" s="9">
        <v>0</v>
      </c>
      <c r="J13" s="13">
        <v>0</v>
      </c>
      <c r="K13" s="13">
        <v>0</v>
      </c>
      <c r="L13" s="13">
        <v>0</v>
      </c>
      <c r="M13" s="13">
        <v>0</v>
      </c>
      <c r="N13" s="9">
        <v>5.0000000000000001E-3</v>
      </c>
      <c r="O13" s="13">
        <v>0</v>
      </c>
      <c r="P13" s="13">
        <v>0</v>
      </c>
      <c r="Q13" s="13">
        <v>0</v>
      </c>
      <c r="R13" s="9">
        <v>0.99009900990099009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24">
        <f>[1]SO_WHAT_CEP!$E$69/0.277778*R13</f>
        <v>198.89092999616685</v>
      </c>
      <c r="Y13" s="21">
        <f>[2]SO_WHAT_CEP!$E$283/0.277778*R13</f>
        <v>0.71287071683213943</v>
      </c>
      <c r="Z13" s="22">
        <f>[3]SO_WHAT_CEP!$E$118/0.277778*R13</f>
        <v>3.5643535841606966E-4</v>
      </c>
      <c r="AA13" s="21">
        <v>0</v>
      </c>
      <c r="AB13" s="21">
        <f>[4]SO_WHAT_CEP!$E$111/0.277778*R13</f>
        <v>0</v>
      </c>
      <c r="AC13" s="21">
        <f>[5]SO_WHAT_CEP!$E$116/0.277778*R13</f>
        <v>0.21386121504964178</v>
      </c>
      <c r="AD13" s="22">
        <f>[6]SO_WHAT_CEP!$E$342/0.277778*R13</f>
        <v>3.5643535841606966E-4</v>
      </c>
      <c r="AE13" s="22">
        <f>[7]SO_WHAT_CEP!$E$342/0.277778*R13</f>
        <v>2.4950475089124876E-4</v>
      </c>
      <c r="AF13" s="23">
        <f>AD13-AE13-AG13</f>
        <v>7.1287071683213927E-5</v>
      </c>
      <c r="AG13" s="23">
        <f>[8]SO_WHAT_CEP!$E$342/0.277778*R13</f>
        <v>3.564353584160697E-5</v>
      </c>
      <c r="AH13" s="22">
        <f>[9]SO_WHAT_CEP!$E$111/277.778*R13</f>
        <v>8.1980132435696034E-4</v>
      </c>
      <c r="AI13" s="21">
        <f>[10]SO_WHAT_CEP!$E$214/0.277778*R13</f>
        <v>7.1287071683213939E-3</v>
      </c>
      <c r="AJ13" s="17"/>
      <c r="AK13" s="17"/>
      <c r="AL13" s="17"/>
      <c r="AM13" s="17"/>
      <c r="AN13" s="17"/>
    </row>
    <row r="14" spans="1:41" x14ac:dyDescent="0.25">
      <c r="A14" s="30" t="s">
        <v>151</v>
      </c>
      <c r="B14" t="s">
        <v>152</v>
      </c>
      <c r="C14" s="31">
        <v>50</v>
      </c>
      <c r="D14" s="31">
        <v>50</v>
      </c>
      <c r="E14">
        <v>4000</v>
      </c>
      <c r="F14" s="25">
        <v>7000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0.1</v>
      </c>
      <c r="O14">
        <v>0</v>
      </c>
      <c r="P14">
        <v>0</v>
      </c>
      <c r="Q14">
        <v>0</v>
      </c>
      <c r="R14">
        <v>0</v>
      </c>
      <c r="S14">
        <v>0</v>
      </c>
      <c r="T14">
        <f>(25/2*200)/F14</f>
        <v>0.35714285714285715</v>
      </c>
      <c r="U14">
        <v>0</v>
      </c>
      <c r="V14">
        <v>0</v>
      </c>
      <c r="W14">
        <v>0</v>
      </c>
      <c r="X14">
        <f>X8*$T$14/$T$8</f>
        <v>0</v>
      </c>
      <c r="Y14">
        <f>Y8*$T$14/$T$8</f>
        <v>1.414284582858048E-2</v>
      </c>
      <c r="Z14">
        <f t="shared" ref="Z14:AI14" si="0">Z8*$T$14/$T$8</f>
        <v>5.14285302857472E-3</v>
      </c>
      <c r="AA14">
        <f t="shared" si="0"/>
        <v>0</v>
      </c>
      <c r="AB14">
        <f t="shared" si="0"/>
        <v>4.8214247142888002E-2</v>
      </c>
      <c r="AC14">
        <f t="shared" si="0"/>
        <v>9.6428494285776004E-2</v>
      </c>
      <c r="AD14">
        <f t="shared" si="0"/>
        <v>9.5014209702917931E-3</v>
      </c>
      <c r="AE14">
        <f t="shared" si="0"/>
        <v>3.7285684457166713E-4</v>
      </c>
      <c r="AF14">
        <f t="shared" si="0"/>
        <v>8.3957075691482291E-3</v>
      </c>
      <c r="AG14">
        <f t="shared" si="0"/>
        <v>7.3285655657189756E-4</v>
      </c>
      <c r="AH14">
        <f t="shared" si="0"/>
        <v>3.85713977143104E-3</v>
      </c>
      <c r="AI14">
        <f t="shared" si="0"/>
        <v>6.171423634289664E-2</v>
      </c>
    </row>
    <row r="16" spans="1:41" x14ac:dyDescent="0.25">
      <c r="AB16" s="28"/>
      <c r="AD16" s="28"/>
      <c r="AE16" s="28"/>
      <c r="AF16" s="6"/>
    </row>
    <row r="17" spans="20:35" x14ac:dyDescent="0.25">
      <c r="T17" s="13"/>
      <c r="Y17" s="6"/>
      <c r="Z17" s="6"/>
      <c r="AA17" s="6"/>
      <c r="AB17" s="27"/>
      <c r="AC17" s="6"/>
      <c r="AD17" s="29"/>
      <c r="AE17" s="29"/>
      <c r="AF17" s="6"/>
      <c r="AH17" s="6"/>
      <c r="AI17" s="6"/>
    </row>
  </sheetData>
  <mergeCells count="1">
    <mergeCell ref="AO4:AO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D8B66-7E4F-4C0C-B1E4-9D14C621401C}">
  <dimension ref="A1:FQ188"/>
  <sheetViews>
    <sheetView zoomScale="115" zoomScaleNormal="115" workbookViewId="0">
      <selection activeCell="D66" sqref="D66"/>
    </sheetView>
  </sheetViews>
  <sheetFormatPr defaultRowHeight="15" x14ac:dyDescent="0.25"/>
  <cols>
    <col min="4" max="4" width="9.85546875" customWidth="1"/>
    <col min="5" max="5" width="8.85546875" bestFit="1" customWidth="1"/>
    <col min="6" max="6" width="9" bestFit="1" customWidth="1"/>
    <col min="7" max="7" width="14" bestFit="1" customWidth="1"/>
    <col min="9" max="9" width="9.28515625" customWidth="1"/>
    <col min="10" max="10" width="11.140625" bestFit="1" customWidth="1"/>
  </cols>
  <sheetData>
    <row r="1" spans="1:173" x14ac:dyDescent="0.25">
      <c r="A1" t="s">
        <v>0</v>
      </c>
      <c r="B1" t="s">
        <v>1</v>
      </c>
    </row>
    <row r="3" spans="1:173" x14ac:dyDescent="0.25">
      <c r="A3" t="s">
        <v>10</v>
      </c>
      <c r="B3" t="s">
        <v>112</v>
      </c>
    </row>
    <row r="4" spans="1:173" ht="30" x14ac:dyDescent="0.25">
      <c r="C4" t="s">
        <v>8</v>
      </c>
      <c r="D4" s="1" t="s">
        <v>88</v>
      </c>
      <c r="E4" s="1"/>
      <c r="F4" s="1"/>
      <c r="G4" s="1"/>
      <c r="H4" s="1"/>
      <c r="I4" s="1"/>
      <c r="J4" s="1"/>
      <c r="K4" s="1"/>
      <c r="L4" s="1"/>
      <c r="M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173" ht="60" x14ac:dyDescent="0.25">
      <c r="D5" s="1" t="s">
        <v>113</v>
      </c>
      <c r="E5" s="1" t="s">
        <v>114</v>
      </c>
      <c r="F5" s="1" t="s">
        <v>115</v>
      </c>
      <c r="G5" s="1" t="s">
        <v>116</v>
      </c>
      <c r="H5" s="1" t="s">
        <v>117</v>
      </c>
      <c r="I5" s="1" t="s">
        <v>118</v>
      </c>
      <c r="J5" s="1" t="s">
        <v>119</v>
      </c>
      <c r="K5" s="1" t="s">
        <v>120</v>
      </c>
      <c r="L5" s="1" t="s">
        <v>121</v>
      </c>
      <c r="M5" s="1" t="s">
        <v>122</v>
      </c>
      <c r="N5" s="1" t="s">
        <v>123</v>
      </c>
      <c r="O5" s="1" t="s">
        <v>124</v>
      </c>
      <c r="P5" s="1" t="s">
        <v>125</v>
      </c>
      <c r="Q5" s="1" t="s">
        <v>126</v>
      </c>
      <c r="R5" s="1" t="s">
        <v>127</v>
      </c>
      <c r="S5" s="1" t="s">
        <v>128</v>
      </c>
      <c r="T5" s="1" t="s">
        <v>129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</row>
    <row r="6" spans="1:173" x14ac:dyDescent="0.25">
      <c r="C6" t="s">
        <v>2</v>
      </c>
      <c r="D6" t="s">
        <v>30</v>
      </c>
      <c r="E6" t="s">
        <v>31</v>
      </c>
      <c r="F6" t="s">
        <v>32</v>
      </c>
      <c r="G6" t="s">
        <v>33</v>
      </c>
      <c r="H6" t="s">
        <v>34</v>
      </c>
      <c r="I6" t="s">
        <v>35</v>
      </c>
      <c r="J6" t="s">
        <v>36</v>
      </c>
      <c r="K6" t="s">
        <v>37</v>
      </c>
      <c r="L6" t="s">
        <v>38</v>
      </c>
      <c r="M6" t="s">
        <v>39</v>
      </c>
      <c r="N6" t="s">
        <v>40</v>
      </c>
      <c r="O6" t="s">
        <v>41</v>
      </c>
      <c r="P6" t="s">
        <v>42</v>
      </c>
      <c r="Q6" t="s">
        <v>43</v>
      </c>
      <c r="R6" t="s">
        <v>44</v>
      </c>
      <c r="S6" t="s">
        <v>45</v>
      </c>
      <c r="T6" t="s">
        <v>46</v>
      </c>
    </row>
    <row r="7" spans="1:173" x14ac:dyDescent="0.25">
      <c r="C7">
        <v>2020</v>
      </c>
      <c r="D7">
        <f>($D139/($D139+$E139)*(D73*1000000))/($D139*277778)</f>
        <v>272.37425018570622</v>
      </c>
      <c r="E7">
        <f t="shared" ref="E7:O7" si="0">($D139/($D139+$E139)*(E73*1000000))/($D139*277778)</f>
        <v>3.2782952497042259E-2</v>
      </c>
      <c r="F7">
        <f>($D139/($D139+$E139)*(F73*1000000))/($D139*277778)</f>
        <v>3.9829755370238253E-3</v>
      </c>
      <c r="G7">
        <f t="shared" ref="G7" si="1">($D139/($D139+$E139)*(G73*1000000))/($D139*277778)</f>
        <v>0</v>
      </c>
      <c r="H7">
        <f t="shared" si="0"/>
        <v>0.22151471640524817</v>
      </c>
      <c r="I7">
        <f t="shared" si="0"/>
        <v>0.23530193941802294</v>
      </c>
      <c r="J7">
        <f t="shared" si="0"/>
        <v>7.3531856068132168E-3</v>
      </c>
      <c r="K7">
        <f t="shared" si="0"/>
        <v>1.7770198549798609E-4</v>
      </c>
      <c r="L7">
        <f>($D139/($D139+$E139)*(L73*1000000))/($D139*277778)</f>
        <v>7.0988879379109268E-3</v>
      </c>
      <c r="M7">
        <f t="shared" si="0"/>
        <v>7.6595683404304346E-5</v>
      </c>
      <c r="N7">
        <f t="shared" si="0"/>
        <v>3.3548909331085302E-3</v>
      </c>
      <c r="O7">
        <f t="shared" si="0"/>
        <v>1.6330199701797686E-2</v>
      </c>
      <c r="AG7" s="1"/>
    </row>
    <row r="8" spans="1:173" x14ac:dyDescent="0.25">
      <c r="C8">
        <v>2021</v>
      </c>
      <c r="D8">
        <f t="shared" ref="D8:O23" si="2">($D140/($D140+$E140)*(D74*1000000))/($D140*277778)</f>
        <v>249.92476595377522</v>
      </c>
      <c r="E8">
        <f t="shared" si="2"/>
        <v>2.9529307890878383E-2</v>
      </c>
      <c r="F8">
        <f t="shared" si="2"/>
        <v>3.8062725347909766E-3</v>
      </c>
      <c r="G8">
        <f t="shared" si="2"/>
        <v>0</v>
      </c>
      <c r="H8">
        <f t="shared" si="2"/>
        <v>0.19872426121158693</v>
      </c>
      <c r="I8">
        <f t="shared" si="2"/>
        <v>0.21824675582551487</v>
      </c>
      <c r="J8">
        <f t="shared" si="2"/>
        <v>6.9986301446156663E-3</v>
      </c>
      <c r="K8">
        <f t="shared" si="2"/>
        <v>1.6514311481593107E-4</v>
      </c>
      <c r="L8">
        <f>($D140/($D140+$E140)*(L74*1000000))/($D140*277778)</f>
        <v>6.7598172388037801E-3</v>
      </c>
      <c r="M8">
        <f t="shared" si="2"/>
        <v>7.366979099595438E-5</v>
      </c>
      <c r="N8">
        <f t="shared" si="2"/>
        <v>3.162889693426308E-3</v>
      </c>
      <c r="O8">
        <f t="shared" si="2"/>
        <v>1.5368746231606016E-2</v>
      </c>
    </row>
    <row r="9" spans="1:173" x14ac:dyDescent="0.25">
      <c r="C9">
        <v>2022</v>
      </c>
      <c r="D9">
        <f t="shared" si="2"/>
        <v>227.39089958394871</v>
      </c>
      <c r="E9">
        <f t="shared" si="2"/>
        <v>2.6263433627899947E-2</v>
      </c>
      <c r="F9">
        <f t="shared" si="2"/>
        <v>3.6289053490540912E-3</v>
      </c>
      <c r="G9">
        <f t="shared" si="2"/>
        <v>0</v>
      </c>
      <c r="H9">
        <f t="shared" si="2"/>
        <v>0.17584814225331602</v>
      </c>
      <c r="I9">
        <f t="shared" si="2"/>
        <v>0.20112746595604875</v>
      </c>
      <c r="J9">
        <f t="shared" si="2"/>
        <v>6.642741994878674E-3</v>
      </c>
      <c r="K9">
        <f t="shared" si="2"/>
        <v>1.5253703840091773E-4</v>
      </c>
      <c r="L9">
        <f t="shared" si="2"/>
        <v>6.419472055606364E-3</v>
      </c>
      <c r="M9">
        <f t="shared" si="2"/>
        <v>7.0732900871393298E-5</v>
      </c>
      <c r="N9">
        <f t="shared" si="2"/>
        <v>2.9701667678952892E-3</v>
      </c>
      <c r="O9">
        <f t="shared" si="2"/>
        <v>1.4403678892228594E-2</v>
      </c>
    </row>
    <row r="10" spans="1:173" x14ac:dyDescent="0.25">
      <c r="C10">
        <v>2023</v>
      </c>
      <c r="D10">
        <f t="shared" si="2"/>
        <v>204.77217442258916</v>
      </c>
      <c r="E10">
        <f t="shared" si="2"/>
        <v>2.2985260625827786E-2</v>
      </c>
      <c r="F10">
        <f t="shared" si="2"/>
        <v>3.4508702280063174E-3</v>
      </c>
      <c r="G10">
        <f t="shared" si="2"/>
        <v>0</v>
      </c>
      <c r="H10">
        <f t="shared" si="2"/>
        <v>0.15288587563720843</v>
      </c>
      <c r="I10">
        <f t="shared" si="2"/>
        <v>0.18394370768926524</v>
      </c>
      <c r="J10">
        <f t="shared" si="2"/>
        <v>6.285513629582933E-3</v>
      </c>
      <c r="K10">
        <f t="shared" si="2"/>
        <v>1.3988348959954178E-4</v>
      </c>
      <c r="L10">
        <f t="shared" si="2"/>
        <v>6.0778451890761255E-3</v>
      </c>
      <c r="M10">
        <f t="shared" si="2"/>
        <v>6.778495090726695E-5</v>
      </c>
      <c r="N10">
        <f t="shared" si="2"/>
        <v>2.7767180798922257E-3</v>
      </c>
      <c r="O10">
        <f t="shared" si="2"/>
        <v>1.3434977269820309E-2</v>
      </c>
    </row>
    <row r="11" spans="1:173" x14ac:dyDescent="0.25">
      <c r="C11">
        <v>2024</v>
      </c>
      <c r="D11">
        <f t="shared" si="2"/>
        <v>182.06811021928993</v>
      </c>
      <c r="E11">
        <f t="shared" si="2"/>
        <v>1.9694719281096468E-2</v>
      </c>
      <c r="F11">
        <f t="shared" si="2"/>
        <v>3.2721633915301336E-3</v>
      </c>
      <c r="G11">
        <f t="shared" si="2"/>
        <v>0</v>
      </c>
      <c r="H11">
        <f t="shared" si="2"/>
        <v>0.12983697381863907</v>
      </c>
      <c r="I11">
        <f t="shared" si="2"/>
        <v>0.16669511617228983</v>
      </c>
      <c r="J11">
        <f t="shared" si="2"/>
        <v>5.9269374639036396E-3</v>
      </c>
      <c r="K11">
        <f t="shared" si="2"/>
        <v>1.2718219974626558E-4</v>
      </c>
      <c r="L11">
        <f t="shared" si="2"/>
        <v>5.7349293856459281E-3</v>
      </c>
      <c r="M11">
        <f t="shared" si="2"/>
        <v>6.4825878511446048E-5</v>
      </c>
      <c r="N11">
        <f t="shared" si="2"/>
        <v>2.5825395220321797E-3</v>
      </c>
      <c r="O11">
        <f t="shared" si="2"/>
        <v>1.2462620796495717E-2</v>
      </c>
    </row>
    <row r="12" spans="1:173" x14ac:dyDescent="0.25">
      <c r="C12">
        <v>2025</v>
      </c>
      <c r="D12">
        <f t="shared" si="2"/>
        <v>159.27822309288544</v>
      </c>
      <c r="E12">
        <f t="shared" si="2"/>
        <v>1.639173946392802E-2</v>
      </c>
      <c r="F12">
        <f t="shared" si="2"/>
        <v>3.0927810309298144E-3</v>
      </c>
      <c r="G12">
        <f t="shared" si="2"/>
        <v>0</v>
      </c>
      <c r="H12">
        <f t="shared" si="2"/>
        <v>0.10670094556707861</v>
      </c>
      <c r="I12">
        <f t="shared" si="2"/>
        <v>0.14938132379391003</v>
      </c>
      <c r="J12">
        <f t="shared" si="2"/>
        <v>5.5670058556736663E-3</v>
      </c>
      <c r="K12">
        <f t="shared" si="2"/>
        <v>1.1443289814440313E-4</v>
      </c>
      <c r="L12">
        <f t="shared" si="2"/>
        <v>5.3907173369106675E-3</v>
      </c>
      <c r="M12">
        <f t="shared" si="2"/>
        <v>6.1855620618596292E-5</v>
      </c>
      <c r="N12">
        <f t="shared" si="2"/>
        <v>2.3876269558778169E-3</v>
      </c>
      <c r="O12">
        <f t="shared" si="2"/>
        <v>1.1486588748873332E-2</v>
      </c>
    </row>
    <row r="13" spans="1:173" x14ac:dyDescent="0.25">
      <c r="C13">
        <v>2026</v>
      </c>
      <c r="D13">
        <f t="shared" si="2"/>
        <v>139.23290667042446</v>
      </c>
      <c r="E13">
        <f t="shared" si="2"/>
        <v>1.4796204844033545E-2</v>
      </c>
      <c r="F13">
        <f t="shared" si="2"/>
        <v>2.9097139233036679E-3</v>
      </c>
      <c r="G13">
        <f t="shared" si="2"/>
        <v>0</v>
      </c>
      <c r="H13">
        <f t="shared" si="2"/>
        <v>9.7754006061627485E-2</v>
      </c>
      <c r="I13">
        <f t="shared" si="2"/>
        <v>0.13527074303018113</v>
      </c>
      <c r="J13">
        <f t="shared" si="2"/>
        <v>5.2003397778193211E-3</v>
      </c>
      <c r="K13">
        <f t="shared" si="2"/>
        <v>1.0462588362517445E-4</v>
      </c>
      <c r="L13">
        <f t="shared" si="2"/>
        <v>5.0344241753841326E-3</v>
      </c>
      <c r="M13">
        <f t="shared" si="2"/>
        <v>6.1289718810013426E-5</v>
      </c>
      <c r="N13">
        <f t="shared" si="2"/>
        <v>2.2485278658380685E-3</v>
      </c>
      <c r="O13">
        <f t="shared" si="2"/>
        <v>1.0814849473657824E-2</v>
      </c>
    </row>
    <row r="14" spans="1:173" x14ac:dyDescent="0.25">
      <c r="C14">
        <v>2027</v>
      </c>
      <c r="D14">
        <f t="shared" si="2"/>
        <v>119.15308884276129</v>
      </c>
      <c r="E14">
        <f t="shared" si="2"/>
        <v>1.319792403718573E-2</v>
      </c>
      <c r="F14">
        <f t="shared" si="2"/>
        <v>2.7263317259914178E-3</v>
      </c>
      <c r="G14">
        <f t="shared" si="2"/>
        <v>0</v>
      </c>
      <c r="H14">
        <f t="shared" si="2"/>
        <v>8.8791667348765937E-2</v>
      </c>
      <c r="I14">
        <f t="shared" si="2"/>
        <v>0.12113587555257321</v>
      </c>
      <c r="J14">
        <f t="shared" si="2"/>
        <v>4.8330426051666035E-3</v>
      </c>
      <c r="K14">
        <f t="shared" si="2"/>
        <v>9.4801989562883393E-5</v>
      </c>
      <c r="L14">
        <f t="shared" si="2"/>
        <v>4.6775177726157292E-3</v>
      </c>
      <c r="M14">
        <f t="shared" si="2"/>
        <v>6.0722842987990677E-5</v>
      </c>
      <c r="N14">
        <f t="shared" si="2"/>
        <v>2.1091893625624519E-3</v>
      </c>
      <c r="O14">
        <f t="shared" si="2"/>
        <v>1.0141954020688074E-2</v>
      </c>
    </row>
    <row r="15" spans="1:173" x14ac:dyDescent="0.25">
      <c r="C15">
        <v>2028</v>
      </c>
      <c r="D15">
        <f t="shared" si="2"/>
        <v>99.038680458978106</v>
      </c>
      <c r="E15">
        <f t="shared" si="2"/>
        <v>1.1596889947294244E-2</v>
      </c>
      <c r="F15">
        <f t="shared" si="2"/>
        <v>2.5426336248078286E-3</v>
      </c>
      <c r="G15">
        <f t="shared" si="2"/>
        <v>0</v>
      </c>
      <c r="H15">
        <f t="shared" si="2"/>
        <v>7.9813889637260368E-2</v>
      </c>
      <c r="I15">
        <f t="shared" si="2"/>
        <v>0.10697665860471961</v>
      </c>
      <c r="J15">
        <f t="shared" si="2"/>
        <v>4.465112706979601E-3</v>
      </c>
      <c r="K15">
        <f t="shared" si="2"/>
        <v>8.4961172341139652E-5</v>
      </c>
      <c r="L15">
        <f t="shared" si="2"/>
        <v>4.3199965440027634E-3</v>
      </c>
      <c r="M15">
        <f t="shared" si="2"/>
        <v>6.0154990635697422E-5</v>
      </c>
      <c r="N15">
        <f t="shared" si="2"/>
        <v>1.9696108274121133E-3</v>
      </c>
      <c r="O15">
        <f t="shared" si="2"/>
        <v>9.4678994024246614E-3</v>
      </c>
    </row>
    <row r="16" spans="1:173" x14ac:dyDescent="0.25">
      <c r="C16">
        <v>2029</v>
      </c>
      <c r="D16">
        <f t="shared" si="2"/>
        <v>78.889592060740142</v>
      </c>
      <c r="E16">
        <f t="shared" si="2"/>
        <v>9.9930954537995002E-3</v>
      </c>
      <c r="F16">
        <f t="shared" si="2"/>
        <v>2.3586188027601295E-3</v>
      </c>
      <c r="G16">
        <f t="shared" si="2"/>
        <v>0</v>
      </c>
      <c r="H16">
        <f t="shared" si="2"/>
        <v>7.0820632998665978E-2</v>
      </c>
      <c r="I16">
        <f t="shared" si="2"/>
        <v>9.2793029213852463E-2</v>
      </c>
      <c r="J16">
        <f t="shared" si="2"/>
        <v>4.0965484468991724E-3</v>
      </c>
      <c r="K16">
        <f t="shared" si="2"/>
        <v>7.5103388193151536E-5</v>
      </c>
      <c r="L16">
        <f t="shared" si="2"/>
        <v>3.9618588994783967E-3</v>
      </c>
      <c r="M16">
        <f t="shared" si="2"/>
        <v>5.9586159227624346E-5</v>
      </c>
      <c r="N16">
        <f t="shared" si="2"/>
        <v>1.8297916396149644E-3</v>
      </c>
      <c r="O16">
        <f t="shared" si="2"/>
        <v>8.7926826210263133E-3</v>
      </c>
    </row>
    <row r="17" spans="3:15" x14ac:dyDescent="0.25">
      <c r="C17">
        <v>2030</v>
      </c>
      <c r="D17">
        <f t="shared" si="2"/>
        <v>58.705733880969412</v>
      </c>
      <c r="E17">
        <f t="shared" si="2"/>
        <v>8.386533411567058E-3</v>
      </c>
      <c r="F17">
        <f t="shared" si="2"/>
        <v>2.1742864400359041E-3</v>
      </c>
      <c r="G17">
        <f t="shared" si="2"/>
        <v>0</v>
      </c>
      <c r="H17">
        <f t="shared" si="2"/>
        <v>6.1811857366734987E-2</v>
      </c>
      <c r="I17">
        <f t="shared" si="2"/>
        <v>7.8584924189869107E-2</v>
      </c>
      <c r="J17">
        <f t="shared" si="2"/>
        <v>3.7273481829186929E-3</v>
      </c>
      <c r="K17">
        <f t="shared" si="2"/>
        <v>6.5228593201077119E-5</v>
      </c>
      <c r="L17">
        <f t="shared" si="2"/>
        <v>3.6031032434880707E-3</v>
      </c>
      <c r="M17">
        <f t="shared" si="2"/>
        <v>5.9016346229545968E-5</v>
      </c>
      <c r="N17">
        <f t="shared" si="2"/>
        <v>1.6897311762564741E-3</v>
      </c>
      <c r="O17">
        <f t="shared" si="2"/>
        <v>8.1163006683054543E-3</v>
      </c>
    </row>
    <row r="18" spans="3:15" x14ac:dyDescent="0.25">
      <c r="C18">
        <v>2031</v>
      </c>
      <c r="D18">
        <f t="shared" si="2"/>
        <v>53.963247108124278</v>
      </c>
      <c r="E18">
        <f t="shared" si="2"/>
        <v>8.5655947790673464E-3</v>
      </c>
      <c r="F18">
        <f t="shared" si="2"/>
        <v>2.0190330550658737E-3</v>
      </c>
      <c r="G18">
        <f t="shared" si="2"/>
        <v>0</v>
      </c>
      <c r="H18">
        <f t="shared" si="2"/>
        <v>5.5982280163190137E-2</v>
      </c>
      <c r="I18">
        <f t="shared" si="2"/>
        <v>7.3113469721324847E-2</v>
      </c>
      <c r="J18">
        <f t="shared" si="2"/>
        <v>3.4874207314774188E-3</v>
      </c>
      <c r="K18">
        <f t="shared" si="2"/>
        <v>6.791293003403394E-5</v>
      </c>
      <c r="L18">
        <f t="shared" si="2"/>
        <v>3.3589368097914083E-3</v>
      </c>
      <c r="M18">
        <f t="shared" si="2"/>
        <v>6.0570991651976217E-5</v>
      </c>
      <c r="N18">
        <f t="shared" si="2"/>
        <v>1.5919769725095164E-3</v>
      </c>
      <c r="O18">
        <f t="shared" si="2"/>
        <v>7.5022373700659849E-3</v>
      </c>
    </row>
    <row r="19" spans="3:15" x14ac:dyDescent="0.25">
      <c r="C19">
        <v>2032</v>
      </c>
      <c r="D19">
        <f t="shared" si="2"/>
        <v>49.362090093451968</v>
      </c>
      <c r="E19">
        <f t="shared" si="2"/>
        <v>8.7393199799151861E-3</v>
      </c>
      <c r="F19">
        <f t="shared" si="2"/>
        <v>1.8684063405335909E-3</v>
      </c>
      <c r="G19">
        <f t="shared" si="2"/>
        <v>0</v>
      </c>
      <c r="H19">
        <f t="shared" si="2"/>
        <v>5.0326428849856393E-2</v>
      </c>
      <c r="I19">
        <f t="shared" si="2"/>
        <v>6.7805068809686786E-2</v>
      </c>
      <c r="J19">
        <f t="shared" si="2"/>
        <v>3.2546433028649647E-3</v>
      </c>
      <c r="K19">
        <f t="shared" si="2"/>
        <v>7.0517271562074249E-5</v>
      </c>
      <c r="L19">
        <f t="shared" si="2"/>
        <v>3.1220467238593547E-3</v>
      </c>
      <c r="M19">
        <f t="shared" si="2"/>
        <v>6.2079307443535433E-5</v>
      </c>
      <c r="N19">
        <f t="shared" si="2"/>
        <v>1.4971359193178837E-3</v>
      </c>
      <c r="O19">
        <f t="shared" si="2"/>
        <v>6.9064736310240071E-3</v>
      </c>
    </row>
    <row r="20" spans="3:15" x14ac:dyDescent="0.25">
      <c r="C20">
        <v>2033</v>
      </c>
      <c r="D20">
        <f t="shared" si="2"/>
        <v>44.896037986171919</v>
      </c>
      <c r="E20">
        <f t="shared" si="2"/>
        <v>8.9079440448753839E-3</v>
      </c>
      <c r="F20">
        <f t="shared" si="2"/>
        <v>1.7222025153425732E-3</v>
      </c>
      <c r="G20">
        <f t="shared" si="2"/>
        <v>0</v>
      </c>
      <c r="H20">
        <f t="shared" si="2"/>
        <v>4.4836651692539406E-2</v>
      </c>
      <c r="I20">
        <f t="shared" si="2"/>
        <v>6.2652539782290184E-2</v>
      </c>
      <c r="J20">
        <f t="shared" si="2"/>
        <v>3.0287009752576291E-3</v>
      </c>
      <c r="K20">
        <f t="shared" si="2"/>
        <v>7.3045141167978135E-5</v>
      </c>
      <c r="L20">
        <f t="shared" si="2"/>
        <v>2.8921124999028735E-3</v>
      </c>
      <c r="M20">
        <f t="shared" si="2"/>
        <v>6.3543334186777709E-5</v>
      </c>
      <c r="N20">
        <f t="shared" si="2"/>
        <v>1.4050797073450099E-3</v>
      </c>
      <c r="O20">
        <f t="shared" si="2"/>
        <v>6.3282034494794694E-3</v>
      </c>
    </row>
    <row r="21" spans="3:15" x14ac:dyDescent="0.25">
      <c r="C21">
        <v>2034</v>
      </c>
      <c r="D21">
        <f t="shared" si="2"/>
        <v>40.559226209747941</v>
      </c>
      <c r="E21">
        <f t="shared" si="2"/>
        <v>9.0716884018916776E-3</v>
      </c>
      <c r="F21">
        <f t="shared" si="2"/>
        <v>1.5802295925875817E-3</v>
      </c>
      <c r="G21">
        <f t="shared" si="2"/>
        <v>0</v>
      </c>
      <c r="H21">
        <f t="shared" si="2"/>
        <v>3.950573981468955E-2</v>
      </c>
      <c r="I21">
        <f t="shared" si="2"/>
        <v>5.7649116618472933E-2</v>
      </c>
      <c r="J21">
        <f t="shared" si="2"/>
        <v>2.8092970534890345E-3</v>
      </c>
      <c r="K21">
        <f t="shared" si="2"/>
        <v>7.5499858312517824E-5</v>
      </c>
      <c r="L21">
        <f t="shared" si="2"/>
        <v>2.6688322008145827E-3</v>
      </c>
      <c r="M21">
        <f t="shared" si="2"/>
        <v>6.4964994361933922E-5</v>
      </c>
      <c r="N21">
        <f t="shared" si="2"/>
        <v>1.3156874533840311E-3</v>
      </c>
      <c r="O21">
        <f t="shared" si="2"/>
        <v>5.7666674725057208E-3</v>
      </c>
    </row>
    <row r="22" spans="3:15" x14ac:dyDescent="0.25">
      <c r="C22">
        <v>2035</v>
      </c>
      <c r="D22">
        <f t="shared" si="2"/>
        <v>36.346124769254033</v>
      </c>
      <c r="E22">
        <f t="shared" si="2"/>
        <v>9.2307618461597539E-3</v>
      </c>
      <c r="F22">
        <f t="shared" si="2"/>
        <v>1.4423065384624614E-3</v>
      </c>
      <c r="G22">
        <f t="shared" si="2"/>
        <v>0</v>
      </c>
      <c r="H22">
        <f t="shared" si="2"/>
        <v>3.4326895615406583E-2</v>
      </c>
      <c r="I22">
        <f t="shared" si="2"/>
        <v>5.2788419307726091E-2</v>
      </c>
      <c r="J22">
        <f t="shared" si="2"/>
        <v>2.5961517692324305E-3</v>
      </c>
      <c r="K22">
        <f t="shared" si="2"/>
        <v>7.7884553076972921E-5</v>
      </c>
      <c r="L22">
        <f t="shared" si="2"/>
        <v>2.4519211153861847E-3</v>
      </c>
      <c r="M22">
        <f t="shared" si="2"/>
        <v>6.634610076927322E-5</v>
      </c>
      <c r="N22">
        <f t="shared" si="2"/>
        <v>1.2288451707700174E-3</v>
      </c>
      <c r="O22">
        <f t="shared" si="2"/>
        <v>5.2211496692341104E-3</v>
      </c>
    </row>
    <row r="23" spans="3:15" x14ac:dyDescent="0.25">
      <c r="C23">
        <v>2036</v>
      </c>
      <c r="D23">
        <f t="shared" si="2"/>
        <v>33.570385661472407</v>
      </c>
      <c r="E23">
        <f t="shared" si="2"/>
        <v>9.6159240284556559E-3</v>
      </c>
      <c r="F23">
        <f t="shared" si="2"/>
        <v>1.4793729274547162E-3</v>
      </c>
      <c r="G23">
        <f t="shared" si="2"/>
        <v>0</v>
      </c>
      <c r="H23">
        <f t="shared" si="2"/>
        <v>3.3001396073989823E-2</v>
      </c>
      <c r="I23">
        <f t="shared" si="2"/>
        <v>5.3883313934600628E-2</v>
      </c>
      <c r="J23">
        <f t="shared" si="2"/>
        <v>2.6173521024198828E-3</v>
      </c>
      <c r="K23">
        <f t="shared" si="2"/>
        <v>8.0227531835044214E-5</v>
      </c>
      <c r="L23">
        <f t="shared" si="2"/>
        <v>2.4722597576118236E-3</v>
      </c>
      <c r="M23">
        <f t="shared" si="2"/>
        <v>6.4864812973014477E-5</v>
      </c>
      <c r="N23">
        <f t="shared" si="2"/>
        <v>1.2386903319495835E-3</v>
      </c>
      <c r="O23">
        <f t="shared" si="2"/>
        <v>5.1823571627913666E-3</v>
      </c>
    </row>
    <row r="24" spans="3:15" x14ac:dyDescent="0.25">
      <c r="C24">
        <v>2037</v>
      </c>
      <c r="D24">
        <f t="shared" ref="D24:O39" si="3">($D156/($D156+$E156)*(D90*1000000))/($D156*277778)</f>
        <v>30.869947240431362</v>
      </c>
      <c r="E24">
        <f t="shared" si="3"/>
        <v>9.9906374705396022E-3</v>
      </c>
      <c r="F24">
        <f t="shared" si="3"/>
        <v>1.5154337736211759E-3</v>
      </c>
      <c r="G24">
        <f t="shared" si="3"/>
        <v>0</v>
      </c>
      <c r="H24">
        <f t="shared" si="3"/>
        <v>3.1711854892443117E-2</v>
      </c>
      <c r="I24">
        <f t="shared" si="3"/>
        <v>5.4948506087967815E-2</v>
      </c>
      <c r="J24">
        <f t="shared" si="3"/>
        <v>2.6379773096368618E-3</v>
      </c>
      <c r="K24">
        <f t="shared" si="3"/>
        <v>8.2506949897152905E-5</v>
      </c>
      <c r="L24">
        <f t="shared" si="3"/>
        <v>2.4920466499548225E-3</v>
      </c>
      <c r="M24">
        <f t="shared" si="3"/>
        <v>6.3423709784886254E-5</v>
      </c>
      <c r="N24">
        <f t="shared" si="3"/>
        <v>1.2482684120494426E-3</v>
      </c>
      <c r="O24">
        <f t="shared" si="3"/>
        <v>5.144617025559889E-3</v>
      </c>
    </row>
    <row r="25" spans="3:15" x14ac:dyDescent="0.25">
      <c r="C25">
        <v>2038</v>
      </c>
      <c r="D25">
        <f t="shared" si="3"/>
        <v>28.241786359039761</v>
      </c>
      <c r="E25">
        <f t="shared" si="3"/>
        <v>1.0355321664981246E-2</v>
      </c>
      <c r="F25">
        <f t="shared" si="3"/>
        <v>1.5505294471629674E-3</v>
      </c>
      <c r="G25">
        <f t="shared" si="3"/>
        <v>0</v>
      </c>
      <c r="H25">
        <f t="shared" si="3"/>
        <v>3.0456828426415426E-2</v>
      </c>
      <c r="I25">
        <f t="shared" si="3"/>
        <v>5.598518825292001E-2</v>
      </c>
      <c r="J25">
        <f t="shared" si="3"/>
        <v>2.6580504808508018E-3</v>
      </c>
      <c r="K25">
        <f t="shared" si="3"/>
        <v>8.4725359077119302E-5</v>
      </c>
      <c r="L25">
        <f t="shared" si="3"/>
        <v>2.5113039438871636E-3</v>
      </c>
      <c r="M25">
        <f t="shared" si="3"/>
        <v>6.2021177886518701E-5</v>
      </c>
      <c r="N25">
        <f t="shared" si="3"/>
        <v>1.2575901337525356E-3</v>
      </c>
      <c r="O25">
        <f t="shared" si="3"/>
        <v>5.1078870073682902E-3</v>
      </c>
    </row>
    <row r="26" spans="3:15" x14ac:dyDescent="0.25">
      <c r="C26">
        <v>2039</v>
      </c>
      <c r="D26">
        <f t="shared" si="3"/>
        <v>25.683039562857971</v>
      </c>
      <c r="E26">
        <f t="shared" si="3"/>
        <v>1.0710373945362044E-2</v>
      </c>
      <c r="F26">
        <f t="shared" si="3"/>
        <v>1.5846981857933645E-3</v>
      </c>
      <c r="G26">
        <f t="shared" si="3"/>
        <v>0</v>
      </c>
      <c r="H26">
        <f t="shared" si="3"/>
        <v>2.9234949289636197E-2</v>
      </c>
      <c r="I26">
        <f t="shared" si="3"/>
        <v>5.6994489923533766E-2</v>
      </c>
      <c r="J26">
        <f t="shared" si="3"/>
        <v>2.6775934863405119E-3</v>
      </c>
      <c r="K26">
        <f t="shared" si="3"/>
        <v>8.6885176393498243E-5</v>
      </c>
      <c r="L26">
        <f t="shared" si="3"/>
        <v>2.5300526207666469E-3</v>
      </c>
      <c r="M26">
        <f t="shared" si="3"/>
        <v>6.0655689180366707E-5</v>
      </c>
      <c r="N26">
        <f t="shared" si="3"/>
        <v>1.2666656533341443E-3</v>
      </c>
      <c r="O26">
        <f t="shared" si="3"/>
        <v>5.0721270898393131E-3</v>
      </c>
    </row>
    <row r="27" spans="3:15" x14ac:dyDescent="0.25">
      <c r="C27">
        <v>2040</v>
      </c>
      <c r="D27">
        <f t="shared" si="3"/>
        <v>23.190992683160911</v>
      </c>
      <c r="E27">
        <f t="shared" si="3"/>
        <v>1.1056170930344153E-2</v>
      </c>
      <c r="F27">
        <f t="shared" si="3"/>
        <v>1.6179762337089009E-3</v>
      </c>
      <c r="G27">
        <f t="shared" si="3"/>
        <v>0</v>
      </c>
      <c r="H27">
        <f t="shared" si="3"/>
        <v>2.8044921384287613E-2</v>
      </c>
      <c r="I27">
        <f t="shared" si="3"/>
        <v>5.7977481707902283E-2</v>
      </c>
      <c r="J27">
        <f t="shared" si="3"/>
        <v>2.6966270561815013E-3</v>
      </c>
      <c r="K27">
        <f t="shared" si="3"/>
        <v>8.898869285398955E-5</v>
      </c>
      <c r="L27">
        <f t="shared" si="3"/>
        <v>2.5483125680915188E-3</v>
      </c>
      <c r="M27">
        <f t="shared" si="3"/>
        <v>5.9325795235993029E-5</v>
      </c>
      <c r="N27">
        <f t="shared" si="3"/>
        <v>1.27550459757385E-3</v>
      </c>
      <c r="O27">
        <f t="shared" si="3"/>
        <v>5.0372993409470443E-3</v>
      </c>
    </row>
    <row r="28" spans="3:15" x14ac:dyDescent="0.25">
      <c r="C28">
        <v>2041</v>
      </c>
      <c r="D28">
        <f t="shared" si="3"/>
        <v>23.729197168661269</v>
      </c>
      <c r="E28">
        <f t="shared" si="3"/>
        <v>1.1116380655589063E-2</v>
      </c>
      <c r="F28">
        <f t="shared" si="3"/>
        <v>1.603324133017653E-3</v>
      </c>
      <c r="G28">
        <f t="shared" si="3"/>
        <v>0</v>
      </c>
      <c r="H28">
        <f t="shared" si="3"/>
        <v>2.6508292332558532E-2</v>
      </c>
      <c r="I28">
        <f t="shared" si="3"/>
        <v>5.7880001201937273E-2</v>
      </c>
      <c r="J28">
        <f t="shared" si="3"/>
        <v>2.6187627505955004E-3</v>
      </c>
      <c r="K28">
        <f t="shared" si="3"/>
        <v>8.8182827315970929E-5</v>
      </c>
      <c r="L28">
        <f t="shared" si="3"/>
        <v>2.4739291372462388E-3</v>
      </c>
      <c r="M28">
        <f t="shared" si="3"/>
        <v>5.6650786033290412E-5</v>
      </c>
      <c r="N28">
        <f t="shared" si="3"/>
        <v>1.2901414857015383E-3</v>
      </c>
      <c r="O28">
        <f t="shared" si="3"/>
        <v>5.0889507981980312E-3</v>
      </c>
    </row>
    <row r="29" spans="3:15" x14ac:dyDescent="0.25">
      <c r="C29">
        <v>2042</v>
      </c>
      <c r="D29">
        <f t="shared" si="3"/>
        <v>24.257741370620202</v>
      </c>
      <c r="E29">
        <f t="shared" si="3"/>
        <v>1.1175509670744243E-2</v>
      </c>
      <c r="F29">
        <f t="shared" si="3"/>
        <v>1.5889350242764323E-3</v>
      </c>
      <c r="G29">
        <f t="shared" si="3"/>
        <v>0</v>
      </c>
      <c r="H29">
        <f t="shared" si="3"/>
        <v>2.4999244381949205E-2</v>
      </c>
      <c r="I29">
        <f t="shared" si="3"/>
        <v>5.7784270382852922E-2</v>
      </c>
      <c r="J29">
        <f t="shared" si="3"/>
        <v>2.5422960388422917E-3</v>
      </c>
      <c r="K29">
        <f t="shared" si="3"/>
        <v>8.7391426335203784E-5</v>
      </c>
      <c r="L29">
        <f t="shared" si="3"/>
        <v>2.4008808216816895E-3</v>
      </c>
      <c r="M29">
        <f t="shared" si="3"/>
        <v>5.4023790825398698E-5</v>
      </c>
      <c r="N29">
        <f t="shared" si="3"/>
        <v>1.3045156549309511E-3</v>
      </c>
      <c r="O29">
        <f t="shared" si="3"/>
        <v>5.139675158526166E-3</v>
      </c>
    </row>
    <row r="30" spans="3:15" x14ac:dyDescent="0.25">
      <c r="C30">
        <v>2043</v>
      </c>
      <c r="D30">
        <f t="shared" si="3"/>
        <v>24.776883065632656</v>
      </c>
      <c r="E30">
        <f t="shared" si="3"/>
        <v>1.1233586813655485E-2</v>
      </c>
      <c r="F30">
        <f t="shared" si="3"/>
        <v>1.5748018897647875E-3</v>
      </c>
      <c r="G30">
        <f t="shared" si="3"/>
        <v>0</v>
      </c>
      <c r="H30">
        <f t="shared" si="3"/>
        <v>2.3517041553820828E-2</v>
      </c>
      <c r="I30">
        <f t="shared" si="3"/>
        <v>5.7690242561716717E-2</v>
      </c>
      <c r="J30">
        <f t="shared" si="3"/>
        <v>2.4671896272981668E-3</v>
      </c>
      <c r="K30">
        <f t="shared" si="3"/>
        <v>8.6614103937063323E-5</v>
      </c>
      <c r="L30">
        <f t="shared" si="3"/>
        <v>2.3291319949621204E-3</v>
      </c>
      <c r="M30">
        <f t="shared" si="3"/>
        <v>5.1443528398983072E-5</v>
      </c>
      <c r="N30">
        <f t="shared" si="3"/>
        <v>1.3186341156963823E-3</v>
      </c>
      <c r="O30">
        <f t="shared" si="3"/>
        <v>5.1894971607382295E-3</v>
      </c>
    </row>
    <row r="31" spans="3:15" x14ac:dyDescent="0.25">
      <c r="C31">
        <v>2044</v>
      </c>
      <c r="D31">
        <f t="shared" si="3"/>
        <v>25.286870939747359</v>
      </c>
      <c r="E31">
        <f t="shared" si="3"/>
        <v>1.1290639905195844E-2</v>
      </c>
      <c r="F31">
        <f t="shared" si="3"/>
        <v>1.5609179592436643E-3</v>
      </c>
      <c r="G31">
        <f t="shared" si="3"/>
        <v>0</v>
      </c>
      <c r="H31">
        <f t="shared" si="3"/>
        <v>2.2060973823977113E-2</v>
      </c>
      <c r="I31">
        <f t="shared" si="3"/>
        <v>5.7597872696091207E-2</v>
      </c>
      <c r="J31">
        <f t="shared" si="3"/>
        <v>2.3934075375069514E-3</v>
      </c>
      <c r="K31">
        <f t="shared" si="3"/>
        <v>8.5850487758401526E-5</v>
      </c>
      <c r="L31">
        <f t="shared" si="3"/>
        <v>2.2586482870255815E-3</v>
      </c>
      <c r="M31">
        <f t="shared" si="3"/>
        <v>4.8908762722968151E-5</v>
      </c>
      <c r="N31">
        <f t="shared" si="3"/>
        <v>1.332503631207675E-3</v>
      </c>
      <c r="O31">
        <f t="shared" si="3"/>
        <v>5.2384406712217366E-3</v>
      </c>
    </row>
    <row r="32" spans="3:15" x14ac:dyDescent="0.25">
      <c r="C32">
        <v>2045</v>
      </c>
      <c r="D32">
        <f t="shared" si="3"/>
        <v>25.787944985689858</v>
      </c>
      <c r="E32">
        <f t="shared" si="3"/>
        <v>1.1346695793703537E-2</v>
      </c>
      <c r="F32">
        <f t="shared" si="3"/>
        <v>1.5472766991413915E-3</v>
      </c>
      <c r="G32">
        <f t="shared" si="3"/>
        <v>0</v>
      </c>
      <c r="H32">
        <f t="shared" si="3"/>
        <v>2.0630355988551882E-2</v>
      </c>
      <c r="I32">
        <f t="shared" si="3"/>
        <v>5.7507117318088379E-2</v>
      </c>
      <c r="J32">
        <f t="shared" si="3"/>
        <v>2.3209150487120871E-3</v>
      </c>
      <c r="K32">
        <f t="shared" si="3"/>
        <v>8.510021845277652E-5</v>
      </c>
      <c r="L32">
        <f t="shared" si="3"/>
        <v>2.1893965292850686E-3</v>
      </c>
      <c r="M32">
        <f t="shared" si="3"/>
        <v>4.641830097424174E-5</v>
      </c>
      <c r="N32">
        <f t="shared" si="3"/>
        <v>1.3461307282530105E-3</v>
      </c>
      <c r="O32">
        <f t="shared" si="3"/>
        <v>5.2865287220664192E-3</v>
      </c>
    </row>
    <row r="33" spans="3:15" x14ac:dyDescent="0.25">
      <c r="C33">
        <v>2046</v>
      </c>
      <c r="D33">
        <f t="shared" si="3"/>
        <v>23.652936293150049</v>
      </c>
      <c r="E33">
        <f t="shared" si="3"/>
        <v>1.0512416130288912E-2</v>
      </c>
      <c r="F33">
        <f t="shared" si="3"/>
        <v>1.5162138649455162E-3</v>
      </c>
      <c r="G33">
        <f t="shared" si="3"/>
        <v>0</v>
      </c>
      <c r="H33">
        <f t="shared" si="3"/>
        <v>1.875051146315955E-2</v>
      </c>
      <c r="I33">
        <f t="shared" si="3"/>
        <v>5.2814782962268825E-2</v>
      </c>
      <c r="J33">
        <f t="shared" si="3"/>
        <v>2.1732398730885732E-3</v>
      </c>
      <c r="K33">
        <f t="shared" si="3"/>
        <v>7.5810693247275822E-5</v>
      </c>
      <c r="L33">
        <f t="shared" si="3"/>
        <v>2.0564914054877685E-3</v>
      </c>
      <c r="M33">
        <f t="shared" si="3"/>
        <v>4.0937774353528935E-5</v>
      </c>
      <c r="N33">
        <f t="shared" si="3"/>
        <v>1.2776628835274217E-3</v>
      </c>
      <c r="O33">
        <f t="shared" si="3"/>
        <v>4.9519544829120547E-3</v>
      </c>
    </row>
    <row r="34" spans="3:15" x14ac:dyDescent="0.25">
      <c r="C34">
        <v>2047</v>
      </c>
      <c r="D34">
        <f t="shared" si="3"/>
        <v>21.601964551624064</v>
      </c>
      <c r="E34">
        <f t="shared" si="3"/>
        <v>9.7109748901796251E-3</v>
      </c>
      <c r="F34">
        <f t="shared" si="3"/>
        <v>1.4863737076805548E-3</v>
      </c>
      <c r="G34">
        <f t="shared" si="3"/>
        <v>0</v>
      </c>
      <c r="H34">
        <f t="shared" si="3"/>
        <v>1.6944660267558326E-2</v>
      </c>
      <c r="I34">
        <f t="shared" si="3"/>
        <v>4.8307145499618037E-2</v>
      </c>
      <c r="J34">
        <f t="shared" si="3"/>
        <v>2.0313774004967582E-3</v>
      </c>
      <c r="K34">
        <f t="shared" si="3"/>
        <v>6.6886816845624977E-5</v>
      </c>
      <c r="L34">
        <f t="shared" si="3"/>
        <v>1.9288176146667999E-3</v>
      </c>
      <c r="M34">
        <f t="shared" si="3"/>
        <v>3.5672968984333317E-5</v>
      </c>
      <c r="N34">
        <f t="shared" si="3"/>
        <v>1.2118900296622123E-3</v>
      </c>
      <c r="O34">
        <f t="shared" si="3"/>
        <v>4.6305495573274874E-3</v>
      </c>
    </row>
    <row r="35" spans="3:15" x14ac:dyDescent="0.25">
      <c r="C35">
        <v>2048</v>
      </c>
      <c r="D35">
        <f t="shared" si="3"/>
        <v>19.630163807274002</v>
      </c>
      <c r="E35">
        <f t="shared" si="3"/>
        <v>8.9404706448970687E-3</v>
      </c>
      <c r="F35">
        <f t="shared" si="3"/>
        <v>1.4576854312332178E-3</v>
      </c>
      <c r="G35">
        <f t="shared" si="3"/>
        <v>0</v>
      </c>
      <c r="H35">
        <f t="shared" si="3"/>
        <v>1.5208517999199905E-2</v>
      </c>
      <c r="I35">
        <f t="shared" si="3"/>
        <v>4.3973510508868746E-2</v>
      </c>
      <c r="J35">
        <f t="shared" si="3"/>
        <v>1.894991060603183E-3</v>
      </c>
      <c r="K35">
        <f t="shared" si="3"/>
        <v>5.8307417249328725E-5</v>
      </c>
      <c r="L35">
        <f t="shared" si="3"/>
        <v>1.8060722492979568E-3</v>
      </c>
      <c r="M35">
        <f t="shared" si="3"/>
        <v>3.0611394055897574E-5</v>
      </c>
      <c r="N35">
        <f t="shared" si="3"/>
        <v>1.1486561198117758E-3</v>
      </c>
      <c r="O35">
        <f t="shared" si="3"/>
        <v>4.3215514084627461E-3</v>
      </c>
    </row>
    <row r="36" spans="3:15" x14ac:dyDescent="0.25">
      <c r="C36">
        <v>2049</v>
      </c>
      <c r="D36">
        <f t="shared" si="3"/>
        <v>17.733036661028297</v>
      </c>
      <c r="E36">
        <f t="shared" si="3"/>
        <v>8.1991459830560946E-3</v>
      </c>
      <c r="F36">
        <f t="shared" si="3"/>
        <v>1.4300836016958305E-3</v>
      </c>
      <c r="G36">
        <f t="shared" si="3"/>
        <v>0</v>
      </c>
      <c r="H36">
        <f t="shared" si="3"/>
        <v>1.3538124762720529E-2</v>
      </c>
      <c r="I36">
        <f t="shared" si="3"/>
        <v>3.9803993580533964E-2</v>
      </c>
      <c r="J36">
        <f t="shared" si="3"/>
        <v>1.7637697754248575E-3</v>
      </c>
      <c r="K36">
        <f t="shared" si="3"/>
        <v>5.005292605935408E-5</v>
      </c>
      <c r="L36">
        <f t="shared" si="3"/>
        <v>1.6879753445349784E-3</v>
      </c>
      <c r="M36">
        <f t="shared" si="3"/>
        <v>2.5741504830524948E-5</v>
      </c>
      <c r="N36">
        <f t="shared" si="3"/>
        <v>1.0878169263566285E-3</v>
      </c>
      <c r="O36">
        <f t="shared" si="3"/>
        <v>4.0242552551720667E-3</v>
      </c>
    </row>
    <row r="37" spans="3:15" x14ac:dyDescent="0.25">
      <c r="C37">
        <v>2050</v>
      </c>
      <c r="D37">
        <f t="shared" si="3"/>
        <v>15.906420023401994</v>
      </c>
      <c r="E37">
        <f t="shared" si="3"/>
        <v>7.4853741286597612E-3</v>
      </c>
      <c r="F37">
        <f t="shared" si="3"/>
        <v>1.4035076491237053E-3</v>
      </c>
      <c r="G37">
        <f t="shared" si="3"/>
        <v>0</v>
      </c>
      <c r="H37">
        <f t="shared" si="3"/>
        <v>1.1929815017551495E-2</v>
      </c>
      <c r="I37">
        <f t="shared" si="3"/>
        <v>3.5789445052654488E-2</v>
      </c>
      <c r="J37">
        <f t="shared" si="3"/>
        <v>1.637425590644323E-3</v>
      </c>
      <c r="K37">
        <f t="shared" si="3"/>
        <v>4.2105229473711155E-5</v>
      </c>
      <c r="L37">
        <f t="shared" si="3"/>
        <v>1.5742677464337558E-3</v>
      </c>
      <c r="M37">
        <f t="shared" si="3"/>
        <v>2.1052614736855578E-5</v>
      </c>
      <c r="N37">
        <f t="shared" si="3"/>
        <v>1.0292389426907172E-3</v>
      </c>
      <c r="O37">
        <f t="shared" si="3"/>
        <v>3.7380087054994684E-3</v>
      </c>
    </row>
    <row r="38" spans="3:15" x14ac:dyDescent="0.25">
      <c r="C38">
        <v>2051</v>
      </c>
      <c r="D38">
        <f t="shared" si="3"/>
        <v>15.906420023401994</v>
      </c>
      <c r="E38">
        <f t="shared" si="3"/>
        <v>7.4853741286597612E-3</v>
      </c>
      <c r="F38">
        <f t="shared" si="3"/>
        <v>1.4035076491237053E-3</v>
      </c>
      <c r="G38">
        <f t="shared" si="3"/>
        <v>0</v>
      </c>
      <c r="H38">
        <f t="shared" si="3"/>
        <v>1.1929815017551495E-2</v>
      </c>
      <c r="I38">
        <f t="shared" si="3"/>
        <v>3.5789445052654488E-2</v>
      </c>
      <c r="J38">
        <f t="shared" si="3"/>
        <v>1.637425590644323E-3</v>
      </c>
      <c r="K38">
        <f t="shared" si="3"/>
        <v>4.2105229473711155E-5</v>
      </c>
      <c r="L38">
        <f t="shared" si="3"/>
        <v>1.5742677464337558E-3</v>
      </c>
      <c r="M38">
        <f t="shared" si="3"/>
        <v>2.1052614736855578E-5</v>
      </c>
      <c r="N38">
        <f t="shared" si="3"/>
        <v>1.0292389426907172E-3</v>
      </c>
      <c r="O38">
        <f t="shared" si="3"/>
        <v>3.7380087054994684E-3</v>
      </c>
    </row>
    <row r="39" spans="3:15" x14ac:dyDescent="0.25">
      <c r="C39">
        <v>2052</v>
      </c>
      <c r="D39">
        <f t="shared" si="3"/>
        <v>15.906420023401994</v>
      </c>
      <c r="E39">
        <f t="shared" si="3"/>
        <v>7.4853741286597612E-3</v>
      </c>
      <c r="F39">
        <f t="shared" si="3"/>
        <v>1.4035076491237053E-3</v>
      </c>
      <c r="G39">
        <f t="shared" si="3"/>
        <v>0</v>
      </c>
      <c r="H39">
        <f t="shared" si="3"/>
        <v>1.1929815017551495E-2</v>
      </c>
      <c r="I39">
        <f t="shared" si="3"/>
        <v>3.5789445052654488E-2</v>
      </c>
      <c r="J39">
        <f t="shared" si="3"/>
        <v>1.637425590644323E-3</v>
      </c>
      <c r="K39">
        <f t="shared" si="3"/>
        <v>4.2105229473711155E-5</v>
      </c>
      <c r="L39">
        <f t="shared" si="3"/>
        <v>1.5742677464337558E-3</v>
      </c>
      <c r="M39">
        <f t="shared" si="3"/>
        <v>2.1052614736855578E-5</v>
      </c>
      <c r="N39">
        <f t="shared" si="3"/>
        <v>1.0292389426907172E-3</v>
      </c>
      <c r="O39">
        <f t="shared" si="3"/>
        <v>3.7380087054994684E-3</v>
      </c>
    </row>
    <row r="40" spans="3:15" x14ac:dyDescent="0.25">
      <c r="C40">
        <v>2053</v>
      </c>
      <c r="D40">
        <f t="shared" ref="D40:O55" si="4">($D172/($D172+$E172)*(D106*1000000))/($D172*277778)</f>
        <v>15.906420023401994</v>
      </c>
      <c r="E40">
        <f t="shared" si="4"/>
        <v>7.4853741286597612E-3</v>
      </c>
      <c r="F40">
        <f t="shared" si="4"/>
        <v>1.4035076491237053E-3</v>
      </c>
      <c r="G40">
        <f t="shared" si="4"/>
        <v>0</v>
      </c>
      <c r="H40">
        <f t="shared" si="4"/>
        <v>1.1929815017551495E-2</v>
      </c>
      <c r="I40">
        <f t="shared" si="4"/>
        <v>3.5789445052654488E-2</v>
      </c>
      <c r="J40">
        <f t="shared" si="4"/>
        <v>1.637425590644323E-3</v>
      </c>
      <c r="K40">
        <f t="shared" si="4"/>
        <v>4.2105229473711155E-5</v>
      </c>
      <c r="L40">
        <f t="shared" si="4"/>
        <v>1.5742677464337558E-3</v>
      </c>
      <c r="M40">
        <f t="shared" si="4"/>
        <v>2.1052614736855578E-5</v>
      </c>
      <c r="N40">
        <f t="shared" si="4"/>
        <v>1.0292389426907172E-3</v>
      </c>
      <c r="O40">
        <f t="shared" si="4"/>
        <v>3.7380087054994684E-3</v>
      </c>
    </row>
    <row r="41" spans="3:15" x14ac:dyDescent="0.25">
      <c r="C41">
        <v>2054</v>
      </c>
      <c r="D41">
        <f t="shared" si="4"/>
        <v>15.906420023401994</v>
      </c>
      <c r="E41">
        <f t="shared" si="4"/>
        <v>7.4853741286597612E-3</v>
      </c>
      <c r="F41">
        <f t="shared" si="4"/>
        <v>1.4035076491237053E-3</v>
      </c>
      <c r="G41">
        <f t="shared" si="4"/>
        <v>0</v>
      </c>
      <c r="H41">
        <f t="shared" si="4"/>
        <v>1.1929815017551495E-2</v>
      </c>
      <c r="I41">
        <f t="shared" si="4"/>
        <v>3.5789445052654488E-2</v>
      </c>
      <c r="J41">
        <f t="shared" si="4"/>
        <v>1.637425590644323E-3</v>
      </c>
      <c r="K41">
        <f t="shared" si="4"/>
        <v>4.2105229473711155E-5</v>
      </c>
      <c r="L41">
        <f t="shared" si="4"/>
        <v>1.5742677464337558E-3</v>
      </c>
      <c r="M41">
        <f t="shared" si="4"/>
        <v>2.1052614736855578E-5</v>
      </c>
      <c r="N41">
        <f t="shared" si="4"/>
        <v>1.0292389426907172E-3</v>
      </c>
      <c r="O41">
        <f t="shared" si="4"/>
        <v>3.7380087054994684E-3</v>
      </c>
    </row>
    <row r="42" spans="3:15" x14ac:dyDescent="0.25">
      <c r="C42">
        <v>2055</v>
      </c>
      <c r="D42">
        <f t="shared" si="4"/>
        <v>15.906420023401994</v>
      </c>
      <c r="E42">
        <f t="shared" si="4"/>
        <v>7.4853741286597612E-3</v>
      </c>
      <c r="F42">
        <f t="shared" si="4"/>
        <v>1.4035076491237053E-3</v>
      </c>
      <c r="G42">
        <f t="shared" si="4"/>
        <v>0</v>
      </c>
      <c r="H42">
        <f t="shared" si="4"/>
        <v>1.1929815017551495E-2</v>
      </c>
      <c r="I42">
        <f t="shared" si="4"/>
        <v>3.5789445052654488E-2</v>
      </c>
      <c r="J42">
        <f t="shared" si="4"/>
        <v>1.637425590644323E-3</v>
      </c>
      <c r="K42">
        <f t="shared" si="4"/>
        <v>4.2105229473711155E-5</v>
      </c>
      <c r="L42">
        <f t="shared" si="4"/>
        <v>1.5742677464337558E-3</v>
      </c>
      <c r="M42">
        <f t="shared" si="4"/>
        <v>2.1052614736855578E-5</v>
      </c>
      <c r="N42">
        <f t="shared" si="4"/>
        <v>1.0292389426907172E-3</v>
      </c>
      <c r="O42">
        <f t="shared" si="4"/>
        <v>3.7380087054994684E-3</v>
      </c>
    </row>
    <row r="43" spans="3:15" x14ac:dyDescent="0.25">
      <c r="C43">
        <v>2056</v>
      </c>
      <c r="D43">
        <f t="shared" si="4"/>
        <v>15.906420023401994</v>
      </c>
      <c r="E43">
        <f t="shared" si="4"/>
        <v>7.4853741286597612E-3</v>
      </c>
      <c r="F43">
        <f t="shared" si="4"/>
        <v>1.4035076491237053E-3</v>
      </c>
      <c r="G43">
        <f t="shared" si="4"/>
        <v>0</v>
      </c>
      <c r="H43">
        <f t="shared" si="4"/>
        <v>1.1929815017551495E-2</v>
      </c>
      <c r="I43">
        <f t="shared" si="4"/>
        <v>3.5789445052654488E-2</v>
      </c>
      <c r="J43">
        <f t="shared" si="4"/>
        <v>1.637425590644323E-3</v>
      </c>
      <c r="K43">
        <f t="shared" si="4"/>
        <v>4.2105229473711155E-5</v>
      </c>
      <c r="L43">
        <f t="shared" si="4"/>
        <v>1.5742677464337558E-3</v>
      </c>
      <c r="M43">
        <f t="shared" si="4"/>
        <v>2.1052614736855578E-5</v>
      </c>
      <c r="N43">
        <f t="shared" si="4"/>
        <v>1.0292389426907172E-3</v>
      </c>
      <c r="O43">
        <f t="shared" si="4"/>
        <v>3.7380087054994684E-3</v>
      </c>
    </row>
    <row r="44" spans="3:15" x14ac:dyDescent="0.25">
      <c r="C44">
        <v>2057</v>
      </c>
      <c r="D44">
        <f t="shared" si="4"/>
        <v>15.906420023401994</v>
      </c>
      <c r="E44">
        <f t="shared" si="4"/>
        <v>7.4853741286597612E-3</v>
      </c>
      <c r="F44">
        <f t="shared" si="4"/>
        <v>1.4035076491237053E-3</v>
      </c>
      <c r="G44">
        <f t="shared" si="4"/>
        <v>0</v>
      </c>
      <c r="H44">
        <f t="shared" si="4"/>
        <v>1.1929815017551495E-2</v>
      </c>
      <c r="I44">
        <f t="shared" si="4"/>
        <v>3.5789445052654488E-2</v>
      </c>
      <c r="J44">
        <f t="shared" si="4"/>
        <v>1.637425590644323E-3</v>
      </c>
      <c r="K44">
        <f t="shared" si="4"/>
        <v>4.2105229473711155E-5</v>
      </c>
      <c r="L44">
        <f t="shared" si="4"/>
        <v>1.5742677464337558E-3</v>
      </c>
      <c r="M44">
        <f t="shared" si="4"/>
        <v>2.1052614736855578E-5</v>
      </c>
      <c r="N44">
        <f t="shared" si="4"/>
        <v>1.0292389426907172E-3</v>
      </c>
      <c r="O44">
        <f t="shared" si="4"/>
        <v>3.7380087054994684E-3</v>
      </c>
    </row>
    <row r="45" spans="3:15" x14ac:dyDescent="0.25">
      <c r="C45">
        <v>2058</v>
      </c>
      <c r="D45">
        <f t="shared" si="4"/>
        <v>15.906420023401994</v>
      </c>
      <c r="E45">
        <f t="shared" si="4"/>
        <v>7.4853741286597612E-3</v>
      </c>
      <c r="F45">
        <f t="shared" si="4"/>
        <v>1.4035076491237053E-3</v>
      </c>
      <c r="G45">
        <f t="shared" si="4"/>
        <v>0</v>
      </c>
      <c r="H45">
        <f t="shared" si="4"/>
        <v>1.1929815017551495E-2</v>
      </c>
      <c r="I45">
        <f t="shared" si="4"/>
        <v>3.5789445052654488E-2</v>
      </c>
      <c r="J45">
        <f t="shared" si="4"/>
        <v>1.637425590644323E-3</v>
      </c>
      <c r="K45">
        <f t="shared" si="4"/>
        <v>4.2105229473711155E-5</v>
      </c>
      <c r="L45">
        <f t="shared" si="4"/>
        <v>1.5742677464337558E-3</v>
      </c>
      <c r="M45">
        <f t="shared" si="4"/>
        <v>2.1052614736855578E-5</v>
      </c>
      <c r="N45">
        <f t="shared" si="4"/>
        <v>1.0292389426907172E-3</v>
      </c>
      <c r="O45">
        <f t="shared" si="4"/>
        <v>3.7380087054994684E-3</v>
      </c>
    </row>
    <row r="46" spans="3:15" x14ac:dyDescent="0.25">
      <c r="C46">
        <v>2059</v>
      </c>
      <c r="D46">
        <f t="shared" si="4"/>
        <v>15.906420023401994</v>
      </c>
      <c r="E46">
        <f t="shared" si="4"/>
        <v>7.4853741286597612E-3</v>
      </c>
      <c r="F46">
        <f t="shared" si="4"/>
        <v>1.4035076491237053E-3</v>
      </c>
      <c r="G46">
        <f t="shared" si="4"/>
        <v>0</v>
      </c>
      <c r="H46">
        <f t="shared" si="4"/>
        <v>1.1929815017551495E-2</v>
      </c>
      <c r="I46">
        <f t="shared" si="4"/>
        <v>3.5789445052654488E-2</v>
      </c>
      <c r="J46">
        <f t="shared" si="4"/>
        <v>1.637425590644323E-3</v>
      </c>
      <c r="K46">
        <f t="shared" si="4"/>
        <v>4.2105229473711155E-5</v>
      </c>
      <c r="L46">
        <f t="shared" si="4"/>
        <v>1.5742677464337558E-3</v>
      </c>
      <c r="M46">
        <f t="shared" si="4"/>
        <v>2.1052614736855578E-5</v>
      </c>
      <c r="N46">
        <f t="shared" si="4"/>
        <v>1.0292389426907172E-3</v>
      </c>
      <c r="O46">
        <f t="shared" si="4"/>
        <v>3.7380087054994684E-3</v>
      </c>
    </row>
    <row r="47" spans="3:15" x14ac:dyDescent="0.25">
      <c r="C47">
        <v>2060</v>
      </c>
      <c r="D47">
        <f t="shared" si="4"/>
        <v>15.906420023401994</v>
      </c>
      <c r="E47">
        <f t="shared" si="4"/>
        <v>7.4853741286597612E-3</v>
      </c>
      <c r="F47">
        <f t="shared" si="4"/>
        <v>1.4035076491237053E-3</v>
      </c>
      <c r="G47">
        <f t="shared" si="4"/>
        <v>0</v>
      </c>
      <c r="H47">
        <f t="shared" si="4"/>
        <v>1.1929815017551495E-2</v>
      </c>
      <c r="I47">
        <f t="shared" si="4"/>
        <v>3.5789445052654488E-2</v>
      </c>
      <c r="J47">
        <f t="shared" si="4"/>
        <v>1.637425590644323E-3</v>
      </c>
      <c r="K47">
        <f t="shared" si="4"/>
        <v>4.2105229473711155E-5</v>
      </c>
      <c r="L47">
        <f t="shared" si="4"/>
        <v>1.5742677464337558E-3</v>
      </c>
      <c r="M47">
        <f t="shared" si="4"/>
        <v>2.1052614736855578E-5</v>
      </c>
      <c r="N47">
        <f t="shared" si="4"/>
        <v>1.0292389426907172E-3</v>
      </c>
      <c r="O47">
        <f t="shared" si="4"/>
        <v>3.7380087054994684E-3</v>
      </c>
    </row>
    <row r="48" spans="3:15" x14ac:dyDescent="0.25">
      <c r="C48">
        <v>2061</v>
      </c>
      <c r="D48">
        <f t="shared" si="4"/>
        <v>15.906420023401994</v>
      </c>
      <c r="E48">
        <f t="shared" si="4"/>
        <v>7.4853741286597612E-3</v>
      </c>
      <c r="F48">
        <f t="shared" si="4"/>
        <v>1.4035076491237053E-3</v>
      </c>
      <c r="G48">
        <f t="shared" si="4"/>
        <v>0</v>
      </c>
      <c r="H48">
        <f t="shared" si="4"/>
        <v>1.1929815017551495E-2</v>
      </c>
      <c r="I48">
        <f t="shared" si="4"/>
        <v>3.5789445052654488E-2</v>
      </c>
      <c r="J48">
        <f t="shared" si="4"/>
        <v>1.637425590644323E-3</v>
      </c>
      <c r="K48">
        <f t="shared" si="4"/>
        <v>4.2105229473711155E-5</v>
      </c>
      <c r="L48">
        <f t="shared" si="4"/>
        <v>1.5742677464337558E-3</v>
      </c>
      <c r="M48">
        <f t="shared" si="4"/>
        <v>2.1052614736855578E-5</v>
      </c>
      <c r="N48">
        <f t="shared" si="4"/>
        <v>1.0292389426907172E-3</v>
      </c>
      <c r="O48">
        <f t="shared" si="4"/>
        <v>3.7380087054994684E-3</v>
      </c>
    </row>
    <row r="49" spans="3:15" x14ac:dyDescent="0.25">
      <c r="C49">
        <v>2062</v>
      </c>
      <c r="D49">
        <f t="shared" si="4"/>
        <v>15.906420023401994</v>
      </c>
      <c r="E49">
        <f t="shared" si="4"/>
        <v>7.4853741286597612E-3</v>
      </c>
      <c r="F49">
        <f t="shared" si="4"/>
        <v>1.4035076491237053E-3</v>
      </c>
      <c r="G49">
        <f t="shared" si="4"/>
        <v>0</v>
      </c>
      <c r="H49">
        <f t="shared" si="4"/>
        <v>1.1929815017551495E-2</v>
      </c>
      <c r="I49">
        <f t="shared" si="4"/>
        <v>3.5789445052654488E-2</v>
      </c>
      <c r="J49">
        <f t="shared" si="4"/>
        <v>1.637425590644323E-3</v>
      </c>
      <c r="K49">
        <f t="shared" si="4"/>
        <v>4.2105229473711155E-5</v>
      </c>
      <c r="L49">
        <f t="shared" si="4"/>
        <v>1.5742677464337558E-3</v>
      </c>
      <c r="M49">
        <f t="shared" si="4"/>
        <v>2.1052614736855578E-5</v>
      </c>
      <c r="N49">
        <f t="shared" si="4"/>
        <v>1.0292389426907172E-3</v>
      </c>
      <c r="O49">
        <f t="shared" si="4"/>
        <v>3.7380087054994684E-3</v>
      </c>
    </row>
    <row r="50" spans="3:15" x14ac:dyDescent="0.25">
      <c r="C50">
        <v>2063</v>
      </c>
      <c r="D50">
        <f t="shared" si="4"/>
        <v>15.906420023401994</v>
      </c>
      <c r="E50">
        <f t="shared" si="4"/>
        <v>7.4853741286597612E-3</v>
      </c>
      <c r="F50">
        <f t="shared" si="4"/>
        <v>1.4035076491237053E-3</v>
      </c>
      <c r="G50">
        <f t="shared" si="4"/>
        <v>0</v>
      </c>
      <c r="H50">
        <f t="shared" si="4"/>
        <v>1.1929815017551495E-2</v>
      </c>
      <c r="I50">
        <f t="shared" si="4"/>
        <v>3.5789445052654488E-2</v>
      </c>
      <c r="J50">
        <f t="shared" si="4"/>
        <v>1.637425590644323E-3</v>
      </c>
      <c r="K50">
        <f t="shared" si="4"/>
        <v>4.2105229473711155E-5</v>
      </c>
      <c r="L50">
        <f t="shared" si="4"/>
        <v>1.5742677464337558E-3</v>
      </c>
      <c r="M50">
        <f t="shared" si="4"/>
        <v>2.1052614736855578E-5</v>
      </c>
      <c r="N50">
        <f t="shared" si="4"/>
        <v>1.0292389426907172E-3</v>
      </c>
      <c r="O50">
        <f t="shared" si="4"/>
        <v>3.7380087054994684E-3</v>
      </c>
    </row>
    <row r="51" spans="3:15" x14ac:dyDescent="0.25">
      <c r="C51">
        <v>2064</v>
      </c>
      <c r="D51">
        <f t="shared" si="4"/>
        <v>15.906420023401994</v>
      </c>
      <c r="E51">
        <f t="shared" si="4"/>
        <v>7.4853741286597612E-3</v>
      </c>
      <c r="F51">
        <f t="shared" si="4"/>
        <v>1.4035076491237053E-3</v>
      </c>
      <c r="G51">
        <f t="shared" si="4"/>
        <v>0</v>
      </c>
      <c r="H51">
        <f t="shared" si="4"/>
        <v>1.1929815017551495E-2</v>
      </c>
      <c r="I51">
        <f t="shared" si="4"/>
        <v>3.5789445052654488E-2</v>
      </c>
      <c r="J51">
        <f t="shared" si="4"/>
        <v>1.637425590644323E-3</v>
      </c>
      <c r="K51">
        <f t="shared" si="4"/>
        <v>4.2105229473711155E-5</v>
      </c>
      <c r="L51">
        <f t="shared" si="4"/>
        <v>1.5742677464337558E-3</v>
      </c>
      <c r="M51">
        <f t="shared" si="4"/>
        <v>2.1052614736855578E-5</v>
      </c>
      <c r="N51">
        <f t="shared" si="4"/>
        <v>1.0292389426907172E-3</v>
      </c>
      <c r="O51">
        <f t="shared" si="4"/>
        <v>3.7380087054994684E-3</v>
      </c>
    </row>
    <row r="52" spans="3:15" x14ac:dyDescent="0.25">
      <c r="C52">
        <v>2065</v>
      </c>
      <c r="D52">
        <f t="shared" si="4"/>
        <v>15.906420023401994</v>
      </c>
      <c r="E52">
        <f t="shared" si="4"/>
        <v>7.4853741286597612E-3</v>
      </c>
      <c r="F52">
        <f t="shared" si="4"/>
        <v>1.4035076491237053E-3</v>
      </c>
      <c r="G52">
        <f t="shared" si="4"/>
        <v>0</v>
      </c>
      <c r="H52">
        <f t="shared" si="4"/>
        <v>1.1929815017551495E-2</v>
      </c>
      <c r="I52">
        <f t="shared" si="4"/>
        <v>3.5789445052654488E-2</v>
      </c>
      <c r="J52">
        <f t="shared" si="4"/>
        <v>1.637425590644323E-3</v>
      </c>
      <c r="K52">
        <f t="shared" si="4"/>
        <v>4.2105229473711155E-5</v>
      </c>
      <c r="L52">
        <f t="shared" si="4"/>
        <v>1.5742677464337558E-3</v>
      </c>
      <c r="M52">
        <f t="shared" si="4"/>
        <v>2.1052614736855578E-5</v>
      </c>
      <c r="N52">
        <f t="shared" si="4"/>
        <v>1.0292389426907172E-3</v>
      </c>
      <c r="O52">
        <f t="shared" si="4"/>
        <v>3.7380087054994684E-3</v>
      </c>
    </row>
    <row r="53" spans="3:15" x14ac:dyDescent="0.25">
      <c r="C53">
        <v>2066</v>
      </c>
      <c r="D53">
        <f t="shared" si="4"/>
        <v>15.906420023401994</v>
      </c>
      <c r="E53">
        <f t="shared" si="4"/>
        <v>7.4853741286597612E-3</v>
      </c>
      <c r="F53">
        <f t="shared" si="4"/>
        <v>1.4035076491237053E-3</v>
      </c>
      <c r="G53">
        <f t="shared" si="4"/>
        <v>0</v>
      </c>
      <c r="H53">
        <f t="shared" si="4"/>
        <v>1.1929815017551495E-2</v>
      </c>
      <c r="I53">
        <f t="shared" si="4"/>
        <v>3.5789445052654488E-2</v>
      </c>
      <c r="J53">
        <f t="shared" si="4"/>
        <v>1.637425590644323E-3</v>
      </c>
      <c r="K53">
        <f t="shared" si="4"/>
        <v>4.2105229473711155E-5</v>
      </c>
      <c r="L53">
        <f t="shared" si="4"/>
        <v>1.5742677464337558E-3</v>
      </c>
      <c r="M53">
        <f t="shared" si="4"/>
        <v>2.1052614736855578E-5</v>
      </c>
      <c r="N53">
        <f t="shared" si="4"/>
        <v>1.0292389426907172E-3</v>
      </c>
      <c r="O53">
        <f t="shared" si="4"/>
        <v>3.7380087054994684E-3</v>
      </c>
    </row>
    <row r="54" spans="3:15" x14ac:dyDescent="0.25">
      <c r="C54">
        <v>2067</v>
      </c>
      <c r="D54">
        <f t="shared" si="4"/>
        <v>15.906420023401994</v>
      </c>
      <c r="E54">
        <f t="shared" si="4"/>
        <v>7.4853741286597612E-3</v>
      </c>
      <c r="F54">
        <f t="shared" si="4"/>
        <v>1.4035076491237053E-3</v>
      </c>
      <c r="G54">
        <f t="shared" si="4"/>
        <v>0</v>
      </c>
      <c r="H54">
        <f t="shared" si="4"/>
        <v>1.1929815017551495E-2</v>
      </c>
      <c r="I54">
        <f t="shared" si="4"/>
        <v>3.5789445052654488E-2</v>
      </c>
      <c r="J54">
        <f t="shared" si="4"/>
        <v>1.637425590644323E-3</v>
      </c>
      <c r="K54">
        <f t="shared" si="4"/>
        <v>4.2105229473711155E-5</v>
      </c>
      <c r="L54">
        <f t="shared" si="4"/>
        <v>1.5742677464337558E-3</v>
      </c>
      <c r="M54">
        <f t="shared" si="4"/>
        <v>2.1052614736855578E-5</v>
      </c>
      <c r="N54">
        <f t="shared" si="4"/>
        <v>1.0292389426907172E-3</v>
      </c>
      <c r="O54">
        <f t="shared" si="4"/>
        <v>3.7380087054994684E-3</v>
      </c>
    </row>
    <row r="55" spans="3:15" x14ac:dyDescent="0.25">
      <c r="C55">
        <v>2068</v>
      </c>
      <c r="D55">
        <f t="shared" si="4"/>
        <v>15.906420023401994</v>
      </c>
      <c r="E55">
        <f t="shared" si="4"/>
        <v>7.4853741286597612E-3</v>
      </c>
      <c r="F55">
        <f t="shared" si="4"/>
        <v>1.4035076491237053E-3</v>
      </c>
      <c r="G55">
        <f t="shared" si="4"/>
        <v>0</v>
      </c>
      <c r="H55">
        <f t="shared" si="4"/>
        <v>1.1929815017551495E-2</v>
      </c>
      <c r="I55">
        <f t="shared" si="4"/>
        <v>3.5789445052654488E-2</v>
      </c>
      <c r="J55">
        <f t="shared" si="4"/>
        <v>1.637425590644323E-3</v>
      </c>
      <c r="K55">
        <f t="shared" si="4"/>
        <v>4.2105229473711155E-5</v>
      </c>
      <c r="L55">
        <f t="shared" si="4"/>
        <v>1.5742677464337558E-3</v>
      </c>
      <c r="M55">
        <f t="shared" si="4"/>
        <v>2.1052614736855578E-5</v>
      </c>
      <c r="N55">
        <f t="shared" si="4"/>
        <v>1.0292389426907172E-3</v>
      </c>
      <c r="O55">
        <f t="shared" si="4"/>
        <v>3.7380087054994684E-3</v>
      </c>
    </row>
    <row r="56" spans="3:15" x14ac:dyDescent="0.25">
      <c r="C56">
        <v>2069</v>
      </c>
      <c r="D56">
        <f t="shared" ref="D56:O56" si="5">($D188/($D188+$E188)*(D122*1000000))/($D188*277778)</f>
        <v>15.906420023401994</v>
      </c>
      <c r="E56">
        <f t="shared" si="5"/>
        <v>7.4853741286597612E-3</v>
      </c>
      <c r="F56">
        <f t="shared" si="5"/>
        <v>1.4035076491237053E-3</v>
      </c>
      <c r="G56">
        <f t="shared" si="5"/>
        <v>0</v>
      </c>
      <c r="H56">
        <f t="shared" si="5"/>
        <v>1.1929815017551495E-2</v>
      </c>
      <c r="I56">
        <f t="shared" si="5"/>
        <v>3.5789445052654488E-2</v>
      </c>
      <c r="J56">
        <f t="shared" si="5"/>
        <v>1.637425590644323E-3</v>
      </c>
      <c r="K56">
        <f t="shared" si="5"/>
        <v>4.2105229473711155E-5</v>
      </c>
      <c r="L56">
        <f t="shared" si="5"/>
        <v>1.5742677464337558E-3</v>
      </c>
      <c r="M56">
        <f t="shared" si="5"/>
        <v>2.1052614736855578E-5</v>
      </c>
      <c r="N56">
        <f t="shared" si="5"/>
        <v>1.0292389426907172E-3</v>
      </c>
      <c r="O56">
        <f t="shared" si="5"/>
        <v>3.7380087054994684E-3</v>
      </c>
    </row>
    <row r="70" spans="3:20" x14ac:dyDescent="0.25">
      <c r="C70" t="s">
        <v>8</v>
      </c>
      <c r="D70" s="1" t="s">
        <v>130</v>
      </c>
      <c r="E70" s="1"/>
      <c r="F70" s="1"/>
      <c r="G70" s="1"/>
      <c r="H70" s="1"/>
      <c r="I70" s="1"/>
      <c r="J70" s="1"/>
      <c r="K70" s="1"/>
      <c r="L70" s="1"/>
      <c r="M70" s="1"/>
      <c r="P70" s="1"/>
      <c r="Q70" s="1"/>
      <c r="R70" s="1"/>
      <c r="S70" s="1"/>
      <c r="T70" s="1"/>
    </row>
    <row r="71" spans="3:20" ht="30" x14ac:dyDescent="0.25">
      <c r="D71" s="1" t="s">
        <v>131</v>
      </c>
      <c r="E71" s="1" t="s">
        <v>132</v>
      </c>
      <c r="F71" s="1" t="s">
        <v>133</v>
      </c>
      <c r="G71" s="1" t="s">
        <v>134</v>
      </c>
      <c r="H71" s="1" t="s">
        <v>135</v>
      </c>
      <c r="I71" s="1" t="s">
        <v>136</v>
      </c>
      <c r="J71" s="1" t="s">
        <v>137</v>
      </c>
      <c r="K71" s="1" t="s">
        <v>138</v>
      </c>
      <c r="L71" s="1" t="s">
        <v>139</v>
      </c>
      <c r="M71" s="1" t="s">
        <v>140</v>
      </c>
      <c r="N71" s="1" t="s">
        <v>141</v>
      </c>
      <c r="O71" s="1" t="s">
        <v>142</v>
      </c>
      <c r="P71" s="1" t="s">
        <v>143</v>
      </c>
      <c r="Q71" s="1" t="s">
        <v>144</v>
      </c>
      <c r="R71" s="1" t="s">
        <v>145</v>
      </c>
      <c r="S71" s="1" t="s">
        <v>146</v>
      </c>
      <c r="T71" s="1" t="s">
        <v>147</v>
      </c>
    </row>
    <row r="72" spans="3:20" x14ac:dyDescent="0.25">
      <c r="C72" t="s">
        <v>2</v>
      </c>
    </row>
    <row r="73" spans="3:20" x14ac:dyDescent="0.25">
      <c r="C73">
        <v>2020</v>
      </c>
      <c r="D73">
        <v>88900</v>
      </c>
      <c r="E73">
        <v>10.7</v>
      </c>
      <c r="F73">
        <v>1.3</v>
      </c>
      <c r="H73">
        <v>72.3</v>
      </c>
      <c r="I73">
        <v>76.8</v>
      </c>
      <c r="J73">
        <v>2.4</v>
      </c>
      <c r="K73">
        <v>5.8000000000000003E-2</v>
      </c>
      <c r="L73">
        <f>J73-K73-M73</f>
        <v>2.3170000000000002</v>
      </c>
      <c r="M73">
        <v>2.5000000000000001E-2</v>
      </c>
      <c r="N73">
        <v>1.095</v>
      </c>
      <c r="O73">
        <v>5.33</v>
      </c>
    </row>
    <row r="74" spans="3:20" x14ac:dyDescent="0.25">
      <c r="C74">
        <v>2021</v>
      </c>
      <c r="D74" s="25">
        <f>D73+((D78-D73)/5)</f>
        <v>81420</v>
      </c>
      <c r="E74" s="25">
        <f>E73+((E78-E73)/5)</f>
        <v>9.6199999999999992</v>
      </c>
      <c r="F74" s="25">
        <f>F73+((F78-F73)/5)</f>
        <v>1.24</v>
      </c>
      <c r="H74" s="25">
        <f>H73+((H78-H73)/5)</f>
        <v>64.739999999999995</v>
      </c>
      <c r="I74" s="25">
        <f>I73+((I78-I73)/5)</f>
        <v>71.099999999999994</v>
      </c>
      <c r="J74" s="25">
        <f>J73+((J78-J73)/5)</f>
        <v>2.2799999999999998</v>
      </c>
      <c r="K74" s="25">
        <f>K73+((K78-K73)/5)</f>
        <v>5.3800000000000001E-2</v>
      </c>
      <c r="L74" s="25">
        <f>J74-K74-M74</f>
        <v>2.2021999999999999</v>
      </c>
      <c r="M74" s="25">
        <f>M73+((M78-M73)/5)</f>
        <v>2.4E-2</v>
      </c>
      <c r="N74" s="25">
        <f>N73+((N78-N73)/5)</f>
        <v>1.0304</v>
      </c>
      <c r="O74" s="25">
        <f>O73+((O78-O73)/5)</f>
        <v>5.0068000000000001</v>
      </c>
    </row>
    <row r="75" spans="3:20" x14ac:dyDescent="0.25">
      <c r="C75">
        <v>2022</v>
      </c>
      <c r="D75" s="25">
        <f>D74+((D78-D73)/5)</f>
        <v>73940</v>
      </c>
      <c r="E75" s="25">
        <f>E74+((E78-E73)/5)</f>
        <v>8.5399999999999991</v>
      </c>
      <c r="F75" s="25">
        <f>F74+((F78-F73)/5)</f>
        <v>1.18</v>
      </c>
      <c r="H75" s="25">
        <f>H74+((H78-H73)/5)</f>
        <v>57.179999999999993</v>
      </c>
      <c r="I75" s="25">
        <f>I74+((I78-I73)/5)</f>
        <v>65.399999999999991</v>
      </c>
      <c r="J75" s="25">
        <f>J74+((J78-J73)/5)</f>
        <v>2.1599999999999997</v>
      </c>
      <c r="K75" s="25">
        <f>K74+((K78-K73)/5)</f>
        <v>4.9599999999999998E-2</v>
      </c>
      <c r="L75" s="25">
        <f>J75-K75-M75</f>
        <v>2.0873999999999997</v>
      </c>
      <c r="M75" s="25">
        <f>M74+((M78-M73)/5)</f>
        <v>2.3E-2</v>
      </c>
      <c r="N75" s="25">
        <f>N74+((N78-N73)/5)</f>
        <v>0.96579999999999999</v>
      </c>
      <c r="O75" s="25">
        <f>O74+((O78-O73)/5)</f>
        <v>4.6836000000000002</v>
      </c>
    </row>
    <row r="76" spans="3:20" x14ac:dyDescent="0.25">
      <c r="C76">
        <v>2023</v>
      </c>
      <c r="D76" s="25">
        <f>D75+((D78-D73)/5)</f>
        <v>66460</v>
      </c>
      <c r="E76" s="25">
        <f>E75+((E78-E73)/5)</f>
        <v>7.4599999999999991</v>
      </c>
      <c r="F76" s="25">
        <f>F75+((F78-F73)/5)</f>
        <v>1.1199999999999999</v>
      </c>
      <c r="H76" s="25">
        <f>H75+((H78-H73)/5)</f>
        <v>49.61999999999999</v>
      </c>
      <c r="I76" s="25">
        <f>I75+((I78-I73)/5)</f>
        <v>59.699999999999989</v>
      </c>
      <c r="J76" s="25">
        <f>J75+((J78-J73)/5)</f>
        <v>2.0399999999999996</v>
      </c>
      <c r="K76" s="25">
        <f>K75+((K78-K73)/5)</f>
        <v>4.5399999999999996E-2</v>
      </c>
      <c r="L76" s="25">
        <f>J76-K76-M76</f>
        <v>1.9725999999999997</v>
      </c>
      <c r="M76" s="25">
        <f>M75+((M78-M73)/5)</f>
        <v>2.1999999999999999E-2</v>
      </c>
      <c r="N76" s="25">
        <f>N75+((N78-N73)/5)</f>
        <v>0.9012</v>
      </c>
      <c r="O76" s="25">
        <f>O75+((O78-O73)/5)</f>
        <v>4.3604000000000003</v>
      </c>
    </row>
    <row r="77" spans="3:20" x14ac:dyDescent="0.25">
      <c r="C77">
        <v>2024</v>
      </c>
      <c r="D77" s="25">
        <f>D76+((D78-D73)/5)</f>
        <v>58980</v>
      </c>
      <c r="E77" s="25">
        <f>E76+((E78-E73)/5)</f>
        <v>6.379999999999999</v>
      </c>
      <c r="F77" s="25">
        <f>F76+((F78-F73)/5)</f>
        <v>1.0599999999999998</v>
      </c>
      <c r="H77" s="25">
        <f>H76+((H78-H73)/5)</f>
        <v>42.059999999999988</v>
      </c>
      <c r="I77" s="25">
        <f>I76+((I78-I73)/5)</f>
        <v>53.999999999999986</v>
      </c>
      <c r="J77" s="25">
        <f>J76+((J78-J73)/5)</f>
        <v>1.9199999999999997</v>
      </c>
      <c r="K77" s="25">
        <f>K76+((K78-K73)/5)</f>
        <v>4.1199999999999994E-2</v>
      </c>
      <c r="L77" s="25">
        <f>J77-K77-M77</f>
        <v>1.8577999999999999</v>
      </c>
      <c r="M77" s="25">
        <f>M76+((M78-M73)/5)</f>
        <v>2.0999999999999998E-2</v>
      </c>
      <c r="N77" s="25">
        <f>N76+((N78-N73)/5)</f>
        <v>0.83660000000000001</v>
      </c>
      <c r="O77" s="25">
        <f>O76+((O78-O73)/5)</f>
        <v>4.0372000000000003</v>
      </c>
    </row>
    <row r="78" spans="3:20" x14ac:dyDescent="0.25">
      <c r="C78">
        <v>2025</v>
      </c>
      <c r="D78">
        <v>51500</v>
      </c>
      <c r="E78">
        <v>5.3</v>
      </c>
      <c r="F78">
        <v>1</v>
      </c>
      <c r="H78">
        <v>34.5</v>
      </c>
      <c r="I78">
        <v>48.3</v>
      </c>
      <c r="J78">
        <v>1.8</v>
      </c>
      <c r="K78">
        <v>3.6999999999999998E-2</v>
      </c>
      <c r="L78">
        <f t="shared" ref="L78:L103" si="6">J78-K78-M78</f>
        <v>1.7430000000000001</v>
      </c>
      <c r="M78">
        <v>0.02</v>
      </c>
      <c r="N78">
        <v>0.77200000000000002</v>
      </c>
      <c r="O78">
        <v>3.714</v>
      </c>
    </row>
    <row r="79" spans="3:20" x14ac:dyDescent="0.25">
      <c r="C79">
        <v>2026</v>
      </c>
      <c r="D79" s="25">
        <f>D78+((D83-D78)/5)</f>
        <v>44980</v>
      </c>
      <c r="E79" s="25">
        <f>E78+((E83-E78)/5)</f>
        <v>4.78</v>
      </c>
      <c r="F79" s="25">
        <f>F78+((F83-F78)/5)</f>
        <v>0.94</v>
      </c>
      <c r="H79" s="25">
        <f>H78+((H83-H78)/5)</f>
        <v>31.58</v>
      </c>
      <c r="I79" s="25">
        <f>I78+((I83-I78)/5)</f>
        <v>43.699999999999996</v>
      </c>
      <c r="J79" s="25">
        <f>J78+((J83-J78)/5)</f>
        <v>1.68</v>
      </c>
      <c r="K79" s="25">
        <f>K78+((K83-K78)/5)</f>
        <v>3.3799999999999997E-2</v>
      </c>
      <c r="L79">
        <f t="shared" si="6"/>
        <v>1.6263999999999998</v>
      </c>
      <c r="M79" s="25">
        <f>M78+((M83-M78)/5)</f>
        <v>1.9800000000000002E-2</v>
      </c>
      <c r="N79" s="25">
        <f>N78+((N83-N78)/5)</f>
        <v>0.72640000000000005</v>
      </c>
      <c r="O79" s="25">
        <f>O78+((O83-O78)/5)</f>
        <v>3.4937999999999998</v>
      </c>
    </row>
    <row r="80" spans="3:20" x14ac:dyDescent="0.25">
      <c r="C80">
        <v>2027</v>
      </c>
      <c r="D80" s="25">
        <f>D79+((D83-D78)/5)</f>
        <v>38460</v>
      </c>
      <c r="E80" s="25">
        <f>E79+((E83-E78)/5)</f>
        <v>4.2600000000000007</v>
      </c>
      <c r="F80" s="25">
        <f>F79+((F83-F78)/5)</f>
        <v>0.87999999999999989</v>
      </c>
      <c r="H80" s="25">
        <f>H79+((H83-H78)/5)</f>
        <v>28.659999999999997</v>
      </c>
      <c r="I80" s="25">
        <f>I79+((I83-I78)/5)</f>
        <v>39.099999999999994</v>
      </c>
      <c r="J80" s="25">
        <f>J79+((J83-J78)/5)</f>
        <v>1.5599999999999998</v>
      </c>
      <c r="K80" s="25">
        <f>K79+((K83-K78)/5)</f>
        <v>3.0599999999999999E-2</v>
      </c>
      <c r="L80">
        <f t="shared" si="6"/>
        <v>1.5097999999999998</v>
      </c>
      <c r="M80" s="25">
        <f>M79+((M83-M78)/5)</f>
        <v>1.9600000000000003E-2</v>
      </c>
      <c r="N80" s="25">
        <f>N79+((N83-N78)/5)</f>
        <v>0.68080000000000007</v>
      </c>
      <c r="O80" s="25">
        <f>O79+((O83-O78)/5)</f>
        <v>3.2735999999999996</v>
      </c>
    </row>
    <row r="81" spans="3:15" x14ac:dyDescent="0.25">
      <c r="C81">
        <v>2028</v>
      </c>
      <c r="D81" s="25">
        <f>D80+((D83-D78)/5)</f>
        <v>31940</v>
      </c>
      <c r="E81" s="25">
        <f>E80+((E83-E78)/5)</f>
        <v>3.7400000000000007</v>
      </c>
      <c r="F81" s="25">
        <f>F80+((F83-F78)/5)</f>
        <v>0.81999999999999984</v>
      </c>
      <c r="H81" s="25">
        <f>H80+((H83-H78)/5)</f>
        <v>25.739999999999995</v>
      </c>
      <c r="I81" s="25">
        <f>I80+((I83-I78)/5)</f>
        <v>34.499999999999993</v>
      </c>
      <c r="J81" s="25">
        <f>J80+((J83-J78)/5)</f>
        <v>1.4399999999999997</v>
      </c>
      <c r="K81" s="25">
        <f>K80+((K83-K78)/5)</f>
        <v>2.7400000000000001E-2</v>
      </c>
      <c r="L81">
        <f t="shared" si="6"/>
        <v>1.3931999999999995</v>
      </c>
      <c r="M81" s="25">
        <f>M80+((M83-M78)/5)</f>
        <v>1.9400000000000004E-2</v>
      </c>
      <c r="N81" s="25">
        <f>N80+((N83-N78)/5)</f>
        <v>0.6352000000000001</v>
      </c>
      <c r="O81" s="25">
        <f>O80+((O83-O78)/5)</f>
        <v>3.0533999999999994</v>
      </c>
    </row>
    <row r="82" spans="3:15" x14ac:dyDescent="0.25">
      <c r="C82">
        <v>2029</v>
      </c>
      <c r="D82" s="25">
        <f>D81+((D83-D78)/5)</f>
        <v>25420</v>
      </c>
      <c r="E82" s="25">
        <f>E81+((E83-E78)/5)</f>
        <v>3.2200000000000006</v>
      </c>
      <c r="F82" s="25">
        <f>F81+((F83-F78)/5)</f>
        <v>0.75999999999999979</v>
      </c>
      <c r="H82" s="25">
        <f>H81+((H83-H78)/5)</f>
        <v>22.819999999999993</v>
      </c>
      <c r="I82" s="25">
        <f>I81+((I83-I78)/5)</f>
        <v>29.899999999999991</v>
      </c>
      <c r="J82" s="25">
        <f>J81+((J83-J78)/5)</f>
        <v>1.3199999999999996</v>
      </c>
      <c r="K82" s="25">
        <f>K81+((K83-K78)/5)</f>
        <v>2.4200000000000003E-2</v>
      </c>
      <c r="L82">
        <f t="shared" si="6"/>
        <v>1.2765999999999995</v>
      </c>
      <c r="M82" s="25">
        <f>M81+((M83-M78)/5)</f>
        <v>1.9200000000000005E-2</v>
      </c>
      <c r="N82" s="25">
        <f>N81+((N83-N78)/5)</f>
        <v>0.58960000000000012</v>
      </c>
      <c r="O82" s="25">
        <f>O81+((O83-O78)/5)</f>
        <v>2.8331999999999993</v>
      </c>
    </row>
    <row r="83" spans="3:15" x14ac:dyDescent="0.25">
      <c r="C83">
        <v>2030</v>
      </c>
      <c r="D83">
        <v>18900</v>
      </c>
      <c r="E83">
        <v>2.7</v>
      </c>
      <c r="F83">
        <v>0.7</v>
      </c>
      <c r="H83">
        <v>19.899999999999999</v>
      </c>
      <c r="I83">
        <v>25.3</v>
      </c>
      <c r="J83">
        <v>1.2</v>
      </c>
      <c r="K83">
        <v>2.1000000000000001E-2</v>
      </c>
      <c r="L83">
        <f t="shared" si="6"/>
        <v>1.1600000000000001</v>
      </c>
      <c r="M83">
        <v>1.9E-2</v>
      </c>
      <c r="N83">
        <v>0.54400000000000004</v>
      </c>
      <c r="O83">
        <v>2.613</v>
      </c>
    </row>
    <row r="84" spans="3:15" x14ac:dyDescent="0.25">
      <c r="C84">
        <v>2031</v>
      </c>
      <c r="D84" s="25">
        <f>D83+((D88-D83)/5)</f>
        <v>17640</v>
      </c>
      <c r="E84" s="25">
        <f>E83+((E88-E83)/5)</f>
        <v>2.8000000000000003</v>
      </c>
      <c r="F84" s="25">
        <f>F83+((F88-F83)/5)</f>
        <v>0.65999999999999992</v>
      </c>
      <c r="H84" s="25">
        <f>H83+((H88-H83)/5)</f>
        <v>18.299999999999997</v>
      </c>
      <c r="I84" s="25">
        <f>I83+((I88-I83)/5)</f>
        <v>23.900000000000002</v>
      </c>
      <c r="J84" s="25">
        <f>J83+((J88-J83)/5)</f>
        <v>1.1399999999999999</v>
      </c>
      <c r="K84" s="25">
        <f>K83+((K88-K83)/5)</f>
        <v>2.2200000000000001E-2</v>
      </c>
      <c r="L84">
        <f t="shared" si="6"/>
        <v>1.0979999999999999</v>
      </c>
      <c r="M84" s="25">
        <f>M83+((M88-M83)/5)</f>
        <v>1.9799999999999998E-2</v>
      </c>
      <c r="N84" s="25">
        <f>N83+((N88-N83)/5)</f>
        <v>0.52039999999999997</v>
      </c>
      <c r="O84" s="25">
        <f>O83+((O88-O83)/5)</f>
        <v>2.4523999999999999</v>
      </c>
    </row>
    <row r="85" spans="3:15" x14ac:dyDescent="0.25">
      <c r="C85">
        <v>2032</v>
      </c>
      <c r="D85" s="25">
        <f>D84+((D88-D83)/5)</f>
        <v>16380</v>
      </c>
      <c r="E85" s="25">
        <f>E84+((E88-E83)/5)</f>
        <v>2.9000000000000004</v>
      </c>
      <c r="F85" s="25">
        <f>F84+((F88-F83)/5)</f>
        <v>0.61999999999999988</v>
      </c>
      <c r="H85" s="25">
        <f>H84+((H88-H83)/5)</f>
        <v>16.699999999999996</v>
      </c>
      <c r="I85" s="25">
        <f>I84+((I88-I83)/5)</f>
        <v>22.500000000000004</v>
      </c>
      <c r="J85" s="25">
        <f>J84+((J88-J83)/5)</f>
        <v>1.0799999999999998</v>
      </c>
      <c r="K85" s="25">
        <f>K84+((K88-K83)/5)</f>
        <v>2.3400000000000001E-2</v>
      </c>
      <c r="L85">
        <f t="shared" si="6"/>
        <v>1.0359999999999998</v>
      </c>
      <c r="M85" s="25">
        <f>M84+((M88-M83)/5)</f>
        <v>2.0599999999999997E-2</v>
      </c>
      <c r="N85" s="25">
        <f>N84+((N88-N83)/5)</f>
        <v>0.49679999999999996</v>
      </c>
      <c r="O85" s="25">
        <f>O84+((O88-O83)/5)</f>
        <v>2.2917999999999998</v>
      </c>
    </row>
    <row r="86" spans="3:15" x14ac:dyDescent="0.25">
      <c r="C86">
        <v>2033</v>
      </c>
      <c r="D86" s="25">
        <f>D85+((D88-D83)/5)</f>
        <v>15120</v>
      </c>
      <c r="E86" s="25">
        <f>E85+((E88-E83)/5)</f>
        <v>3.0000000000000004</v>
      </c>
      <c r="F86" s="25">
        <f>F85+((F88-F83)/5)</f>
        <v>0.57999999999999985</v>
      </c>
      <c r="H86" s="25">
        <f>H85+((H88-H83)/5)</f>
        <v>15.099999999999996</v>
      </c>
      <c r="I86" s="25">
        <f>I85+((I88-I83)/5)</f>
        <v>21.100000000000005</v>
      </c>
      <c r="J86" s="25">
        <f>J85+((J88-J83)/5)</f>
        <v>1.0199999999999998</v>
      </c>
      <c r="K86" s="25">
        <f>K85+((K88-K83)/5)</f>
        <v>2.46E-2</v>
      </c>
      <c r="L86">
        <f t="shared" si="6"/>
        <v>0.97399999999999987</v>
      </c>
      <c r="M86" s="25">
        <f>M85+((M88-M83)/5)</f>
        <v>2.1399999999999995E-2</v>
      </c>
      <c r="N86" s="25">
        <f>N85+((N88-N83)/5)</f>
        <v>0.47319999999999995</v>
      </c>
      <c r="O86" s="25">
        <f>O85+((O88-O83)/5)</f>
        <v>2.1311999999999998</v>
      </c>
    </row>
    <row r="87" spans="3:15" x14ac:dyDescent="0.25">
      <c r="C87">
        <v>2034</v>
      </c>
      <c r="D87" s="25">
        <f>D86+((D88-D83)/5)</f>
        <v>13860</v>
      </c>
      <c r="E87" s="25">
        <f>E86+((E88-E83)/5)</f>
        <v>3.1000000000000005</v>
      </c>
      <c r="F87" s="25">
        <f>F86+((F88-F83)/5)</f>
        <v>0.53999999999999981</v>
      </c>
      <c r="H87" s="25">
        <f>H86+((H88-H83)/5)</f>
        <v>13.499999999999996</v>
      </c>
      <c r="I87" s="25">
        <f>I86+((I88-I83)/5)</f>
        <v>19.700000000000006</v>
      </c>
      <c r="J87" s="25">
        <f>J86+((J88-J83)/5)</f>
        <v>0.95999999999999985</v>
      </c>
      <c r="K87" s="25">
        <f>K86+((K88-K83)/5)</f>
        <v>2.58E-2</v>
      </c>
      <c r="L87">
        <f t="shared" si="6"/>
        <v>0.91199999999999981</v>
      </c>
      <c r="M87" s="25">
        <f>M86+((M88-M83)/5)</f>
        <v>2.2199999999999994E-2</v>
      </c>
      <c r="N87" s="25">
        <f>N86+((N88-N83)/5)</f>
        <v>0.44959999999999994</v>
      </c>
      <c r="O87" s="25">
        <f>O86+((O88-O83)/5)</f>
        <v>1.9705999999999997</v>
      </c>
    </row>
    <row r="88" spans="3:15" x14ac:dyDescent="0.25">
      <c r="C88">
        <v>2035</v>
      </c>
      <c r="D88">
        <v>12600</v>
      </c>
      <c r="E88">
        <v>3.2</v>
      </c>
      <c r="F88">
        <v>0.5</v>
      </c>
      <c r="H88">
        <v>11.9</v>
      </c>
      <c r="I88">
        <v>18.3</v>
      </c>
      <c r="J88">
        <v>0.9</v>
      </c>
      <c r="K88">
        <v>2.7E-2</v>
      </c>
      <c r="L88">
        <f t="shared" si="6"/>
        <v>0.85</v>
      </c>
      <c r="M88">
        <v>2.3E-2</v>
      </c>
      <c r="N88">
        <v>0.42599999999999999</v>
      </c>
      <c r="O88">
        <v>1.81</v>
      </c>
    </row>
    <row r="89" spans="3:15" x14ac:dyDescent="0.25">
      <c r="C89">
        <v>2036</v>
      </c>
      <c r="D89" s="25">
        <f>D88+((D93-D88)/5)</f>
        <v>11800</v>
      </c>
      <c r="E89" s="25">
        <f>E88+((E93-E88)/5)</f>
        <v>3.38</v>
      </c>
      <c r="F89" s="25">
        <f>F88+((F93-F88)/5)</f>
        <v>0.52</v>
      </c>
      <c r="H89" s="25">
        <f>H88+((H93-H88)/5)</f>
        <v>11.6</v>
      </c>
      <c r="I89" s="25">
        <f>I88+((I93-I88)/5)</f>
        <v>18.940000000000001</v>
      </c>
      <c r="J89" s="25">
        <f>J88+((J93-J88)/5)</f>
        <v>0.92</v>
      </c>
      <c r="K89" s="25">
        <f>K88+((K93-K88)/5)</f>
        <v>2.8199999999999999E-2</v>
      </c>
      <c r="L89">
        <f t="shared" si="6"/>
        <v>0.86899999999999999</v>
      </c>
      <c r="M89" s="25">
        <f>M88+((M93-M88)/5)</f>
        <v>2.2800000000000001E-2</v>
      </c>
      <c r="N89" s="25">
        <f>N88+((N93-N88)/5)</f>
        <v>0.43540000000000001</v>
      </c>
      <c r="O89" s="25">
        <f>O88+((O93-O88)/5)</f>
        <v>1.8216000000000001</v>
      </c>
    </row>
    <row r="90" spans="3:15" x14ac:dyDescent="0.25">
      <c r="C90">
        <v>2037</v>
      </c>
      <c r="D90" s="25">
        <f>D89+((D93-D88)/5)</f>
        <v>11000</v>
      </c>
      <c r="E90" s="25">
        <f>E89+((E93-E88)/5)</f>
        <v>3.5599999999999996</v>
      </c>
      <c r="F90" s="25">
        <f>F89+((F93-F88)/5)</f>
        <v>0.54</v>
      </c>
      <c r="H90" s="25">
        <f>H89+((H93-H88)/5)</f>
        <v>11.299999999999999</v>
      </c>
      <c r="I90" s="25">
        <f>I89+((I93-I88)/5)</f>
        <v>19.580000000000002</v>
      </c>
      <c r="J90" s="25">
        <f>J89+((J93-J88)/5)</f>
        <v>0.94000000000000006</v>
      </c>
      <c r="K90" s="25">
        <f>K89+((K93-K88)/5)</f>
        <v>2.9399999999999999E-2</v>
      </c>
      <c r="L90">
        <f t="shared" si="6"/>
        <v>0.88800000000000012</v>
      </c>
      <c r="M90" s="25">
        <f>M89+((M93-M88)/5)</f>
        <v>2.2600000000000002E-2</v>
      </c>
      <c r="N90" s="25">
        <f>N89+((N93-N88)/5)</f>
        <v>0.44480000000000003</v>
      </c>
      <c r="O90" s="25">
        <f>O89+((O93-O88)/5)</f>
        <v>1.8332000000000002</v>
      </c>
    </row>
    <row r="91" spans="3:15" x14ac:dyDescent="0.25">
      <c r="C91">
        <v>2038</v>
      </c>
      <c r="D91" s="25">
        <f>D90+((D93-D88)/5)</f>
        <v>10200</v>
      </c>
      <c r="E91" s="25">
        <f>E90+((E93-E88)/5)</f>
        <v>3.7399999999999993</v>
      </c>
      <c r="F91" s="25">
        <f>F90+((F93-F88)/5)</f>
        <v>0.56000000000000005</v>
      </c>
      <c r="H91" s="25">
        <f>H90+((H93-H88)/5)</f>
        <v>10.999999999999998</v>
      </c>
      <c r="I91" s="25">
        <f>I90+((I93-I88)/5)</f>
        <v>20.220000000000002</v>
      </c>
      <c r="J91" s="25">
        <f>J90+((J93-J88)/5)</f>
        <v>0.96000000000000008</v>
      </c>
      <c r="K91" s="25">
        <f>K90+((K93-K88)/5)</f>
        <v>3.0599999999999999E-2</v>
      </c>
      <c r="L91">
        <f t="shared" si="6"/>
        <v>0.90700000000000014</v>
      </c>
      <c r="M91" s="25">
        <f>M90+((M93-M88)/5)</f>
        <v>2.2400000000000003E-2</v>
      </c>
      <c r="N91" s="25">
        <f>N90+((N93-N88)/5)</f>
        <v>0.45420000000000005</v>
      </c>
      <c r="O91" s="25">
        <f>O90+((O93-O88)/5)</f>
        <v>1.8448000000000002</v>
      </c>
    </row>
    <row r="92" spans="3:15" x14ac:dyDescent="0.25">
      <c r="C92">
        <v>2039</v>
      </c>
      <c r="D92" s="25">
        <f>D91+((D93-D88)/5)</f>
        <v>9400</v>
      </c>
      <c r="E92" s="25">
        <f>E91+((E93-E88)/5)</f>
        <v>3.919999999999999</v>
      </c>
      <c r="F92" s="25">
        <f>F91+((F93-F88)/5)</f>
        <v>0.58000000000000007</v>
      </c>
      <c r="H92" s="25">
        <f>H91+((H93-H88)/5)</f>
        <v>10.699999999999998</v>
      </c>
      <c r="I92" s="25">
        <f>I91+((I93-I88)/5)</f>
        <v>20.860000000000003</v>
      </c>
      <c r="J92" s="25">
        <f>J91+((J93-J88)/5)</f>
        <v>0.98000000000000009</v>
      </c>
      <c r="K92" s="25">
        <f>K91+((K93-K88)/5)</f>
        <v>3.1800000000000002E-2</v>
      </c>
      <c r="L92">
        <f t="shared" si="6"/>
        <v>0.92600000000000005</v>
      </c>
      <c r="M92" s="25">
        <f>M91+((M93-M88)/5)</f>
        <v>2.2200000000000004E-2</v>
      </c>
      <c r="N92" s="25">
        <f>N91+((N93-N88)/5)</f>
        <v>0.46360000000000007</v>
      </c>
      <c r="O92" s="25">
        <f>O91+((O93-O88)/5)</f>
        <v>1.8564000000000003</v>
      </c>
    </row>
    <row r="93" spans="3:15" x14ac:dyDescent="0.25">
      <c r="C93">
        <v>2040</v>
      </c>
      <c r="D93">
        <v>8600</v>
      </c>
      <c r="E93">
        <v>4.0999999999999996</v>
      </c>
      <c r="F93">
        <v>0.6</v>
      </c>
      <c r="H93">
        <v>10.4</v>
      </c>
      <c r="I93">
        <v>21.5</v>
      </c>
      <c r="J93">
        <v>1</v>
      </c>
      <c r="K93">
        <v>3.3000000000000002E-2</v>
      </c>
      <c r="L93">
        <f t="shared" si="6"/>
        <v>0.94499999999999995</v>
      </c>
      <c r="M93">
        <v>2.1999999999999999E-2</v>
      </c>
      <c r="N93">
        <v>0.47299999999999998</v>
      </c>
      <c r="O93">
        <v>1.8680000000000001</v>
      </c>
    </row>
    <row r="94" spans="3:15" x14ac:dyDescent="0.25">
      <c r="C94">
        <v>2041</v>
      </c>
      <c r="D94" s="25">
        <f>D93+((D98-D93)/5)</f>
        <v>8880</v>
      </c>
      <c r="E94" s="25">
        <f>E93+((E98-E93)/5)</f>
        <v>4.16</v>
      </c>
      <c r="F94" s="25">
        <f>F93+((F98-F93)/5)</f>
        <v>0.6</v>
      </c>
      <c r="H94" s="25">
        <f>H93+((H98-H93)/5)</f>
        <v>9.92</v>
      </c>
      <c r="I94" s="25">
        <f>I93+((I98-I93)/5)</f>
        <v>21.66</v>
      </c>
      <c r="J94" s="25">
        <f>J93+((J98-J93)/5)</f>
        <v>0.98</v>
      </c>
      <c r="K94" s="25">
        <f>K93+((K98-K93)/5)</f>
        <v>3.3000000000000002E-2</v>
      </c>
      <c r="L94">
        <f t="shared" si="6"/>
        <v>0.92579999999999996</v>
      </c>
      <c r="M94" s="25">
        <f>M93+((M98-M93)/5)</f>
        <v>2.12E-2</v>
      </c>
      <c r="N94" s="25">
        <f>N93+((N98-N93)/5)</f>
        <v>0.48280000000000001</v>
      </c>
      <c r="O94" s="25">
        <f>O93+((O98-O93)/5)</f>
        <v>1.9044000000000001</v>
      </c>
    </row>
    <row r="95" spans="3:15" x14ac:dyDescent="0.25">
      <c r="C95">
        <v>2042</v>
      </c>
      <c r="D95" s="25">
        <f>D94+((D98-D93)/5)</f>
        <v>9160</v>
      </c>
      <c r="E95" s="25">
        <f>E94+((E98-E93)/5)</f>
        <v>4.2200000000000006</v>
      </c>
      <c r="F95" s="25">
        <f>F94+((F98-F93)/5)</f>
        <v>0.6</v>
      </c>
      <c r="H95" s="25">
        <f>H94+((H98-H93)/5)</f>
        <v>9.44</v>
      </c>
      <c r="I95" s="25">
        <f>I94+((I98-I93)/5)</f>
        <v>21.82</v>
      </c>
      <c r="J95" s="25">
        <f>J94+((J98-J93)/5)</f>
        <v>0.96</v>
      </c>
      <c r="K95" s="25">
        <f>K94+((K98-K93)/5)</f>
        <v>3.3000000000000002E-2</v>
      </c>
      <c r="L95">
        <f t="shared" si="6"/>
        <v>0.90659999999999996</v>
      </c>
      <c r="M95" s="25">
        <f>M94+((M98-M93)/5)</f>
        <v>2.0400000000000001E-2</v>
      </c>
      <c r="N95" s="25">
        <f>N94+((N98-N93)/5)</f>
        <v>0.49260000000000004</v>
      </c>
      <c r="O95" s="25">
        <f>O94+((O98-O93)/5)</f>
        <v>1.9408000000000001</v>
      </c>
    </row>
    <row r="96" spans="3:15" x14ac:dyDescent="0.25">
      <c r="C96">
        <v>2043</v>
      </c>
      <c r="D96" s="25">
        <f>D95+((D98-D93)/5)</f>
        <v>9440</v>
      </c>
      <c r="E96" s="25">
        <f>E95+((E98-E93)/5)</f>
        <v>4.2800000000000011</v>
      </c>
      <c r="F96" s="25">
        <f>F95+((F98-F93)/5)</f>
        <v>0.6</v>
      </c>
      <c r="H96" s="25">
        <f>H95+((H98-H93)/5)</f>
        <v>8.9599999999999991</v>
      </c>
      <c r="I96" s="25">
        <f>I95+((I98-I93)/5)</f>
        <v>21.98</v>
      </c>
      <c r="J96" s="25">
        <f>J95+((J98-J93)/5)</f>
        <v>0.94</v>
      </c>
      <c r="K96" s="25">
        <f>K95+((K98-K93)/5)</f>
        <v>3.3000000000000002E-2</v>
      </c>
      <c r="L96">
        <f t="shared" si="6"/>
        <v>0.88739999999999997</v>
      </c>
      <c r="M96" s="25">
        <f>M95+((M98-M93)/5)</f>
        <v>1.9600000000000003E-2</v>
      </c>
      <c r="N96" s="25">
        <f>N95+((N98-N93)/5)</f>
        <v>0.50240000000000007</v>
      </c>
      <c r="O96" s="25">
        <f>O95+((O98-O93)/5)</f>
        <v>1.9772000000000001</v>
      </c>
    </row>
    <row r="97" spans="3:15" x14ac:dyDescent="0.25">
      <c r="C97">
        <v>2044</v>
      </c>
      <c r="D97" s="25">
        <f>D96+((D98-D93)/5)</f>
        <v>9720</v>
      </c>
      <c r="E97" s="25">
        <f>E96+((E98-E93)/5)</f>
        <v>4.3400000000000016</v>
      </c>
      <c r="F97" s="25">
        <f>F96+((F98-F93)/5)</f>
        <v>0.6</v>
      </c>
      <c r="H97" s="25">
        <f>H96+((H98-H93)/5)</f>
        <v>8.4799999999999986</v>
      </c>
      <c r="I97" s="25">
        <f>I96+((I98-I93)/5)</f>
        <v>22.14</v>
      </c>
      <c r="J97" s="25">
        <f>J96+((J98-J93)/5)</f>
        <v>0.91999999999999993</v>
      </c>
      <c r="K97" s="25">
        <f>K96+((K98-K93)/5)</f>
        <v>3.3000000000000002E-2</v>
      </c>
      <c r="L97">
        <f t="shared" si="6"/>
        <v>0.86819999999999986</v>
      </c>
      <c r="M97" s="25">
        <f>M96+((M98-M93)/5)</f>
        <v>1.8800000000000004E-2</v>
      </c>
      <c r="N97" s="25">
        <f>N96+((N98-N93)/5)</f>
        <v>0.5122000000000001</v>
      </c>
      <c r="O97" s="25">
        <f>O96+((O98-O93)/5)</f>
        <v>2.0135999999999998</v>
      </c>
    </row>
    <row r="98" spans="3:15" x14ac:dyDescent="0.25">
      <c r="C98">
        <v>2045</v>
      </c>
      <c r="D98">
        <v>10000</v>
      </c>
      <c r="E98">
        <v>4.4000000000000004</v>
      </c>
      <c r="F98">
        <v>0.6</v>
      </c>
      <c r="H98">
        <v>8</v>
      </c>
      <c r="I98">
        <v>22.3</v>
      </c>
      <c r="J98">
        <v>0.9</v>
      </c>
      <c r="K98">
        <v>3.3000000000000002E-2</v>
      </c>
      <c r="L98">
        <f t="shared" si="6"/>
        <v>0.84899999999999998</v>
      </c>
      <c r="M98">
        <v>1.7999999999999999E-2</v>
      </c>
      <c r="N98">
        <v>0.52200000000000002</v>
      </c>
      <c r="O98">
        <v>2.0499999999999998</v>
      </c>
    </row>
    <row r="99" spans="3:15" x14ac:dyDescent="0.25">
      <c r="C99">
        <v>2046</v>
      </c>
      <c r="D99" s="25">
        <f>D98+((D103-D98)/5)</f>
        <v>9360</v>
      </c>
      <c r="E99" s="25">
        <f>E98+((E103-E98)/5)</f>
        <v>4.16</v>
      </c>
      <c r="F99" s="25">
        <f>F98+((F103-F98)/5)</f>
        <v>0.6</v>
      </c>
      <c r="H99" s="25">
        <f>H98+((H103-H98)/5)</f>
        <v>7.42</v>
      </c>
      <c r="I99" s="25">
        <f>I98+((I103-I98)/5)</f>
        <v>20.900000000000002</v>
      </c>
      <c r="J99" s="25">
        <f>J98+((J103-J98)/5)</f>
        <v>0.86</v>
      </c>
      <c r="K99" s="25">
        <f>K98+((K103-K98)/5)</f>
        <v>3.0000000000000002E-2</v>
      </c>
      <c r="L99">
        <f t="shared" si="6"/>
        <v>0.81379999999999997</v>
      </c>
      <c r="M99" s="25">
        <f>M98+((M103-M98)/5)</f>
        <v>1.6199999999999999E-2</v>
      </c>
      <c r="N99" s="25">
        <f>N98+((N103-N98)/5)</f>
        <v>0.50560000000000005</v>
      </c>
      <c r="O99" s="25">
        <f>O98+((O103-O98)/5)</f>
        <v>1.9595999999999998</v>
      </c>
    </row>
    <row r="100" spans="3:15" x14ac:dyDescent="0.25">
      <c r="C100">
        <v>2047</v>
      </c>
      <c r="D100" s="25">
        <f>D99+((D103-D98)/5)</f>
        <v>8720</v>
      </c>
      <c r="E100" s="25">
        <f>E99+((E103-E98)/5)</f>
        <v>3.92</v>
      </c>
      <c r="F100" s="25">
        <f>F99+((F103-F98)/5)</f>
        <v>0.6</v>
      </c>
      <c r="H100" s="25">
        <f>H99+((H103-H98)/5)</f>
        <v>6.84</v>
      </c>
      <c r="I100" s="25">
        <f>I99+((I103-I98)/5)</f>
        <v>19.500000000000004</v>
      </c>
      <c r="J100" s="25">
        <f>J99+((J103-J98)/5)</f>
        <v>0.82</v>
      </c>
      <c r="K100" s="25">
        <f>K99+((K103-K98)/5)</f>
        <v>2.7000000000000003E-2</v>
      </c>
      <c r="L100">
        <f t="shared" si="6"/>
        <v>0.77859999999999996</v>
      </c>
      <c r="M100" s="25">
        <f>M99+((M103-M98)/5)</f>
        <v>1.44E-2</v>
      </c>
      <c r="N100" s="25">
        <f>N99+((N103-N98)/5)</f>
        <v>0.48920000000000002</v>
      </c>
      <c r="O100" s="25">
        <f>O99+((O103-O98)/5)</f>
        <v>1.8691999999999998</v>
      </c>
    </row>
    <row r="101" spans="3:15" x14ac:dyDescent="0.25">
      <c r="C101">
        <v>2048</v>
      </c>
      <c r="D101" s="25">
        <f>D100+((D103-D98)/5)</f>
        <v>8080</v>
      </c>
      <c r="E101" s="25">
        <f>E100+((E103-E98)/5)</f>
        <v>3.6799999999999997</v>
      </c>
      <c r="F101" s="25">
        <f>F100+((F103-F98)/5)</f>
        <v>0.6</v>
      </c>
      <c r="H101" s="25">
        <f>H100+((H103-H98)/5)</f>
        <v>6.26</v>
      </c>
      <c r="I101" s="25">
        <f>I100+((I103-I98)/5)</f>
        <v>18.100000000000005</v>
      </c>
      <c r="J101" s="25">
        <f>J100+((J103-J98)/5)</f>
        <v>0.77999999999999992</v>
      </c>
      <c r="K101" s="25">
        <f>K100+((K103-K98)/5)</f>
        <v>2.4000000000000004E-2</v>
      </c>
      <c r="L101">
        <f t="shared" si="6"/>
        <v>0.74339999999999984</v>
      </c>
      <c r="M101" s="25">
        <f>M100+((M103-M98)/5)</f>
        <v>1.26E-2</v>
      </c>
      <c r="N101" s="25">
        <f>N100+((N103-N98)/5)</f>
        <v>0.4728</v>
      </c>
      <c r="O101" s="25">
        <f>O100+((O103-O98)/5)</f>
        <v>1.7787999999999997</v>
      </c>
    </row>
    <row r="102" spans="3:15" x14ac:dyDescent="0.25">
      <c r="C102">
        <v>2049</v>
      </c>
      <c r="D102" s="25">
        <f>D101+((D103-D98)/5)</f>
        <v>7440</v>
      </c>
      <c r="E102" s="25">
        <f>E101+((E103-E98)/5)</f>
        <v>3.4399999999999995</v>
      </c>
      <c r="F102" s="25">
        <f>F101+((F103-F98)/5)</f>
        <v>0.6</v>
      </c>
      <c r="H102" s="25">
        <f>H101+((H103-H98)/5)</f>
        <v>5.68</v>
      </c>
      <c r="I102" s="25">
        <f>I101+((I103-I98)/5)</f>
        <v>16.700000000000006</v>
      </c>
      <c r="J102" s="25">
        <f>J101+((J103-J98)/5)</f>
        <v>0.73999999999999988</v>
      </c>
      <c r="K102" s="25">
        <f>K101+((K103-K98)/5)</f>
        <v>2.1000000000000005E-2</v>
      </c>
      <c r="L102">
        <f t="shared" si="6"/>
        <v>0.70819999999999983</v>
      </c>
      <c r="M102" s="25">
        <f>M101+((M103-M98)/5)</f>
        <v>1.0800000000000001E-2</v>
      </c>
      <c r="N102" s="25">
        <f>N101+((N103-N98)/5)</f>
        <v>0.45639999999999997</v>
      </c>
      <c r="O102" s="25">
        <f>O101+((O103-O98)/5)</f>
        <v>1.6883999999999997</v>
      </c>
    </row>
    <row r="103" spans="3:15" x14ac:dyDescent="0.25">
      <c r="C103">
        <v>2050</v>
      </c>
      <c r="D103">
        <v>6800</v>
      </c>
      <c r="E103">
        <v>3.2</v>
      </c>
      <c r="F103">
        <v>0.6</v>
      </c>
      <c r="H103">
        <v>5.0999999999999996</v>
      </c>
      <c r="I103">
        <v>15.3</v>
      </c>
      <c r="J103">
        <v>0.7</v>
      </c>
      <c r="K103">
        <v>1.7999999999999999E-2</v>
      </c>
      <c r="L103">
        <f t="shared" si="6"/>
        <v>0.67299999999999993</v>
      </c>
      <c r="M103">
        <v>8.9999999999999993E-3</v>
      </c>
      <c r="N103">
        <v>0.44</v>
      </c>
      <c r="O103">
        <v>1.5980000000000001</v>
      </c>
    </row>
    <row r="104" spans="3:15" x14ac:dyDescent="0.25">
      <c r="C104">
        <v>2051</v>
      </c>
      <c r="D104" s="25">
        <f>D$103/D$169*$D170</f>
        <v>6800</v>
      </c>
      <c r="E104" s="25">
        <f>E103</f>
        <v>3.2</v>
      </c>
      <c r="F104" s="25">
        <f t="shared" ref="F104:O119" si="7">F103</f>
        <v>0.6</v>
      </c>
      <c r="G104" s="25"/>
      <c r="H104" s="25">
        <f t="shared" si="7"/>
        <v>5.0999999999999996</v>
      </c>
      <c r="I104" s="25">
        <f t="shared" si="7"/>
        <v>15.3</v>
      </c>
      <c r="J104" s="25">
        <f t="shared" si="7"/>
        <v>0.7</v>
      </c>
      <c r="K104" s="25">
        <f t="shared" si="7"/>
        <v>1.7999999999999999E-2</v>
      </c>
      <c r="L104" s="25">
        <f t="shared" si="7"/>
        <v>0.67299999999999993</v>
      </c>
      <c r="M104" s="25">
        <f t="shared" si="7"/>
        <v>8.9999999999999993E-3</v>
      </c>
      <c r="N104" s="25">
        <f t="shared" si="7"/>
        <v>0.44</v>
      </c>
      <c r="O104" s="25">
        <f t="shared" si="7"/>
        <v>1.5980000000000001</v>
      </c>
    </row>
    <row r="105" spans="3:15" x14ac:dyDescent="0.25">
      <c r="C105">
        <v>2052</v>
      </c>
      <c r="D105" s="25">
        <f t="shared" ref="D105:D121" si="8">D$103/D$169*$D171</f>
        <v>6800</v>
      </c>
      <c r="E105" s="25">
        <f t="shared" ref="E105:F122" si="9">E104</f>
        <v>3.2</v>
      </c>
      <c r="F105" s="25">
        <f t="shared" si="7"/>
        <v>0.6</v>
      </c>
      <c r="G105" s="25"/>
      <c r="H105" s="25">
        <f t="shared" si="7"/>
        <v>5.0999999999999996</v>
      </c>
      <c r="I105" s="25">
        <f t="shared" si="7"/>
        <v>15.3</v>
      </c>
      <c r="J105" s="25">
        <f t="shared" si="7"/>
        <v>0.7</v>
      </c>
      <c r="K105" s="25">
        <f t="shared" si="7"/>
        <v>1.7999999999999999E-2</v>
      </c>
      <c r="L105" s="25">
        <f t="shared" si="7"/>
        <v>0.67299999999999993</v>
      </c>
      <c r="M105" s="25">
        <f t="shared" si="7"/>
        <v>8.9999999999999993E-3</v>
      </c>
      <c r="N105" s="25">
        <f t="shared" si="7"/>
        <v>0.44</v>
      </c>
      <c r="O105" s="25">
        <f t="shared" si="7"/>
        <v>1.5980000000000001</v>
      </c>
    </row>
    <row r="106" spans="3:15" x14ac:dyDescent="0.25">
      <c r="C106">
        <v>2053</v>
      </c>
      <c r="D106" s="25">
        <f t="shared" si="8"/>
        <v>6800</v>
      </c>
      <c r="E106" s="25">
        <f t="shared" si="9"/>
        <v>3.2</v>
      </c>
      <c r="F106" s="25">
        <f t="shared" si="7"/>
        <v>0.6</v>
      </c>
      <c r="G106" s="25"/>
      <c r="H106" s="25">
        <f t="shared" si="7"/>
        <v>5.0999999999999996</v>
      </c>
      <c r="I106" s="25">
        <f t="shared" si="7"/>
        <v>15.3</v>
      </c>
      <c r="J106" s="25">
        <f t="shared" si="7"/>
        <v>0.7</v>
      </c>
      <c r="K106" s="25">
        <f t="shared" si="7"/>
        <v>1.7999999999999999E-2</v>
      </c>
      <c r="L106" s="25">
        <f t="shared" si="7"/>
        <v>0.67299999999999993</v>
      </c>
      <c r="M106" s="25">
        <f t="shared" si="7"/>
        <v>8.9999999999999993E-3</v>
      </c>
      <c r="N106" s="25">
        <f t="shared" si="7"/>
        <v>0.44</v>
      </c>
      <c r="O106" s="25">
        <f t="shared" si="7"/>
        <v>1.5980000000000001</v>
      </c>
    </row>
    <row r="107" spans="3:15" x14ac:dyDescent="0.25">
      <c r="C107">
        <v>2054</v>
      </c>
      <c r="D107" s="25">
        <f t="shared" si="8"/>
        <v>6800</v>
      </c>
      <c r="E107" s="25">
        <f t="shared" si="9"/>
        <v>3.2</v>
      </c>
      <c r="F107" s="25">
        <f t="shared" si="7"/>
        <v>0.6</v>
      </c>
      <c r="G107" s="25"/>
      <c r="H107" s="25">
        <f t="shared" si="7"/>
        <v>5.0999999999999996</v>
      </c>
      <c r="I107" s="25">
        <f t="shared" si="7"/>
        <v>15.3</v>
      </c>
      <c r="J107" s="25">
        <f t="shared" si="7"/>
        <v>0.7</v>
      </c>
      <c r="K107" s="25">
        <f t="shared" si="7"/>
        <v>1.7999999999999999E-2</v>
      </c>
      <c r="L107" s="25">
        <f t="shared" si="7"/>
        <v>0.67299999999999993</v>
      </c>
      <c r="M107" s="25">
        <f t="shared" si="7"/>
        <v>8.9999999999999993E-3</v>
      </c>
      <c r="N107" s="25">
        <f t="shared" si="7"/>
        <v>0.44</v>
      </c>
      <c r="O107" s="25">
        <f t="shared" si="7"/>
        <v>1.5980000000000001</v>
      </c>
    </row>
    <row r="108" spans="3:15" x14ac:dyDescent="0.25">
      <c r="C108">
        <v>2055</v>
      </c>
      <c r="D108" s="25">
        <f t="shared" si="8"/>
        <v>6800</v>
      </c>
      <c r="E108" s="25">
        <f t="shared" si="9"/>
        <v>3.2</v>
      </c>
      <c r="F108" s="25">
        <f t="shared" si="7"/>
        <v>0.6</v>
      </c>
      <c r="G108" s="25"/>
      <c r="H108" s="25">
        <f t="shared" si="7"/>
        <v>5.0999999999999996</v>
      </c>
      <c r="I108" s="25">
        <f t="shared" si="7"/>
        <v>15.3</v>
      </c>
      <c r="J108" s="25">
        <f t="shared" si="7"/>
        <v>0.7</v>
      </c>
      <c r="K108" s="25">
        <f t="shared" si="7"/>
        <v>1.7999999999999999E-2</v>
      </c>
      <c r="L108" s="25">
        <f t="shared" si="7"/>
        <v>0.67299999999999993</v>
      </c>
      <c r="M108" s="25">
        <f t="shared" si="7"/>
        <v>8.9999999999999993E-3</v>
      </c>
      <c r="N108" s="25">
        <f t="shared" si="7"/>
        <v>0.44</v>
      </c>
      <c r="O108" s="25">
        <f t="shared" si="7"/>
        <v>1.5980000000000001</v>
      </c>
    </row>
    <row r="109" spans="3:15" x14ac:dyDescent="0.25">
      <c r="C109">
        <v>2056</v>
      </c>
      <c r="D109" s="25">
        <f t="shared" si="8"/>
        <v>6800</v>
      </c>
      <c r="E109" s="25">
        <f t="shared" si="9"/>
        <v>3.2</v>
      </c>
      <c r="F109" s="25">
        <f t="shared" si="7"/>
        <v>0.6</v>
      </c>
      <c r="G109" s="25"/>
      <c r="H109" s="25">
        <f t="shared" si="7"/>
        <v>5.0999999999999996</v>
      </c>
      <c r="I109" s="25">
        <f t="shared" si="7"/>
        <v>15.3</v>
      </c>
      <c r="J109" s="25">
        <f t="shared" si="7"/>
        <v>0.7</v>
      </c>
      <c r="K109" s="25">
        <f t="shared" si="7"/>
        <v>1.7999999999999999E-2</v>
      </c>
      <c r="L109" s="25">
        <f t="shared" si="7"/>
        <v>0.67299999999999993</v>
      </c>
      <c r="M109" s="25">
        <f t="shared" si="7"/>
        <v>8.9999999999999993E-3</v>
      </c>
      <c r="N109" s="25">
        <f t="shared" si="7"/>
        <v>0.44</v>
      </c>
      <c r="O109" s="25">
        <f t="shared" si="7"/>
        <v>1.5980000000000001</v>
      </c>
    </row>
    <row r="110" spans="3:15" x14ac:dyDescent="0.25">
      <c r="C110">
        <v>2057</v>
      </c>
      <c r="D110" s="25">
        <f t="shared" si="8"/>
        <v>6800</v>
      </c>
      <c r="E110" s="25">
        <f t="shared" si="9"/>
        <v>3.2</v>
      </c>
      <c r="F110" s="25">
        <f t="shared" si="7"/>
        <v>0.6</v>
      </c>
      <c r="G110" s="25"/>
      <c r="H110" s="25">
        <f t="shared" si="7"/>
        <v>5.0999999999999996</v>
      </c>
      <c r="I110" s="25">
        <f t="shared" si="7"/>
        <v>15.3</v>
      </c>
      <c r="J110" s="25">
        <f t="shared" si="7"/>
        <v>0.7</v>
      </c>
      <c r="K110" s="25">
        <f t="shared" si="7"/>
        <v>1.7999999999999999E-2</v>
      </c>
      <c r="L110" s="25">
        <f t="shared" si="7"/>
        <v>0.67299999999999993</v>
      </c>
      <c r="M110" s="25">
        <f t="shared" si="7"/>
        <v>8.9999999999999993E-3</v>
      </c>
      <c r="N110" s="25">
        <f t="shared" si="7"/>
        <v>0.44</v>
      </c>
      <c r="O110" s="25">
        <f t="shared" si="7"/>
        <v>1.5980000000000001</v>
      </c>
    </row>
    <row r="111" spans="3:15" x14ac:dyDescent="0.25">
      <c r="C111">
        <v>2058</v>
      </c>
      <c r="D111" s="25">
        <f t="shared" si="8"/>
        <v>6800</v>
      </c>
      <c r="E111" s="25">
        <f t="shared" si="9"/>
        <v>3.2</v>
      </c>
      <c r="F111" s="25">
        <f t="shared" si="7"/>
        <v>0.6</v>
      </c>
      <c r="G111" s="25"/>
      <c r="H111" s="25">
        <f t="shared" si="7"/>
        <v>5.0999999999999996</v>
      </c>
      <c r="I111" s="25">
        <f t="shared" si="7"/>
        <v>15.3</v>
      </c>
      <c r="J111" s="25">
        <f t="shared" si="7"/>
        <v>0.7</v>
      </c>
      <c r="K111" s="25">
        <f t="shared" si="7"/>
        <v>1.7999999999999999E-2</v>
      </c>
      <c r="L111" s="25">
        <f t="shared" si="7"/>
        <v>0.67299999999999993</v>
      </c>
      <c r="M111" s="25">
        <f t="shared" si="7"/>
        <v>8.9999999999999993E-3</v>
      </c>
      <c r="N111" s="25">
        <f t="shared" si="7"/>
        <v>0.44</v>
      </c>
      <c r="O111" s="25">
        <f t="shared" si="7"/>
        <v>1.5980000000000001</v>
      </c>
    </row>
    <row r="112" spans="3:15" x14ac:dyDescent="0.25">
      <c r="C112">
        <v>2059</v>
      </c>
      <c r="D112" s="25">
        <f t="shared" si="8"/>
        <v>6800</v>
      </c>
      <c r="E112" s="25">
        <f t="shared" si="9"/>
        <v>3.2</v>
      </c>
      <c r="F112" s="25">
        <f t="shared" si="7"/>
        <v>0.6</v>
      </c>
      <c r="G112" s="25"/>
      <c r="H112" s="25">
        <f t="shared" si="7"/>
        <v>5.0999999999999996</v>
      </c>
      <c r="I112" s="25">
        <f t="shared" si="7"/>
        <v>15.3</v>
      </c>
      <c r="J112" s="25">
        <f t="shared" si="7"/>
        <v>0.7</v>
      </c>
      <c r="K112" s="25">
        <f t="shared" si="7"/>
        <v>1.7999999999999999E-2</v>
      </c>
      <c r="L112" s="25">
        <f t="shared" si="7"/>
        <v>0.67299999999999993</v>
      </c>
      <c r="M112" s="25">
        <f t="shared" si="7"/>
        <v>8.9999999999999993E-3</v>
      </c>
      <c r="N112" s="25">
        <f t="shared" si="7"/>
        <v>0.44</v>
      </c>
      <c r="O112" s="25">
        <f t="shared" si="7"/>
        <v>1.5980000000000001</v>
      </c>
    </row>
    <row r="113" spans="3:15" x14ac:dyDescent="0.25">
      <c r="C113">
        <v>2060</v>
      </c>
      <c r="D113" s="25">
        <f t="shared" si="8"/>
        <v>6800</v>
      </c>
      <c r="E113" s="25">
        <f t="shared" si="9"/>
        <v>3.2</v>
      </c>
      <c r="F113" s="25">
        <f t="shared" si="7"/>
        <v>0.6</v>
      </c>
      <c r="G113" s="25"/>
      <c r="H113" s="25">
        <f t="shared" si="7"/>
        <v>5.0999999999999996</v>
      </c>
      <c r="I113" s="25">
        <f t="shared" si="7"/>
        <v>15.3</v>
      </c>
      <c r="J113" s="25">
        <f t="shared" si="7"/>
        <v>0.7</v>
      </c>
      <c r="K113" s="25">
        <f t="shared" si="7"/>
        <v>1.7999999999999999E-2</v>
      </c>
      <c r="L113" s="25">
        <f t="shared" si="7"/>
        <v>0.67299999999999993</v>
      </c>
      <c r="M113" s="25">
        <f t="shared" si="7"/>
        <v>8.9999999999999993E-3</v>
      </c>
      <c r="N113" s="25">
        <f t="shared" si="7"/>
        <v>0.44</v>
      </c>
      <c r="O113" s="25">
        <f t="shared" si="7"/>
        <v>1.5980000000000001</v>
      </c>
    </row>
    <row r="114" spans="3:15" x14ac:dyDescent="0.25">
      <c r="C114">
        <v>2061</v>
      </c>
      <c r="D114" s="25">
        <f t="shared" si="8"/>
        <v>6800</v>
      </c>
      <c r="E114" s="25">
        <f t="shared" si="9"/>
        <v>3.2</v>
      </c>
      <c r="F114" s="25">
        <f t="shared" si="7"/>
        <v>0.6</v>
      </c>
      <c r="G114" s="25"/>
      <c r="H114" s="25">
        <f t="shared" si="7"/>
        <v>5.0999999999999996</v>
      </c>
      <c r="I114" s="25">
        <f t="shared" si="7"/>
        <v>15.3</v>
      </c>
      <c r="J114" s="25">
        <f t="shared" si="7"/>
        <v>0.7</v>
      </c>
      <c r="K114" s="25">
        <f t="shared" si="7"/>
        <v>1.7999999999999999E-2</v>
      </c>
      <c r="L114" s="25">
        <f t="shared" si="7"/>
        <v>0.67299999999999993</v>
      </c>
      <c r="M114" s="25">
        <f t="shared" si="7"/>
        <v>8.9999999999999993E-3</v>
      </c>
      <c r="N114" s="25">
        <f t="shared" si="7"/>
        <v>0.44</v>
      </c>
      <c r="O114" s="25">
        <f t="shared" si="7"/>
        <v>1.5980000000000001</v>
      </c>
    </row>
    <row r="115" spans="3:15" x14ac:dyDescent="0.25">
      <c r="C115">
        <v>2062</v>
      </c>
      <c r="D115" s="25">
        <f t="shared" si="8"/>
        <v>6800</v>
      </c>
      <c r="E115" s="25">
        <f t="shared" si="9"/>
        <v>3.2</v>
      </c>
      <c r="F115" s="25">
        <f t="shared" si="7"/>
        <v>0.6</v>
      </c>
      <c r="G115" s="25"/>
      <c r="H115" s="25">
        <f t="shared" si="7"/>
        <v>5.0999999999999996</v>
      </c>
      <c r="I115" s="25">
        <f t="shared" si="7"/>
        <v>15.3</v>
      </c>
      <c r="J115" s="25">
        <f t="shared" si="7"/>
        <v>0.7</v>
      </c>
      <c r="K115" s="25">
        <f t="shared" si="7"/>
        <v>1.7999999999999999E-2</v>
      </c>
      <c r="L115" s="25">
        <f t="shared" si="7"/>
        <v>0.67299999999999993</v>
      </c>
      <c r="M115" s="25">
        <f t="shared" si="7"/>
        <v>8.9999999999999993E-3</v>
      </c>
      <c r="N115" s="25">
        <f t="shared" si="7"/>
        <v>0.44</v>
      </c>
      <c r="O115" s="25">
        <f t="shared" si="7"/>
        <v>1.5980000000000001</v>
      </c>
    </row>
    <row r="116" spans="3:15" x14ac:dyDescent="0.25">
      <c r="C116">
        <v>2063</v>
      </c>
      <c r="D116" s="25">
        <f t="shared" si="8"/>
        <v>6800</v>
      </c>
      <c r="E116" s="25">
        <f t="shared" si="9"/>
        <v>3.2</v>
      </c>
      <c r="F116" s="25">
        <f t="shared" si="7"/>
        <v>0.6</v>
      </c>
      <c r="G116" s="25"/>
      <c r="H116" s="25">
        <f t="shared" si="7"/>
        <v>5.0999999999999996</v>
      </c>
      <c r="I116" s="25">
        <f t="shared" si="7"/>
        <v>15.3</v>
      </c>
      <c r="J116" s="25">
        <f t="shared" si="7"/>
        <v>0.7</v>
      </c>
      <c r="K116" s="25">
        <f t="shared" si="7"/>
        <v>1.7999999999999999E-2</v>
      </c>
      <c r="L116" s="25">
        <f t="shared" si="7"/>
        <v>0.67299999999999993</v>
      </c>
      <c r="M116" s="25">
        <f t="shared" si="7"/>
        <v>8.9999999999999993E-3</v>
      </c>
      <c r="N116" s="25">
        <f t="shared" si="7"/>
        <v>0.44</v>
      </c>
      <c r="O116" s="25">
        <f t="shared" si="7"/>
        <v>1.5980000000000001</v>
      </c>
    </row>
    <row r="117" spans="3:15" x14ac:dyDescent="0.25">
      <c r="C117">
        <v>2064</v>
      </c>
      <c r="D117" s="25">
        <f t="shared" si="8"/>
        <v>6800</v>
      </c>
      <c r="E117" s="25">
        <f t="shared" si="9"/>
        <v>3.2</v>
      </c>
      <c r="F117" s="25">
        <f t="shared" si="7"/>
        <v>0.6</v>
      </c>
      <c r="G117" s="25"/>
      <c r="H117" s="25">
        <f t="shared" si="7"/>
        <v>5.0999999999999996</v>
      </c>
      <c r="I117" s="25">
        <f t="shared" si="7"/>
        <v>15.3</v>
      </c>
      <c r="J117" s="25">
        <f t="shared" si="7"/>
        <v>0.7</v>
      </c>
      <c r="K117" s="25">
        <f t="shared" si="7"/>
        <v>1.7999999999999999E-2</v>
      </c>
      <c r="L117" s="25">
        <f t="shared" si="7"/>
        <v>0.67299999999999993</v>
      </c>
      <c r="M117" s="25">
        <f t="shared" si="7"/>
        <v>8.9999999999999993E-3</v>
      </c>
      <c r="N117" s="25">
        <f t="shared" si="7"/>
        <v>0.44</v>
      </c>
      <c r="O117" s="25">
        <f t="shared" si="7"/>
        <v>1.5980000000000001</v>
      </c>
    </row>
    <row r="118" spans="3:15" x14ac:dyDescent="0.25">
      <c r="C118">
        <v>2065</v>
      </c>
      <c r="D118" s="25">
        <f t="shared" si="8"/>
        <v>6800</v>
      </c>
      <c r="E118" s="25">
        <f t="shared" si="9"/>
        <v>3.2</v>
      </c>
      <c r="F118" s="25">
        <f t="shared" si="7"/>
        <v>0.6</v>
      </c>
      <c r="G118" s="25"/>
      <c r="H118" s="25">
        <f t="shared" si="7"/>
        <v>5.0999999999999996</v>
      </c>
      <c r="I118" s="25">
        <f t="shared" si="7"/>
        <v>15.3</v>
      </c>
      <c r="J118" s="25">
        <f t="shared" si="7"/>
        <v>0.7</v>
      </c>
      <c r="K118" s="25">
        <f t="shared" si="7"/>
        <v>1.7999999999999999E-2</v>
      </c>
      <c r="L118" s="25">
        <f t="shared" si="7"/>
        <v>0.67299999999999993</v>
      </c>
      <c r="M118" s="25">
        <f t="shared" si="7"/>
        <v>8.9999999999999993E-3</v>
      </c>
      <c r="N118" s="25">
        <f t="shared" si="7"/>
        <v>0.44</v>
      </c>
      <c r="O118" s="25">
        <f t="shared" si="7"/>
        <v>1.5980000000000001</v>
      </c>
    </row>
    <row r="119" spans="3:15" x14ac:dyDescent="0.25">
      <c r="C119">
        <v>2066</v>
      </c>
      <c r="D119" s="25">
        <f t="shared" si="8"/>
        <v>6800</v>
      </c>
      <c r="E119" s="25">
        <f t="shared" si="9"/>
        <v>3.2</v>
      </c>
      <c r="F119" s="25">
        <f t="shared" si="7"/>
        <v>0.6</v>
      </c>
      <c r="G119" s="25"/>
      <c r="H119" s="25">
        <f t="shared" si="7"/>
        <v>5.0999999999999996</v>
      </c>
      <c r="I119" s="25">
        <f t="shared" si="7"/>
        <v>15.3</v>
      </c>
      <c r="J119" s="25">
        <f t="shared" si="7"/>
        <v>0.7</v>
      </c>
      <c r="K119" s="25">
        <f t="shared" si="7"/>
        <v>1.7999999999999999E-2</v>
      </c>
      <c r="L119" s="25">
        <f t="shared" si="7"/>
        <v>0.67299999999999993</v>
      </c>
      <c r="M119" s="25">
        <f t="shared" si="7"/>
        <v>8.9999999999999993E-3</v>
      </c>
      <c r="N119" s="25">
        <f t="shared" si="7"/>
        <v>0.44</v>
      </c>
      <c r="O119" s="25">
        <f t="shared" si="7"/>
        <v>1.5980000000000001</v>
      </c>
    </row>
    <row r="120" spans="3:15" x14ac:dyDescent="0.25">
      <c r="C120">
        <v>2067</v>
      </c>
      <c r="D120" s="25">
        <f t="shared" si="8"/>
        <v>6800</v>
      </c>
      <c r="E120" s="25">
        <f t="shared" si="9"/>
        <v>3.2</v>
      </c>
      <c r="F120" s="25">
        <f t="shared" si="9"/>
        <v>0.6</v>
      </c>
      <c r="G120" s="25"/>
      <c r="H120" s="25">
        <f t="shared" ref="H120:O122" si="10">H119</f>
        <v>5.0999999999999996</v>
      </c>
      <c r="I120" s="25">
        <f t="shared" si="10"/>
        <v>15.3</v>
      </c>
      <c r="J120" s="25">
        <f t="shared" si="10"/>
        <v>0.7</v>
      </c>
      <c r="K120" s="25">
        <f t="shared" si="10"/>
        <v>1.7999999999999999E-2</v>
      </c>
      <c r="L120" s="25">
        <f t="shared" si="10"/>
        <v>0.67299999999999993</v>
      </c>
      <c r="M120" s="25">
        <f t="shared" si="10"/>
        <v>8.9999999999999993E-3</v>
      </c>
      <c r="N120" s="25">
        <f t="shared" si="10"/>
        <v>0.44</v>
      </c>
      <c r="O120" s="25">
        <f t="shared" si="10"/>
        <v>1.5980000000000001</v>
      </c>
    </row>
    <row r="121" spans="3:15" x14ac:dyDescent="0.25">
      <c r="C121">
        <v>2068</v>
      </c>
      <c r="D121" s="25">
        <f t="shared" si="8"/>
        <v>6800</v>
      </c>
      <c r="E121" s="25">
        <f t="shared" si="9"/>
        <v>3.2</v>
      </c>
      <c r="F121" s="25">
        <f t="shared" si="9"/>
        <v>0.6</v>
      </c>
      <c r="G121" s="25"/>
      <c r="H121" s="25">
        <f t="shared" si="10"/>
        <v>5.0999999999999996</v>
      </c>
      <c r="I121" s="25">
        <f t="shared" si="10"/>
        <v>15.3</v>
      </c>
      <c r="J121" s="25">
        <f t="shared" si="10"/>
        <v>0.7</v>
      </c>
      <c r="K121" s="25">
        <f t="shared" si="10"/>
        <v>1.7999999999999999E-2</v>
      </c>
      <c r="L121" s="25">
        <f t="shared" si="10"/>
        <v>0.67299999999999993</v>
      </c>
      <c r="M121" s="25">
        <f t="shared" si="10"/>
        <v>8.9999999999999993E-3</v>
      </c>
      <c r="N121" s="25">
        <f t="shared" si="10"/>
        <v>0.44</v>
      </c>
      <c r="O121" s="25">
        <f t="shared" si="10"/>
        <v>1.5980000000000001</v>
      </c>
    </row>
    <row r="122" spans="3:15" x14ac:dyDescent="0.25">
      <c r="C122">
        <v>2069</v>
      </c>
      <c r="D122" s="25">
        <f>D$103/D$169*$D188</f>
        <v>6800</v>
      </c>
      <c r="E122" s="25">
        <f t="shared" si="9"/>
        <v>3.2</v>
      </c>
      <c r="F122" s="25">
        <f t="shared" si="9"/>
        <v>0.6</v>
      </c>
      <c r="G122" s="25"/>
      <c r="H122" s="25">
        <f t="shared" si="10"/>
        <v>5.0999999999999996</v>
      </c>
      <c r="I122" s="25">
        <f t="shared" si="10"/>
        <v>15.3</v>
      </c>
      <c r="J122" s="25">
        <f t="shared" si="10"/>
        <v>0.7</v>
      </c>
      <c r="K122" s="25">
        <f t="shared" si="10"/>
        <v>1.7999999999999999E-2</v>
      </c>
      <c r="L122" s="25">
        <f t="shared" si="10"/>
        <v>0.67299999999999993</v>
      </c>
      <c r="M122" s="25">
        <f t="shared" si="10"/>
        <v>8.9999999999999993E-3</v>
      </c>
      <c r="N122" s="25">
        <f t="shared" si="10"/>
        <v>0.44</v>
      </c>
      <c r="O122" s="25">
        <f t="shared" si="10"/>
        <v>1.5980000000000001</v>
      </c>
    </row>
    <row r="136" spans="3:20" ht="45" x14ac:dyDescent="0.25">
      <c r="C136" t="s">
        <v>8</v>
      </c>
      <c r="D136" s="1" t="s">
        <v>148</v>
      </c>
      <c r="E136" s="1" t="s">
        <v>149</v>
      </c>
      <c r="F136" s="1"/>
      <c r="G136" s="1"/>
      <c r="H136" s="1"/>
      <c r="I136" s="1"/>
      <c r="J136" s="1"/>
      <c r="K136" s="1"/>
      <c r="L136" s="1"/>
      <c r="M136" s="1"/>
      <c r="P136" s="1"/>
      <c r="Q136" s="1"/>
      <c r="R136" s="1"/>
      <c r="S136" s="1"/>
      <c r="T136" s="1"/>
    </row>
    <row r="137" spans="3:20" x14ac:dyDescent="0.25">
      <c r="D137" s="1" t="s">
        <v>150</v>
      </c>
      <c r="E137" s="1" t="s">
        <v>150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3:20" x14ac:dyDescent="0.25">
      <c r="C138" t="s">
        <v>2</v>
      </c>
      <c r="D138" t="s">
        <v>12</v>
      </c>
    </row>
    <row r="139" spans="3:20" x14ac:dyDescent="0.25">
      <c r="C139">
        <v>2020</v>
      </c>
      <c r="D139">
        <v>1025</v>
      </c>
      <c r="E139">
        <v>150</v>
      </c>
    </row>
    <row r="140" spans="3:20" x14ac:dyDescent="0.25">
      <c r="C140">
        <v>2021</v>
      </c>
      <c r="D140" s="25">
        <f>D139+((D144-D139)/5)</f>
        <v>1021.4</v>
      </c>
      <c r="E140" s="25">
        <f>E139+((E144-E139)/5)</f>
        <v>151.4</v>
      </c>
    </row>
    <row r="141" spans="3:20" x14ac:dyDescent="0.25">
      <c r="C141">
        <v>2022</v>
      </c>
      <c r="D141" s="25">
        <f>D140+((D144-D139)/5)</f>
        <v>1017.8</v>
      </c>
      <c r="E141" s="25">
        <f>E140+((E144-E139)/5)</f>
        <v>152.80000000000001</v>
      </c>
    </row>
    <row r="142" spans="3:20" x14ac:dyDescent="0.25">
      <c r="C142">
        <v>2023</v>
      </c>
      <c r="D142" s="25">
        <f>D141+((D144-D139)/5)</f>
        <v>1014.1999999999999</v>
      </c>
      <c r="E142" s="25">
        <f>E141+((E144-E139)/5)</f>
        <v>154.20000000000002</v>
      </c>
    </row>
    <row r="143" spans="3:20" x14ac:dyDescent="0.25">
      <c r="C143">
        <v>2024</v>
      </c>
      <c r="D143" s="25">
        <f>D142+((D144-D139)/5)</f>
        <v>1010.5999999999999</v>
      </c>
      <c r="E143" s="25">
        <f>E142+((E144-E139)/5)</f>
        <v>155.60000000000002</v>
      </c>
    </row>
    <row r="144" spans="3:20" x14ac:dyDescent="0.25">
      <c r="C144">
        <v>2025</v>
      </c>
      <c r="D144">
        <v>1007</v>
      </c>
      <c r="E144">
        <v>157</v>
      </c>
    </row>
    <row r="145" spans="3:5" x14ac:dyDescent="0.25">
      <c r="C145">
        <v>2026</v>
      </c>
      <c r="D145" s="25">
        <f>D144+((D149-D144)/5)</f>
        <v>1005</v>
      </c>
      <c r="E145" s="25">
        <f>E144+((E149-E144)/5)</f>
        <v>158</v>
      </c>
    </row>
    <row r="146" spans="3:5" x14ac:dyDescent="0.25">
      <c r="C146">
        <v>2027</v>
      </c>
      <c r="D146" s="25">
        <f>D145+((D149-D144)/5)</f>
        <v>1003</v>
      </c>
      <c r="E146" s="25">
        <f>E145+((E149-E144)/5)</f>
        <v>159</v>
      </c>
    </row>
    <row r="147" spans="3:5" x14ac:dyDescent="0.25">
      <c r="C147">
        <v>2028</v>
      </c>
      <c r="D147" s="25">
        <f>D146+((D149-D144)/5)</f>
        <v>1001</v>
      </c>
      <c r="E147" s="25">
        <f>E146+((E149-E144)/5)</f>
        <v>160</v>
      </c>
    </row>
    <row r="148" spans="3:5" x14ac:dyDescent="0.25">
      <c r="C148">
        <v>2029</v>
      </c>
      <c r="D148" s="25">
        <f>D147+((D149-D144)/5)</f>
        <v>999</v>
      </c>
      <c r="E148" s="25">
        <f>E147+((E149-E144)/5)</f>
        <v>161</v>
      </c>
    </row>
    <row r="149" spans="3:5" x14ac:dyDescent="0.25">
      <c r="C149">
        <v>2030</v>
      </c>
      <c r="D149">
        <v>997</v>
      </c>
      <c r="E149">
        <v>162</v>
      </c>
    </row>
    <row r="150" spans="3:5" x14ac:dyDescent="0.25">
      <c r="C150">
        <v>2031</v>
      </c>
      <c r="D150" s="25">
        <f>D149+((D154-D149)/5)</f>
        <v>1017.2</v>
      </c>
      <c r="E150" s="25">
        <f>E149+((E154-E149)/5)</f>
        <v>159.6</v>
      </c>
    </row>
    <row r="151" spans="3:5" x14ac:dyDescent="0.25">
      <c r="C151">
        <v>2032</v>
      </c>
      <c r="D151" s="25">
        <f>D150+((D154-D149)/5)</f>
        <v>1037.4000000000001</v>
      </c>
      <c r="E151" s="25">
        <f>E150+((E154-E149)/5)</f>
        <v>157.19999999999999</v>
      </c>
    </row>
    <row r="152" spans="3:5" x14ac:dyDescent="0.25">
      <c r="C152">
        <v>2033</v>
      </c>
      <c r="D152" s="25">
        <f>D151+((D154-D149)/5)</f>
        <v>1057.6000000000001</v>
      </c>
      <c r="E152" s="25">
        <f>E151+((E154-E149)/5)</f>
        <v>154.79999999999998</v>
      </c>
    </row>
    <row r="153" spans="3:5" x14ac:dyDescent="0.25">
      <c r="C153">
        <v>2034</v>
      </c>
      <c r="D153" s="25">
        <f>D152+((D154-D149)/5)</f>
        <v>1077.8000000000002</v>
      </c>
      <c r="E153" s="25">
        <f>E152+((E154-E149)/5)</f>
        <v>152.39999999999998</v>
      </c>
    </row>
    <row r="154" spans="3:5" x14ac:dyDescent="0.25">
      <c r="C154">
        <v>2035</v>
      </c>
      <c r="D154">
        <v>1098</v>
      </c>
      <c r="E154">
        <v>150</v>
      </c>
    </row>
    <row r="155" spans="3:5" x14ac:dyDescent="0.25">
      <c r="C155">
        <v>2036</v>
      </c>
      <c r="D155" s="25">
        <f>D154+((D159-D154)/5)</f>
        <v>1116</v>
      </c>
      <c r="E155" s="25">
        <f>E154+((E159-E154)/5)</f>
        <v>149.4</v>
      </c>
    </row>
    <row r="156" spans="3:5" x14ac:dyDescent="0.25">
      <c r="C156">
        <v>2037</v>
      </c>
      <c r="D156" s="25">
        <f>D155+((D159-D154)/5)</f>
        <v>1134</v>
      </c>
      <c r="E156" s="25">
        <f>E155+((E159-E154)/5)</f>
        <v>148.80000000000001</v>
      </c>
    </row>
    <row r="157" spans="3:5" x14ac:dyDescent="0.25">
      <c r="C157">
        <v>2038</v>
      </c>
      <c r="D157" s="25">
        <f>D156+((D159-D154)/5)</f>
        <v>1152</v>
      </c>
      <c r="E157" s="25">
        <f>E156+((E159-E154)/5)</f>
        <v>148.20000000000002</v>
      </c>
    </row>
    <row r="158" spans="3:5" x14ac:dyDescent="0.25">
      <c r="C158">
        <v>2039</v>
      </c>
      <c r="D158" s="25">
        <f>D157+((D159-D154)/5)</f>
        <v>1170</v>
      </c>
      <c r="E158" s="25">
        <f>E157+((E159-E154)/5)</f>
        <v>147.60000000000002</v>
      </c>
    </row>
    <row r="159" spans="3:5" x14ac:dyDescent="0.25">
      <c r="C159">
        <v>2040</v>
      </c>
      <c r="D159">
        <v>1188</v>
      </c>
      <c r="E159">
        <v>147</v>
      </c>
    </row>
    <row r="160" spans="3:5" x14ac:dyDescent="0.25">
      <c r="C160">
        <v>2041</v>
      </c>
      <c r="D160" s="25">
        <f>D159+((D164-D159)/5)</f>
        <v>1202</v>
      </c>
      <c r="E160" s="25">
        <f>E159+((E164-E159)/5)</f>
        <v>145.19999999999999</v>
      </c>
    </row>
    <row r="161" spans="3:5" x14ac:dyDescent="0.25">
      <c r="C161">
        <v>2042</v>
      </c>
      <c r="D161" s="25">
        <f>D160+((D164-D159)/5)</f>
        <v>1216</v>
      </c>
      <c r="E161" s="25">
        <f>E160+((E164-E159)/5)</f>
        <v>143.39999999999998</v>
      </c>
    </row>
    <row r="162" spans="3:5" x14ac:dyDescent="0.25">
      <c r="C162">
        <v>2043</v>
      </c>
      <c r="D162" s="25">
        <f>D161+((D164-D159)/5)</f>
        <v>1230</v>
      </c>
      <c r="E162" s="25">
        <f>E161+((E164-E159)/5)</f>
        <v>141.59999999999997</v>
      </c>
    </row>
    <row r="163" spans="3:5" x14ac:dyDescent="0.25">
      <c r="C163">
        <v>2044</v>
      </c>
      <c r="D163" s="25">
        <f>D162+((D164-D159)/5)</f>
        <v>1244</v>
      </c>
      <c r="E163" s="25">
        <f>E162+((E164-E159)/5)</f>
        <v>139.79999999999995</v>
      </c>
    </row>
    <row r="164" spans="3:5" x14ac:dyDescent="0.25">
      <c r="C164">
        <v>2045</v>
      </c>
      <c r="D164">
        <v>1258</v>
      </c>
      <c r="E164">
        <v>138</v>
      </c>
    </row>
    <row r="165" spans="3:5" x14ac:dyDescent="0.25">
      <c r="C165">
        <v>2046</v>
      </c>
      <c r="D165" s="25">
        <f>D164+((D169-D164)/5)</f>
        <v>1288.2</v>
      </c>
      <c r="E165" s="25">
        <f>E164+((E169-E164)/5)</f>
        <v>136.4</v>
      </c>
    </row>
    <row r="166" spans="3:5" x14ac:dyDescent="0.25">
      <c r="C166">
        <v>2047</v>
      </c>
      <c r="D166" s="25">
        <f>D165+((D169-D164)/5)</f>
        <v>1318.4</v>
      </c>
      <c r="E166" s="25">
        <f>E165+((E169-E164)/5)</f>
        <v>134.80000000000001</v>
      </c>
    </row>
    <row r="167" spans="3:5" x14ac:dyDescent="0.25">
      <c r="C167">
        <v>2048</v>
      </c>
      <c r="D167" s="25">
        <f>D166+((D169-D164)/5)</f>
        <v>1348.6000000000001</v>
      </c>
      <c r="E167" s="25">
        <f>E166+((E169-E164)/5)</f>
        <v>133.20000000000002</v>
      </c>
    </row>
    <row r="168" spans="3:5" x14ac:dyDescent="0.25">
      <c r="C168">
        <v>2049</v>
      </c>
      <c r="D168" s="25">
        <f>D167+((D169-D164)/5)</f>
        <v>1378.8000000000002</v>
      </c>
      <c r="E168" s="25">
        <f>E167+((E169-E164)/5)</f>
        <v>131.60000000000002</v>
      </c>
    </row>
    <row r="169" spans="3:5" x14ac:dyDescent="0.25">
      <c r="C169">
        <v>2050</v>
      </c>
      <c r="D169">
        <v>1409</v>
      </c>
      <c r="E169">
        <v>130</v>
      </c>
    </row>
    <row r="170" spans="3:5" x14ac:dyDescent="0.25">
      <c r="C170">
        <v>2051</v>
      </c>
      <c r="D170" s="25">
        <f>D169</f>
        <v>1409</v>
      </c>
      <c r="E170" s="25">
        <f>E169</f>
        <v>130</v>
      </c>
    </row>
    <row r="171" spans="3:5" x14ac:dyDescent="0.25">
      <c r="C171">
        <v>2052</v>
      </c>
      <c r="D171" s="25">
        <f t="shared" ref="D171:E188" si="11">D170</f>
        <v>1409</v>
      </c>
      <c r="E171" s="25">
        <f t="shared" si="11"/>
        <v>130</v>
      </c>
    </row>
    <row r="172" spans="3:5" x14ac:dyDescent="0.25">
      <c r="C172">
        <v>2053</v>
      </c>
      <c r="D172" s="25">
        <f t="shared" si="11"/>
        <v>1409</v>
      </c>
      <c r="E172" s="25">
        <f t="shared" si="11"/>
        <v>130</v>
      </c>
    </row>
    <row r="173" spans="3:5" x14ac:dyDescent="0.25">
      <c r="C173">
        <v>2054</v>
      </c>
      <c r="D173" s="25">
        <f t="shared" si="11"/>
        <v>1409</v>
      </c>
      <c r="E173" s="25">
        <f t="shared" si="11"/>
        <v>130</v>
      </c>
    </row>
    <row r="174" spans="3:5" x14ac:dyDescent="0.25">
      <c r="C174">
        <v>2055</v>
      </c>
      <c r="D174" s="25">
        <f t="shared" si="11"/>
        <v>1409</v>
      </c>
      <c r="E174" s="25">
        <f t="shared" si="11"/>
        <v>130</v>
      </c>
    </row>
    <row r="175" spans="3:5" x14ac:dyDescent="0.25">
      <c r="C175">
        <v>2056</v>
      </c>
      <c r="D175" s="25">
        <f t="shared" si="11"/>
        <v>1409</v>
      </c>
      <c r="E175" s="25">
        <f t="shared" si="11"/>
        <v>130</v>
      </c>
    </row>
    <row r="176" spans="3:5" x14ac:dyDescent="0.25">
      <c r="C176">
        <v>2057</v>
      </c>
      <c r="D176" s="25">
        <f t="shared" si="11"/>
        <v>1409</v>
      </c>
      <c r="E176" s="25">
        <f t="shared" si="11"/>
        <v>130</v>
      </c>
    </row>
    <row r="177" spans="3:5" x14ac:dyDescent="0.25">
      <c r="C177">
        <v>2058</v>
      </c>
      <c r="D177" s="25">
        <f t="shared" si="11"/>
        <v>1409</v>
      </c>
      <c r="E177" s="25">
        <f t="shared" si="11"/>
        <v>130</v>
      </c>
    </row>
    <row r="178" spans="3:5" x14ac:dyDescent="0.25">
      <c r="C178">
        <v>2059</v>
      </c>
      <c r="D178" s="25">
        <f t="shared" si="11"/>
        <v>1409</v>
      </c>
      <c r="E178" s="25">
        <f t="shared" si="11"/>
        <v>130</v>
      </c>
    </row>
    <row r="179" spans="3:5" x14ac:dyDescent="0.25">
      <c r="C179">
        <v>2060</v>
      </c>
      <c r="D179" s="25">
        <f t="shared" si="11"/>
        <v>1409</v>
      </c>
      <c r="E179" s="25">
        <f t="shared" si="11"/>
        <v>130</v>
      </c>
    </row>
    <row r="180" spans="3:5" x14ac:dyDescent="0.25">
      <c r="C180">
        <v>2061</v>
      </c>
      <c r="D180" s="25">
        <f t="shared" si="11"/>
        <v>1409</v>
      </c>
      <c r="E180" s="25">
        <f t="shared" si="11"/>
        <v>130</v>
      </c>
    </row>
    <row r="181" spans="3:5" x14ac:dyDescent="0.25">
      <c r="C181">
        <v>2062</v>
      </c>
      <c r="D181" s="25">
        <f t="shared" si="11"/>
        <v>1409</v>
      </c>
      <c r="E181" s="25">
        <f t="shared" si="11"/>
        <v>130</v>
      </c>
    </row>
    <row r="182" spans="3:5" x14ac:dyDescent="0.25">
      <c r="C182">
        <v>2063</v>
      </c>
      <c r="D182" s="25">
        <f t="shared" si="11"/>
        <v>1409</v>
      </c>
      <c r="E182" s="25">
        <f t="shared" si="11"/>
        <v>130</v>
      </c>
    </row>
    <row r="183" spans="3:5" x14ac:dyDescent="0.25">
      <c r="C183">
        <v>2064</v>
      </c>
      <c r="D183" s="25">
        <f t="shared" si="11"/>
        <v>1409</v>
      </c>
      <c r="E183" s="25">
        <f t="shared" si="11"/>
        <v>130</v>
      </c>
    </row>
    <row r="184" spans="3:5" x14ac:dyDescent="0.25">
      <c r="C184">
        <v>2065</v>
      </c>
      <c r="D184" s="25">
        <f t="shared" si="11"/>
        <v>1409</v>
      </c>
      <c r="E184" s="25">
        <f t="shared" si="11"/>
        <v>130</v>
      </c>
    </row>
    <row r="185" spans="3:5" x14ac:dyDescent="0.25">
      <c r="C185">
        <v>2066</v>
      </c>
      <c r="D185" s="25">
        <f t="shared" si="11"/>
        <v>1409</v>
      </c>
      <c r="E185" s="25">
        <f t="shared" si="11"/>
        <v>130</v>
      </c>
    </row>
    <row r="186" spans="3:5" x14ac:dyDescent="0.25">
      <c r="C186">
        <v>2067</v>
      </c>
      <c r="D186" s="25">
        <f t="shared" si="11"/>
        <v>1409</v>
      </c>
      <c r="E186" s="25">
        <f t="shared" si="11"/>
        <v>130</v>
      </c>
    </row>
    <row r="187" spans="3:5" x14ac:dyDescent="0.25">
      <c r="C187">
        <v>2068</v>
      </c>
      <c r="D187" s="25">
        <f t="shared" si="11"/>
        <v>1409</v>
      </c>
      <c r="E187" s="25">
        <f t="shared" si="11"/>
        <v>130</v>
      </c>
    </row>
    <row r="188" spans="3:5" x14ac:dyDescent="0.25">
      <c r="C188">
        <v>2069</v>
      </c>
      <c r="D188" s="25">
        <f t="shared" si="11"/>
        <v>1409</v>
      </c>
      <c r="E188" s="25">
        <f t="shared" si="11"/>
        <v>130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C5A8E-668C-4386-97CC-732E2927E6D2}">
  <dimension ref="D5:O5"/>
  <sheetViews>
    <sheetView workbookViewId="0">
      <selection activeCell="C3" sqref="C3:R14"/>
    </sheetView>
  </sheetViews>
  <sheetFormatPr defaultRowHeight="15" x14ac:dyDescent="0.25"/>
  <sheetData>
    <row r="5" spans="4:15" x14ac:dyDescent="0.25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4B4FF91B32FC48AB31BB1602F67EE5" ma:contentTypeVersion="11" ma:contentTypeDescription="Create a new document." ma:contentTypeScope="" ma:versionID="9f53a9ddcaf708ed38e855e14ee43128">
  <xsd:schema xmlns:xsd="http://www.w3.org/2001/XMLSchema" xmlns:xs="http://www.w3.org/2001/XMLSchema" xmlns:p="http://schemas.microsoft.com/office/2006/metadata/properties" xmlns:ns3="07957cf3-559b-4d45-8c0b-5f3a32008485" xmlns:ns4="885796f6-2d06-4771-987d-865446777b93" targetNamespace="http://schemas.microsoft.com/office/2006/metadata/properties" ma:root="true" ma:fieldsID="0bff92a3fedf4dc87f8b63593a76436d" ns3:_="" ns4:_="">
    <xsd:import namespace="07957cf3-559b-4d45-8c0b-5f3a32008485"/>
    <xsd:import namespace="885796f6-2d06-4771-987d-865446777b9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957cf3-559b-4d45-8c0b-5f3a3200848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5796f6-2d06-4771-987d-865446777b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A5394C-2CB8-4748-8D5B-27BA301728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957cf3-559b-4d45-8c0b-5f3a32008485"/>
    <ds:schemaRef ds:uri="885796f6-2d06-4771-987d-865446777b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D11932-A077-480F-9447-47A996EE4271}">
  <ds:schemaRefs>
    <ds:schemaRef ds:uri="http://schemas.microsoft.com/office/2006/metadata/properties"/>
    <ds:schemaRef ds:uri="http://purl.org/dc/terms/"/>
    <ds:schemaRef ds:uri="07957cf3-559b-4d45-8c0b-5f3a320084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885796f6-2d06-4771-987d-865446777b9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77DE390-71A3-4F0C-BAD9-F9C50E8719C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Option_data</vt:lpstr>
      <vt:lpstr>ES_Ele_emfac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Åström</dc:creator>
  <cp:lastModifiedBy>Stefan Åström</cp:lastModifiedBy>
  <dcterms:created xsi:type="dcterms:W3CDTF">2015-06-05T18:17:20Z</dcterms:created>
  <dcterms:modified xsi:type="dcterms:W3CDTF">2021-01-11T13:35:34Z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0x010100444B4FF91B32FC48AB31BB1602F67EE5</vt:lpwstr>
  </property>
</Properties>
</file>