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20" yWindow="-45" windowWidth="10875" windowHeight="6825" tabRatio="843" firstSheet="2" activeTab="11"/>
  </bookViews>
  <sheets>
    <sheet name="Лекції" sheetId="1" r:id="rId1"/>
    <sheet name="Бали за контр" sheetId="2" r:id="rId2"/>
    <sheet name="Довідник" sheetId="3" r:id="rId3"/>
    <sheet name="Завдання" sheetId="4" r:id="rId4"/>
    <sheet name="Списки" sheetId="5" state="hidden" r:id="rId5"/>
    <sheet name="Підсумки" sheetId="6" r:id="rId6"/>
    <sheet name="201_1" sheetId="7" r:id="rId7"/>
    <sheet name="201_2" sheetId="8" r:id="rId8"/>
    <sheet name="202_1" sheetId="9" r:id="rId9"/>
    <sheet name="202_2" sheetId="10" r:id="rId10"/>
    <sheet name="203_1" sheetId="11" r:id="rId11"/>
    <sheet name="203_2" sheetId="12" r:id="rId12"/>
    <sheet name="Sheet1" sheetId="13" state="hidden" r:id="rId13"/>
    <sheet name="Sheet2" sheetId="14" state="hidden" r:id="rId14"/>
  </sheets>
  <externalReferences>
    <externalReference r:id="rId15"/>
  </externalReferences>
  <definedNames>
    <definedName name="_xlnm._FilterDatabase" localSheetId="5" hidden="1">Підсумки!$A$3:$N$54</definedName>
    <definedName name="ESTC">Довідник!$A$2:$B$9</definedName>
    <definedName name="_xlnm.Print_Area" localSheetId="6">'201_1'!$A$2:$BA$47</definedName>
    <definedName name="_xlnm.Print_Area" localSheetId="7">'201_2'!$A$2:$BA$46</definedName>
    <definedName name="_xlnm.Print_Area" localSheetId="8">'202_1'!$A$2:$AK$49</definedName>
    <definedName name="_xlnm.Print_Area" localSheetId="9">'202_2'!$A$2:$AK$46</definedName>
    <definedName name="_xlnm.Print_Area" localSheetId="10">'203_1'!$A$2:$AK$47</definedName>
    <definedName name="_xlnm.Print_Area" localSheetId="11">'203_2'!$A$2:$AK$46</definedName>
    <definedName name="_xlnm.Print_Titles" localSheetId="6">'201_1'!$A:$C</definedName>
    <definedName name="_xlnm.Print_Titles" localSheetId="7">'201_2'!$A:$C</definedName>
    <definedName name="_xlnm.Print_Titles" localSheetId="8">'202_1'!$A:$C</definedName>
    <definedName name="_xlnm.Print_Titles" localSheetId="9">'202_2'!$A:$C</definedName>
    <definedName name="_xlnm.Print_Titles" localSheetId="10">'203_1'!$A:$C</definedName>
    <definedName name="_xlnm.Print_Titles" localSheetId="11">'203_2'!$A:$C</definedName>
    <definedName name="Z_0DACDB9F_1DED_4CA1_A223_ED8CF3AAE059_.wvu.PrintArea" localSheetId="6" hidden="1">'201_1'!$A$2:$BA$47</definedName>
    <definedName name="Z_0DACDB9F_1DED_4CA1_A223_ED8CF3AAE059_.wvu.PrintArea" localSheetId="7" hidden="1">'201_2'!$A$2:$AO$46</definedName>
    <definedName name="Z_0DACDB9F_1DED_4CA1_A223_ED8CF3AAE059_.wvu.PrintArea" localSheetId="8" hidden="1">'202_1'!$A$2:$AK$49</definedName>
    <definedName name="Z_0DACDB9F_1DED_4CA1_A223_ED8CF3AAE059_.wvu.PrintArea" localSheetId="9" hidden="1">'202_2'!$A$2:$AK$46</definedName>
    <definedName name="Z_0DACDB9F_1DED_4CA1_A223_ED8CF3AAE059_.wvu.PrintArea" localSheetId="10" hidden="1">'203_1'!$A$2:$AK$47</definedName>
    <definedName name="Z_0DACDB9F_1DED_4CA1_A223_ED8CF3AAE059_.wvu.PrintArea" localSheetId="11" hidden="1">'203_2'!$A$2:$AK$46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0DACDB9F_1DED_4CA1_A223_ED8CF3AAE059_.wvu.PrintTitles" localSheetId="10" hidden="1">'203_1'!$A:$C</definedName>
    <definedName name="Z_0DACDB9F_1DED_4CA1_A223_ED8CF3AAE059_.wvu.PrintTitles" localSheetId="11" hidden="1">'203_2'!$A:$C</definedName>
    <definedName name="Z_134EDDCA_7309_47EE_BAAB_632C7B2A96A3_.wvu.FilterData" localSheetId="5" hidden="1">Підсумки!$A$3:$N$54</definedName>
    <definedName name="Z_134EDDCA_7309_47EE_BAAB_632C7B2A96A3_.wvu.PrintArea" localSheetId="6" hidden="1">'201_1'!$A$2:$BA$47</definedName>
    <definedName name="Z_134EDDCA_7309_47EE_BAAB_632C7B2A96A3_.wvu.PrintArea" localSheetId="7" hidden="1">'201_2'!$A$2:$BA$46</definedName>
    <definedName name="Z_134EDDCA_7309_47EE_BAAB_632C7B2A96A3_.wvu.PrintArea" localSheetId="8" hidden="1">'202_1'!$A$2:$AK$49</definedName>
    <definedName name="Z_134EDDCA_7309_47EE_BAAB_632C7B2A96A3_.wvu.PrintArea" localSheetId="9" hidden="1">'202_2'!$A$2:$AK$46</definedName>
    <definedName name="Z_134EDDCA_7309_47EE_BAAB_632C7B2A96A3_.wvu.PrintArea" localSheetId="10" hidden="1">'203_1'!$A$2:$AK$47</definedName>
    <definedName name="Z_134EDDCA_7309_47EE_BAAB_632C7B2A96A3_.wvu.PrintArea" localSheetId="11" hidden="1">'203_2'!$A$2:$AK$46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PrintTitles" localSheetId="10" hidden="1">'203_1'!$A:$C</definedName>
    <definedName name="Z_134EDDCA_7309_47EE_BAAB_632C7B2A96A3_.wvu.PrintTitles" localSheetId="11" hidden="1">'203_2'!$A:$C</definedName>
    <definedName name="Z_134EDDCA_7309_47EE_BAAB_632C7B2A96A3_.wvu.Rows" localSheetId="8" hidden="1">'202_1'!$19:$21</definedName>
    <definedName name="Z_134EDDCA_7309_47EE_BAAB_632C7B2A96A3_.wvu.Rows" localSheetId="10" hidden="1">'203_1'!$19:$21</definedName>
    <definedName name="Z_1431BB82_382B_49E3_A435_36D988AC7FF6_.wvu.FilterData" localSheetId="5" hidden="1">Підсумки!$A$3:$N$54</definedName>
    <definedName name="Z_1431BB82_382B_49E3_A435_36D988AC7FF6_.wvu.PrintArea" localSheetId="6" hidden="1">'201_1'!$A$2:$BA$47</definedName>
    <definedName name="Z_1431BB82_382B_49E3_A435_36D988AC7FF6_.wvu.PrintArea" localSheetId="7" hidden="1">'201_2'!$A$2:$AO$46</definedName>
    <definedName name="Z_1431BB82_382B_49E3_A435_36D988AC7FF6_.wvu.PrintArea" localSheetId="8" hidden="1">'202_1'!$A$2:$AK$49</definedName>
    <definedName name="Z_1431BB82_382B_49E3_A435_36D988AC7FF6_.wvu.PrintArea" localSheetId="9" hidden="1">'202_2'!$A$2:$AK$46</definedName>
    <definedName name="Z_1431BB82_382B_49E3_A435_36D988AC7FF6_.wvu.PrintArea" localSheetId="10" hidden="1">'203_1'!$A$2:$AK$47</definedName>
    <definedName name="Z_1431BB82_382B_49E3_A435_36D988AC7FF6_.wvu.PrintArea" localSheetId="11" hidden="1">'203_2'!$A$2:$AK$46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431BB82_382B_49E3_A435_36D988AC7FF6_.wvu.PrintTitles" localSheetId="10" hidden="1">'203_1'!$A:$C</definedName>
    <definedName name="Z_1431BB82_382B_49E3_A435_36D988AC7FF6_.wvu.PrintTitles" localSheetId="11" hidden="1">'203_2'!$A:$C</definedName>
    <definedName name="Z_17400EAF_4B0B_49FE_8262_4A59DA70D10F_.wvu.FilterData" localSheetId="5" hidden="1">Підсумки!$A$3:$N$54</definedName>
    <definedName name="Z_17400EAF_4B0B_49FE_8262_4A59DA70D10F_.wvu.PrintArea" localSheetId="6" hidden="1">'201_1'!$A$2:$BA$47</definedName>
    <definedName name="Z_17400EAF_4B0B_49FE_8262_4A59DA70D10F_.wvu.PrintArea" localSheetId="7" hidden="1">'201_2'!$A$2:$AO$46</definedName>
    <definedName name="Z_17400EAF_4B0B_49FE_8262_4A59DA70D10F_.wvu.PrintArea" localSheetId="8" hidden="1">'202_1'!$A$2:$AK$49</definedName>
    <definedName name="Z_17400EAF_4B0B_49FE_8262_4A59DA70D10F_.wvu.PrintArea" localSheetId="9" hidden="1">'202_2'!$A$2:$AK$46</definedName>
    <definedName name="Z_17400EAF_4B0B_49FE_8262_4A59DA70D10F_.wvu.PrintArea" localSheetId="10" hidden="1">'203_1'!$A$2:$AK$47</definedName>
    <definedName name="Z_17400EAF_4B0B_49FE_8262_4A59DA70D10F_.wvu.PrintArea" localSheetId="11" hidden="1">'203_2'!$A$2:$AK$46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7400EAF_4B0B_49FE_8262_4A59DA70D10F_.wvu.PrintTitles" localSheetId="10" hidden="1">'203_1'!$A:$C</definedName>
    <definedName name="Z_17400EAF_4B0B_49FE_8262_4A59DA70D10F_.wvu.PrintTitles" localSheetId="11" hidden="1">'203_2'!$A:$C</definedName>
    <definedName name="Z_1C44C54F_C0A4_451D_B8A0_B8C17D7E284D_.wvu.FilterData" localSheetId="5" hidden="1">Підсумки!$A$3:$N$54</definedName>
    <definedName name="Z_1C44C54F_C0A4_451D_B8A0_B8C17D7E284D_.wvu.PrintArea" localSheetId="6" hidden="1">'201_1'!$A$2:$BA$47</definedName>
    <definedName name="Z_1C44C54F_C0A4_451D_B8A0_B8C17D7E284D_.wvu.PrintArea" localSheetId="7" hidden="1">'201_2'!$A$2:$BA$46</definedName>
    <definedName name="Z_1C44C54F_C0A4_451D_B8A0_B8C17D7E284D_.wvu.PrintArea" localSheetId="8" hidden="1">'202_1'!$A$2:$AK$49</definedName>
    <definedName name="Z_1C44C54F_C0A4_451D_B8A0_B8C17D7E284D_.wvu.PrintArea" localSheetId="9" hidden="1">'202_2'!$A$2:$AK$46</definedName>
    <definedName name="Z_1C44C54F_C0A4_451D_B8A0_B8C17D7E284D_.wvu.PrintArea" localSheetId="10" hidden="1">'203_1'!$A$2:$AK$47</definedName>
    <definedName name="Z_1C44C54F_C0A4_451D_B8A0_B8C17D7E284D_.wvu.PrintArea" localSheetId="11" hidden="1">'203_2'!$A$2:$AK$46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C44C54F_C0A4_451D_B8A0_B8C17D7E284D_.wvu.PrintTitles" localSheetId="10" hidden="1">'203_1'!$A:$C</definedName>
    <definedName name="Z_1C44C54F_C0A4_451D_B8A0_B8C17D7E284D_.wvu.PrintTitles" localSheetId="11" hidden="1">'203_2'!$A:$C</definedName>
    <definedName name="Z_1F0D860E_98B2_498A_824D_8FEF04055655_.wvu.PrintArea" localSheetId="6" hidden="1">'201_1'!$A$2:$AO$47</definedName>
    <definedName name="Z_1F0D860E_98B2_498A_824D_8FEF04055655_.wvu.PrintArea" localSheetId="7" hidden="1">'201_2'!$A$2:$AO$46</definedName>
    <definedName name="Z_1F0D860E_98B2_498A_824D_8FEF04055655_.wvu.PrintArea" localSheetId="8" hidden="1">'202_1'!$A$2:$AK$49</definedName>
    <definedName name="Z_1F0D860E_98B2_498A_824D_8FEF04055655_.wvu.PrintArea" localSheetId="9" hidden="1">'202_2'!$A$2:$AK$46</definedName>
    <definedName name="Z_1F0D860E_98B2_498A_824D_8FEF04055655_.wvu.PrintArea" localSheetId="10" hidden="1">'203_1'!$A$2:$AK$47</definedName>
    <definedName name="Z_1F0D860E_98B2_498A_824D_8FEF04055655_.wvu.PrintArea" localSheetId="11" hidden="1">'203_2'!$A$2:$AK$46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1F0D860E_98B2_498A_824D_8FEF04055655_.wvu.PrintTitles" localSheetId="10" hidden="1">'203_1'!$A:$C</definedName>
    <definedName name="Z_1F0D860E_98B2_498A_824D_8FEF04055655_.wvu.PrintTitles" localSheetId="11" hidden="1">'203_2'!$A:$C</definedName>
    <definedName name="Z_22DA0AE1_B88F_47E1_B433_AF546C17A3BE_.wvu.FilterData" localSheetId="5" hidden="1">Підсумки!$A$3:$N$54</definedName>
    <definedName name="Z_24E4B1B0_BD46_442E_9239_4999257F794B_.wvu.PrintArea" localSheetId="6" hidden="1">'201_1'!$A$2:$AU$32</definedName>
    <definedName name="Z_24E4B1B0_BD46_442E_9239_4999257F794B_.wvu.PrintArea" localSheetId="7" hidden="1">'201_2'!$A$2:$AU$31</definedName>
    <definedName name="Z_24E4B1B0_BD46_442E_9239_4999257F794B_.wvu.PrintArea" localSheetId="8" hidden="1">'202_1'!$A$2:$AU$34</definedName>
    <definedName name="Z_24E4B1B0_BD46_442E_9239_4999257F794B_.wvu.PrintArea" localSheetId="9" hidden="1">'202_2'!$A$2:$AU$31</definedName>
    <definedName name="Z_24E4B1B0_BD46_442E_9239_4999257F794B_.wvu.PrintArea" localSheetId="10" hidden="1">'203_1'!$A$2:$AU$32</definedName>
    <definedName name="Z_24E4B1B0_BD46_442E_9239_4999257F794B_.wvu.PrintArea" localSheetId="11" hidden="1">'203_2'!$A$2:$AU$31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4E4B1B0_BD46_442E_9239_4999257F794B_.wvu.PrintTitles" localSheetId="10" hidden="1">'203_1'!$A:$C</definedName>
    <definedName name="Z_24E4B1B0_BD46_442E_9239_4999257F794B_.wvu.PrintTitles" localSheetId="11" hidden="1">'203_2'!$A:$C</definedName>
    <definedName name="Z_2B1F19F5_DDBC_46F8_92CB_9A790CB7FD61_.wvu.PrintArea" localSheetId="6" hidden="1">'201_1'!$A$2:$AU$32</definedName>
    <definedName name="Z_2B1F19F5_DDBC_46F8_92CB_9A790CB7FD61_.wvu.PrintArea" localSheetId="7" hidden="1">'201_2'!$A$2:$AU$31</definedName>
    <definedName name="Z_2B1F19F5_DDBC_46F8_92CB_9A790CB7FD61_.wvu.PrintArea" localSheetId="8" hidden="1">'202_1'!$A$2:$AU$34</definedName>
    <definedName name="Z_2B1F19F5_DDBC_46F8_92CB_9A790CB7FD61_.wvu.PrintArea" localSheetId="9" hidden="1">'202_2'!$A$2:$AU$31</definedName>
    <definedName name="Z_2B1F19F5_DDBC_46F8_92CB_9A790CB7FD61_.wvu.PrintArea" localSheetId="10" hidden="1">'203_1'!$A$2:$AU$32</definedName>
    <definedName name="Z_2B1F19F5_DDBC_46F8_92CB_9A790CB7FD61_.wvu.PrintArea" localSheetId="11" hidden="1">'203_2'!$A$2:$AU$31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2B1F19F5_DDBC_46F8_92CB_9A790CB7FD61_.wvu.PrintTitles" localSheetId="10" hidden="1">'203_1'!$A:$C</definedName>
    <definedName name="Z_2B1F19F5_DDBC_46F8_92CB_9A790CB7FD61_.wvu.PrintTitles" localSheetId="11" hidden="1">'203_2'!$A:$C</definedName>
    <definedName name="Z_30318990_97FA_4B74_8A96_20B9CEE7B653_.wvu.PrintArea" localSheetId="6" hidden="1">'201_1'!$A$2:$BA$47</definedName>
    <definedName name="Z_30318990_97FA_4B74_8A96_20B9CEE7B653_.wvu.PrintArea" localSheetId="7" hidden="1">'201_2'!$A$2:$AO$46</definedName>
    <definedName name="Z_30318990_97FA_4B74_8A96_20B9CEE7B653_.wvu.PrintArea" localSheetId="8" hidden="1">'202_1'!$A$2:$AK$49</definedName>
    <definedName name="Z_30318990_97FA_4B74_8A96_20B9CEE7B653_.wvu.PrintArea" localSheetId="9" hidden="1">'202_2'!$A$2:$AK$46</definedName>
    <definedName name="Z_30318990_97FA_4B74_8A96_20B9CEE7B653_.wvu.PrintArea" localSheetId="10" hidden="1">'203_1'!$A$2:$AK$47</definedName>
    <definedName name="Z_30318990_97FA_4B74_8A96_20B9CEE7B653_.wvu.PrintArea" localSheetId="11" hidden="1">'203_2'!$A$2:$AK$46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0318990_97FA_4B74_8A96_20B9CEE7B653_.wvu.PrintTitles" localSheetId="10" hidden="1">'203_1'!$A:$C</definedName>
    <definedName name="Z_30318990_97FA_4B74_8A96_20B9CEE7B653_.wvu.PrintTitles" localSheetId="11" hidden="1">'203_2'!$A:$C</definedName>
    <definedName name="Z_33A37079_C128_4ED3_AE01_CFA8F2347C5B_.wvu.FilterData" localSheetId="5" hidden="1">Підсумки!$A$3:$N$54</definedName>
    <definedName name="Z_348445A1_B2DB_46F6_BCED_E41A58336029_.wvu.FilterData" localSheetId="5" hidden="1">Підсумки!$A$3:$N$54</definedName>
    <definedName name="Z_3EF0F3E9_9201_4028_86FF_6B06B2998A48_.wvu.PrintArea" localSheetId="6" hidden="1">'201_1'!$A$2:$BA$47</definedName>
    <definedName name="Z_3EF0F3E9_9201_4028_86FF_6B06B2998A48_.wvu.PrintArea" localSheetId="7" hidden="1">'201_2'!$A$2:$AO$46</definedName>
    <definedName name="Z_3EF0F3E9_9201_4028_86FF_6B06B2998A48_.wvu.PrintArea" localSheetId="8" hidden="1">'202_1'!$A$2:$AK$49</definedName>
    <definedName name="Z_3EF0F3E9_9201_4028_86FF_6B06B2998A48_.wvu.PrintArea" localSheetId="9" hidden="1">'202_2'!$A$2:$AK$46</definedName>
    <definedName name="Z_3EF0F3E9_9201_4028_86FF_6B06B2998A48_.wvu.PrintArea" localSheetId="10" hidden="1">'203_1'!$A$2:$AK$47</definedName>
    <definedName name="Z_3EF0F3E9_9201_4028_86FF_6B06B2998A48_.wvu.PrintArea" localSheetId="11" hidden="1">'203_2'!$A$2:$AK$46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3EF0F3E9_9201_4028_86FF_6B06B2998A48_.wvu.PrintTitles" localSheetId="10" hidden="1">'203_1'!$A:$C</definedName>
    <definedName name="Z_3EF0F3E9_9201_4028_86FF_6B06B2998A48_.wvu.PrintTitles" localSheetId="11" hidden="1">'203_2'!$A:$C</definedName>
    <definedName name="Z_4A4E10B3_98EA_434A_B904_9D953C49E914_.wvu.PrintArea" localSheetId="6" hidden="1">'201_1'!$A$2:$BA$47</definedName>
    <definedName name="Z_4A4E10B3_98EA_434A_B904_9D953C49E914_.wvu.PrintArea" localSheetId="7" hidden="1">'201_2'!$A$2:$AO$46</definedName>
    <definedName name="Z_4A4E10B3_98EA_434A_B904_9D953C49E914_.wvu.PrintArea" localSheetId="8" hidden="1">'202_1'!$A$2:$AK$49</definedName>
    <definedName name="Z_4A4E10B3_98EA_434A_B904_9D953C49E914_.wvu.PrintArea" localSheetId="9" hidden="1">'202_2'!$A$2:$AK$46</definedName>
    <definedName name="Z_4A4E10B3_98EA_434A_B904_9D953C49E914_.wvu.PrintArea" localSheetId="10" hidden="1">'203_1'!$A$2:$AK$47</definedName>
    <definedName name="Z_4A4E10B3_98EA_434A_B904_9D953C49E914_.wvu.PrintArea" localSheetId="11" hidden="1">'203_2'!$A$2:$AK$46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A4E10B3_98EA_434A_B904_9D953C49E914_.wvu.PrintTitles" localSheetId="10" hidden="1">'203_1'!$A:$C</definedName>
    <definedName name="Z_4A4E10B3_98EA_434A_B904_9D953C49E914_.wvu.PrintTitles" localSheetId="11" hidden="1">'203_2'!$A:$C</definedName>
    <definedName name="Z_4BCF288A_A595_4C42_82E7_535EDC2AC415_.wvu.FilterData" localSheetId="5" hidden="1">Підсумки!$A$3:$N$54</definedName>
    <definedName name="Z_4BCF288A_A595_4C42_82E7_535EDC2AC415_.wvu.PrintArea" localSheetId="6" hidden="1">'201_1'!$A$2:$BA$47</definedName>
    <definedName name="Z_4BCF288A_A595_4C42_82E7_535EDC2AC415_.wvu.PrintArea" localSheetId="7" hidden="1">'201_2'!$A$2:$BA$46</definedName>
    <definedName name="Z_4BCF288A_A595_4C42_82E7_535EDC2AC415_.wvu.PrintArea" localSheetId="8" hidden="1">'202_1'!$A$2:$AK$49</definedName>
    <definedName name="Z_4BCF288A_A595_4C42_82E7_535EDC2AC415_.wvu.PrintArea" localSheetId="9" hidden="1">'202_2'!$A$2:$AK$46</definedName>
    <definedName name="Z_4BCF288A_A595_4C42_82E7_535EDC2AC415_.wvu.PrintArea" localSheetId="10" hidden="1">'203_1'!$A$2:$AK$47</definedName>
    <definedName name="Z_4BCF288A_A595_4C42_82E7_535EDC2AC415_.wvu.PrintArea" localSheetId="11" hidden="1">'203_2'!$A$2:$AK$46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4BCF288A_A595_4C42_82E7_535EDC2AC415_.wvu.PrintTitles" localSheetId="10" hidden="1">'203_1'!$A:$C</definedName>
    <definedName name="Z_4BCF288A_A595_4C42_82E7_535EDC2AC415_.wvu.PrintTitles" localSheetId="11" hidden="1">'203_2'!$A:$C</definedName>
    <definedName name="Z_52C4EB7E_D421_4F3C_9418_E2E13C53098F_.wvu.FilterData" localSheetId="5" hidden="1">Підсумки!$A$3:$N$54</definedName>
    <definedName name="Z_52C4EB7E_D421_4F3C_9418_E2E13C53098F_.wvu.PrintArea" localSheetId="6" hidden="1">'201_1'!$A$2:$BA$47</definedName>
    <definedName name="Z_52C4EB7E_D421_4F3C_9418_E2E13C53098F_.wvu.PrintArea" localSheetId="7" hidden="1">'201_2'!$A$2:$AO$46</definedName>
    <definedName name="Z_52C4EB7E_D421_4F3C_9418_E2E13C53098F_.wvu.PrintArea" localSheetId="8" hidden="1">'202_1'!$A$2:$AK$49</definedName>
    <definedName name="Z_52C4EB7E_D421_4F3C_9418_E2E13C53098F_.wvu.PrintArea" localSheetId="9" hidden="1">'202_2'!$A$2:$AK$46</definedName>
    <definedName name="Z_52C4EB7E_D421_4F3C_9418_E2E13C53098F_.wvu.PrintArea" localSheetId="10" hidden="1">'203_1'!$A$2:$AK$47</definedName>
    <definedName name="Z_52C4EB7E_D421_4F3C_9418_E2E13C53098F_.wvu.PrintArea" localSheetId="11" hidden="1">'203_2'!$A$2:$AK$46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2C4EB7E_D421_4F3C_9418_E2E13C53098F_.wvu.PrintTitles" localSheetId="10" hidden="1">'203_1'!$A:$C</definedName>
    <definedName name="Z_52C4EB7E_D421_4F3C_9418_E2E13C53098F_.wvu.PrintTitles" localSheetId="11" hidden="1">'203_2'!$A:$C</definedName>
    <definedName name="Z_53A38DA5_95FD_4A64_854F_5006F456A394_.wvu.FilterData" localSheetId="5" hidden="1">Підсумки!$A$3:$N$54</definedName>
    <definedName name="Z_54CA7618_6F98_4F47_B371_BA051FE75870_.wvu.PrintArea" localSheetId="6" hidden="1">'201_1'!$A$2:$BA$47</definedName>
    <definedName name="Z_54CA7618_6F98_4F47_B371_BA051FE75870_.wvu.PrintArea" localSheetId="7" hidden="1">'201_2'!$A$2:$AO$46</definedName>
    <definedName name="Z_54CA7618_6F98_4F47_B371_BA051FE75870_.wvu.PrintArea" localSheetId="8" hidden="1">'202_1'!$A$2:$AK$49</definedName>
    <definedName name="Z_54CA7618_6F98_4F47_B371_BA051FE75870_.wvu.PrintArea" localSheetId="9" hidden="1">'202_2'!$A$2:$AK$46</definedName>
    <definedName name="Z_54CA7618_6F98_4F47_B371_BA051FE75870_.wvu.PrintArea" localSheetId="10" hidden="1">'203_1'!$A$2:$AK$47</definedName>
    <definedName name="Z_54CA7618_6F98_4F47_B371_BA051FE75870_.wvu.PrintArea" localSheetId="11" hidden="1">'203_2'!$A$2:$AK$46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4CA7618_6F98_4F47_B371_BA051FE75870_.wvu.PrintTitles" localSheetId="10" hidden="1">'203_1'!$A:$C</definedName>
    <definedName name="Z_54CA7618_6F98_4F47_B371_BA051FE75870_.wvu.PrintTitles" localSheetId="11" hidden="1">'203_2'!$A:$C</definedName>
    <definedName name="Z_575DD556_2391_4DD2_B247_D76EB2E70299_.wvu.FilterData" localSheetId="5" hidden="1">Підсумки!$A$3:$N$54</definedName>
    <definedName name="Z_575DD556_2391_4DD2_B247_D76EB2E70299_.wvu.PrintArea" localSheetId="6" hidden="1">'201_1'!$A$2:$BA$47</definedName>
    <definedName name="Z_575DD556_2391_4DD2_B247_D76EB2E70299_.wvu.PrintArea" localSheetId="7" hidden="1">'201_2'!$A$2:$AO$46</definedName>
    <definedName name="Z_575DD556_2391_4DD2_B247_D76EB2E70299_.wvu.PrintArea" localSheetId="8" hidden="1">'202_1'!$A$2:$AK$49</definedName>
    <definedName name="Z_575DD556_2391_4DD2_B247_D76EB2E70299_.wvu.PrintArea" localSheetId="9" hidden="1">'202_2'!$A$2:$AK$46</definedName>
    <definedName name="Z_575DD556_2391_4DD2_B247_D76EB2E70299_.wvu.PrintArea" localSheetId="10" hidden="1">'203_1'!$A$2:$AK$47</definedName>
    <definedName name="Z_575DD556_2391_4DD2_B247_D76EB2E70299_.wvu.PrintArea" localSheetId="11" hidden="1">'203_2'!$A$2:$AK$46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75DD556_2391_4DD2_B247_D76EB2E70299_.wvu.PrintTitles" localSheetId="10" hidden="1">'203_1'!$A:$C</definedName>
    <definedName name="Z_575DD556_2391_4DD2_B247_D76EB2E70299_.wvu.PrintTitles" localSheetId="11" hidden="1">'203_2'!$A:$C</definedName>
    <definedName name="Z_5FE79F59_D06C_47E9_A091_8A454305106D_.wvu.PrintArea" localSheetId="6" hidden="1">'201_1'!$A$2:$BA$47</definedName>
    <definedName name="Z_5FE79F59_D06C_47E9_A091_8A454305106D_.wvu.PrintArea" localSheetId="7" hidden="1">'201_2'!$A$2:$AO$46</definedName>
    <definedName name="Z_5FE79F59_D06C_47E9_A091_8A454305106D_.wvu.PrintArea" localSheetId="8" hidden="1">'202_1'!$A$2:$AK$49</definedName>
    <definedName name="Z_5FE79F59_D06C_47E9_A091_8A454305106D_.wvu.PrintArea" localSheetId="9" hidden="1">'202_2'!$A$2:$AK$46</definedName>
    <definedName name="Z_5FE79F59_D06C_47E9_A091_8A454305106D_.wvu.PrintArea" localSheetId="10" hidden="1">'203_1'!$A$2:$AK$47</definedName>
    <definedName name="Z_5FE79F59_D06C_47E9_A091_8A454305106D_.wvu.PrintArea" localSheetId="11" hidden="1">'203_2'!$A$2:$AK$46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5FE79F59_D06C_47E9_A091_8A454305106D_.wvu.PrintTitles" localSheetId="10" hidden="1">'203_1'!$A:$C</definedName>
    <definedName name="Z_5FE79F59_D06C_47E9_A091_8A454305106D_.wvu.PrintTitles" localSheetId="11" hidden="1">'203_2'!$A:$C</definedName>
    <definedName name="Z_6328EA24_1FA5_4B94_9ABC_245F045AD520_.wvu.PrintArea" localSheetId="6" hidden="1">'201_1'!$A$2:$AU$32</definedName>
    <definedName name="Z_6328EA24_1FA5_4B94_9ABC_245F045AD520_.wvu.PrintArea" localSheetId="7" hidden="1">'201_2'!$A$2:$AU$31</definedName>
    <definedName name="Z_6328EA24_1FA5_4B94_9ABC_245F045AD520_.wvu.PrintArea" localSheetId="8" hidden="1">'202_1'!$A$2:$AU$34</definedName>
    <definedName name="Z_6328EA24_1FA5_4B94_9ABC_245F045AD520_.wvu.PrintArea" localSheetId="9" hidden="1">'202_2'!$A$2:$AU$31</definedName>
    <definedName name="Z_6328EA24_1FA5_4B94_9ABC_245F045AD520_.wvu.PrintArea" localSheetId="10" hidden="1">'203_1'!$A$2:$AU$32</definedName>
    <definedName name="Z_6328EA24_1FA5_4B94_9ABC_245F045AD520_.wvu.PrintArea" localSheetId="11" hidden="1">'203_2'!$A$2:$AU$31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28EA24_1FA5_4B94_9ABC_245F045AD520_.wvu.PrintTitles" localSheetId="10" hidden="1">'203_1'!$A:$C</definedName>
    <definedName name="Z_6328EA24_1FA5_4B94_9ABC_245F045AD520_.wvu.PrintTitles" localSheetId="11" hidden="1">'203_2'!$A:$C</definedName>
    <definedName name="Z_63677729_B220_4674_B8DA_E23D188A7DD0_.wvu.PrintArea" localSheetId="6" hidden="1">'201_1'!$A$2:$BA$47</definedName>
    <definedName name="Z_63677729_B220_4674_B8DA_E23D188A7DD0_.wvu.PrintArea" localSheetId="7" hidden="1">'201_2'!$A$2:$AO$46</definedName>
    <definedName name="Z_63677729_B220_4674_B8DA_E23D188A7DD0_.wvu.PrintArea" localSheetId="8" hidden="1">'202_1'!$A$2:$AK$49</definedName>
    <definedName name="Z_63677729_B220_4674_B8DA_E23D188A7DD0_.wvu.PrintArea" localSheetId="9" hidden="1">'202_2'!$A$2:$AK$46</definedName>
    <definedName name="Z_63677729_B220_4674_B8DA_E23D188A7DD0_.wvu.PrintArea" localSheetId="10" hidden="1">'203_1'!$A$2:$AK$47</definedName>
    <definedName name="Z_63677729_B220_4674_B8DA_E23D188A7DD0_.wvu.PrintArea" localSheetId="11" hidden="1">'203_2'!$A$2:$AK$46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677729_B220_4674_B8DA_E23D188A7DD0_.wvu.PrintTitles" localSheetId="10" hidden="1">'203_1'!$A:$C</definedName>
    <definedName name="Z_63677729_B220_4674_B8DA_E23D188A7DD0_.wvu.PrintTitles" localSheetId="11" hidden="1">'203_2'!$A:$C</definedName>
    <definedName name="Z_639E5188_D90A_45C8_B0E7_531B3D055CC4_.wvu.PrintArea" localSheetId="6" hidden="1">'201_1'!$A$2:$BA$47</definedName>
    <definedName name="Z_639E5188_D90A_45C8_B0E7_531B3D055CC4_.wvu.PrintArea" localSheetId="7" hidden="1">'201_2'!$A$2:$AO$46</definedName>
    <definedName name="Z_639E5188_D90A_45C8_B0E7_531B3D055CC4_.wvu.PrintArea" localSheetId="8" hidden="1">'202_1'!$A$2:$AK$49</definedName>
    <definedName name="Z_639E5188_D90A_45C8_B0E7_531B3D055CC4_.wvu.PrintArea" localSheetId="9" hidden="1">'202_2'!$A$2:$AK$46</definedName>
    <definedName name="Z_639E5188_D90A_45C8_B0E7_531B3D055CC4_.wvu.PrintArea" localSheetId="10" hidden="1">'203_1'!$A$2:$AK$47</definedName>
    <definedName name="Z_639E5188_D90A_45C8_B0E7_531B3D055CC4_.wvu.PrintArea" localSheetId="11" hidden="1">'203_2'!$A$2:$AK$46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39E5188_D90A_45C8_B0E7_531B3D055CC4_.wvu.PrintTitles" localSheetId="10" hidden="1">'203_1'!$A:$C</definedName>
    <definedName name="Z_639E5188_D90A_45C8_B0E7_531B3D055CC4_.wvu.PrintTitles" localSheetId="11" hidden="1">'203_2'!$A:$C</definedName>
    <definedName name="Z_6C8D603E_9A1B_49F4_AEFE_06707C7BCD53_.wvu.FilterData" localSheetId="5" hidden="1">Підсумки!$A$3:$N$54</definedName>
    <definedName name="Z_6C8D603E_9A1B_49F4_AEFE_06707C7BCD53_.wvu.PrintArea" localSheetId="6" hidden="1">'201_1'!$A$2:$BA$47</definedName>
    <definedName name="Z_6C8D603E_9A1B_49F4_AEFE_06707C7BCD53_.wvu.PrintArea" localSheetId="7" hidden="1">'201_2'!$A$2:$BA$46</definedName>
    <definedName name="Z_6C8D603E_9A1B_49F4_AEFE_06707C7BCD53_.wvu.PrintArea" localSheetId="8" hidden="1">'202_1'!$A$2:$AK$49</definedName>
    <definedName name="Z_6C8D603E_9A1B_49F4_AEFE_06707C7BCD53_.wvu.PrintArea" localSheetId="9" hidden="1">'202_2'!$A$2:$AK$46</definedName>
    <definedName name="Z_6C8D603E_9A1B_49F4_AEFE_06707C7BCD53_.wvu.PrintArea" localSheetId="10" hidden="1">'203_1'!$A$2:$AK$47</definedName>
    <definedName name="Z_6C8D603E_9A1B_49F4_AEFE_06707C7BCD53_.wvu.PrintArea" localSheetId="11" hidden="1">'203_2'!$A$2:$AK$46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PrintTitles" localSheetId="10" hidden="1">'203_1'!$A:$C</definedName>
    <definedName name="Z_6C8D603E_9A1B_49F4_AEFE_06707C7BCD53_.wvu.PrintTitles" localSheetId="11" hidden="1">'203_2'!$A:$C</definedName>
    <definedName name="Z_6FD4170C_FF34_4F29_9D4F_E51601E8E054_.wvu.PrintArea" localSheetId="6" hidden="1">'201_1'!$A$2:$AO$47</definedName>
    <definedName name="Z_6FD4170C_FF34_4F29_9D4F_E51601E8E054_.wvu.PrintArea" localSheetId="7" hidden="1">'201_2'!$A$2:$AW$46</definedName>
    <definedName name="Z_6FD4170C_FF34_4F29_9D4F_E51601E8E054_.wvu.PrintArea" localSheetId="8" hidden="1">'202_1'!$A$2:$AK$49</definedName>
    <definedName name="Z_6FD4170C_FF34_4F29_9D4F_E51601E8E054_.wvu.PrintArea" localSheetId="9" hidden="1">'202_2'!$A$2:$AK$46</definedName>
    <definedName name="Z_6FD4170C_FF34_4F29_9D4F_E51601E8E054_.wvu.PrintArea" localSheetId="10" hidden="1">'203_1'!$A$2:$AK$47</definedName>
    <definedName name="Z_6FD4170C_FF34_4F29_9D4F_E51601E8E054_.wvu.PrintArea" localSheetId="11" hidden="1">'203_2'!$A$2:$AK$46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6FD4170C_FF34_4F29_9D4F_E51601E8E054_.wvu.PrintTitles" localSheetId="10" hidden="1">'203_1'!$A:$C</definedName>
    <definedName name="Z_6FD4170C_FF34_4F29_9D4F_E51601E8E054_.wvu.PrintTitles" localSheetId="11" hidden="1">'203_2'!$A:$C</definedName>
    <definedName name="Z_75769618_2852_4512_8EF1_DEA65DE197E1_.wvu.PrintArea" localSheetId="6" hidden="1">'201_1'!$A$2:$AO$47</definedName>
    <definedName name="Z_75769618_2852_4512_8EF1_DEA65DE197E1_.wvu.PrintArea" localSheetId="7" hidden="1">'201_2'!$A$2:$AO$46</definedName>
    <definedName name="Z_75769618_2852_4512_8EF1_DEA65DE197E1_.wvu.PrintArea" localSheetId="8" hidden="1">'202_1'!$A$2:$AK$49</definedName>
    <definedName name="Z_75769618_2852_4512_8EF1_DEA65DE197E1_.wvu.PrintArea" localSheetId="9" hidden="1">'202_2'!$A$2:$AK$46</definedName>
    <definedName name="Z_75769618_2852_4512_8EF1_DEA65DE197E1_.wvu.PrintArea" localSheetId="10" hidden="1">'203_1'!$A$2:$AK$47</definedName>
    <definedName name="Z_75769618_2852_4512_8EF1_DEA65DE197E1_.wvu.PrintArea" localSheetId="11" hidden="1">'203_2'!$A$2:$AK$46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5769618_2852_4512_8EF1_DEA65DE197E1_.wvu.PrintTitles" localSheetId="10" hidden="1">'203_1'!$A:$C</definedName>
    <definedName name="Z_75769618_2852_4512_8EF1_DEA65DE197E1_.wvu.PrintTitles" localSheetId="11" hidden="1">'203_2'!$A:$C</definedName>
    <definedName name="Z_7828284E_5BC2_4532_AE4F_135B19275FE1_.wvu.PrintArea" localSheetId="6" hidden="1">'201_1'!$A$2:$AU$32</definedName>
    <definedName name="Z_7828284E_5BC2_4532_AE4F_135B19275FE1_.wvu.PrintArea" localSheetId="7" hidden="1">'201_2'!$A$2:$AU$31</definedName>
    <definedName name="Z_7828284E_5BC2_4532_AE4F_135B19275FE1_.wvu.PrintArea" localSheetId="8" hidden="1">'202_1'!$A$2:$AU$34</definedName>
    <definedName name="Z_7828284E_5BC2_4532_AE4F_135B19275FE1_.wvu.PrintArea" localSheetId="9" hidden="1">'202_2'!$A$2:$AU$31</definedName>
    <definedName name="Z_7828284E_5BC2_4532_AE4F_135B19275FE1_.wvu.PrintArea" localSheetId="10" hidden="1">'203_1'!$A$2:$AU$32</definedName>
    <definedName name="Z_7828284E_5BC2_4532_AE4F_135B19275FE1_.wvu.PrintArea" localSheetId="11" hidden="1">'203_2'!$A$2:$AU$31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828284E_5BC2_4532_AE4F_135B19275FE1_.wvu.PrintTitles" localSheetId="10" hidden="1">'203_1'!$A:$C</definedName>
    <definedName name="Z_7828284E_5BC2_4532_AE4F_135B19275FE1_.wvu.PrintTitles" localSheetId="11" hidden="1">'203_2'!$A:$C</definedName>
    <definedName name="Z_7DAD0CBB_837D_490E_8AD8_C7F6F6026BC2_.wvu.PrintArea" localSheetId="6" hidden="1">'201_1'!$A$2:$BA$47</definedName>
    <definedName name="Z_7DAD0CBB_837D_490E_8AD8_C7F6F6026BC2_.wvu.PrintArea" localSheetId="7" hidden="1">'201_2'!$A$2:$AO$46</definedName>
    <definedName name="Z_7DAD0CBB_837D_490E_8AD8_C7F6F6026BC2_.wvu.PrintArea" localSheetId="8" hidden="1">'202_1'!$A$2:$AK$49</definedName>
    <definedName name="Z_7DAD0CBB_837D_490E_8AD8_C7F6F6026BC2_.wvu.PrintArea" localSheetId="9" hidden="1">'202_2'!$A$2:$AK$46</definedName>
    <definedName name="Z_7DAD0CBB_837D_490E_8AD8_C7F6F6026BC2_.wvu.PrintArea" localSheetId="10" hidden="1">'203_1'!$A$2:$AK$47</definedName>
    <definedName name="Z_7DAD0CBB_837D_490E_8AD8_C7F6F6026BC2_.wvu.PrintArea" localSheetId="11" hidden="1">'203_2'!$A$2:$AK$46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7DAD0CBB_837D_490E_8AD8_C7F6F6026BC2_.wvu.PrintTitles" localSheetId="10" hidden="1">'203_1'!$A:$C</definedName>
    <definedName name="Z_7DAD0CBB_837D_490E_8AD8_C7F6F6026BC2_.wvu.PrintTitles" localSheetId="11" hidden="1">'203_2'!$A:$C</definedName>
    <definedName name="Z_85387D8F_322B_4575_A31F_6C67D6D60B03_.wvu.PrintArea" localSheetId="6" hidden="1">'201_1'!$A$2:$AU$32</definedName>
    <definedName name="Z_85387D8F_322B_4575_A31F_6C67D6D60B03_.wvu.PrintArea" localSheetId="7" hidden="1">'201_2'!$A$2:$AU$31</definedName>
    <definedName name="Z_85387D8F_322B_4575_A31F_6C67D6D60B03_.wvu.PrintArea" localSheetId="8" hidden="1">'202_1'!$A$2:$AU$34</definedName>
    <definedName name="Z_85387D8F_322B_4575_A31F_6C67D6D60B03_.wvu.PrintArea" localSheetId="9" hidden="1">'202_2'!$A$2:$AU$31</definedName>
    <definedName name="Z_85387D8F_322B_4575_A31F_6C67D6D60B03_.wvu.PrintArea" localSheetId="10" hidden="1">'203_1'!$A$2:$AU$32</definedName>
    <definedName name="Z_85387D8F_322B_4575_A31F_6C67D6D60B03_.wvu.PrintArea" localSheetId="11" hidden="1">'203_2'!$A$2:$AU$31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5387D8F_322B_4575_A31F_6C67D6D60B03_.wvu.PrintTitles" localSheetId="10" hidden="1">'203_1'!$A:$C</definedName>
    <definedName name="Z_85387D8F_322B_4575_A31F_6C67D6D60B03_.wvu.PrintTitles" localSheetId="11" hidden="1">'203_2'!$A:$C</definedName>
    <definedName name="Z_86E46D09_7AE0_4152_9FFC_C08D0784D8A7_.wvu.PrintArea" localSheetId="6" hidden="1">'201_1'!$A$2:$AU$32</definedName>
    <definedName name="Z_86E46D09_7AE0_4152_9FFC_C08D0784D8A7_.wvu.PrintArea" localSheetId="7" hidden="1">'201_2'!$A$2:$AU$31</definedName>
    <definedName name="Z_86E46D09_7AE0_4152_9FFC_C08D0784D8A7_.wvu.PrintArea" localSheetId="8" hidden="1">'202_1'!$A$2:$AU$34</definedName>
    <definedName name="Z_86E46D09_7AE0_4152_9FFC_C08D0784D8A7_.wvu.PrintArea" localSheetId="9" hidden="1">'202_2'!$A$2:$AU$31</definedName>
    <definedName name="Z_86E46D09_7AE0_4152_9FFC_C08D0784D8A7_.wvu.PrintArea" localSheetId="10" hidden="1">'203_1'!$A$2:$AU$32</definedName>
    <definedName name="Z_86E46D09_7AE0_4152_9FFC_C08D0784D8A7_.wvu.PrintArea" localSheetId="11" hidden="1">'203_2'!$A$2:$AU$31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6E46D09_7AE0_4152_9FFC_C08D0784D8A7_.wvu.PrintTitles" localSheetId="10" hidden="1">'203_1'!$A:$C</definedName>
    <definedName name="Z_86E46D09_7AE0_4152_9FFC_C08D0784D8A7_.wvu.PrintTitles" localSheetId="11" hidden="1">'203_2'!$A:$C</definedName>
    <definedName name="Z_8DFD9D66_8B11_4E3E_B614_03CD90A02DAE_.wvu.PrintArea" localSheetId="6" hidden="1">'201_1'!$A$2:$AO$47</definedName>
    <definedName name="Z_8DFD9D66_8B11_4E3E_B614_03CD90A02DAE_.wvu.PrintArea" localSheetId="7" hidden="1">'201_2'!$A$2:$AO$46</definedName>
    <definedName name="Z_8DFD9D66_8B11_4E3E_B614_03CD90A02DAE_.wvu.PrintArea" localSheetId="8" hidden="1">'202_1'!$A$2:$AK$49</definedName>
    <definedName name="Z_8DFD9D66_8B11_4E3E_B614_03CD90A02DAE_.wvu.PrintArea" localSheetId="9" hidden="1">'202_2'!$A$2:$AK$46</definedName>
    <definedName name="Z_8DFD9D66_8B11_4E3E_B614_03CD90A02DAE_.wvu.PrintArea" localSheetId="10" hidden="1">'203_1'!$A$2:$AK$47</definedName>
    <definedName name="Z_8DFD9D66_8B11_4E3E_B614_03CD90A02DAE_.wvu.PrintArea" localSheetId="11" hidden="1">'203_2'!$A$2:$AK$46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PrintTitles" localSheetId="10" hidden="1">'203_1'!$A:$C</definedName>
    <definedName name="Z_8DFD9D66_8B11_4E3E_B614_03CD90A02DAE_.wvu.PrintTitles" localSheetId="11" hidden="1">'203_2'!$A:$C</definedName>
    <definedName name="Z_8DFD9D66_8B11_4E3E_B614_03CD90A02DAE_.wvu.Rows" localSheetId="6" hidden="1">'201_1'!$34:$34,'201_1'!$38:$38,'201_1'!$44:$44,'201_1'!$46:$46</definedName>
    <definedName name="Z_8DFD9D66_8B11_4E3E_B614_03CD90A02DAE_.wvu.Rows" localSheetId="7" hidden="1">'201_2'!$33:$33,'201_2'!$37:$37,'201_2'!$43:$43,'201_2'!$45:$45</definedName>
    <definedName name="Z_8DFD9D66_8B11_4E3E_B614_03CD90A02DAE_.wvu.Rows" localSheetId="8" hidden="1">'202_1'!$36:$36,'202_1'!$40:$40,'202_1'!$46:$46,'202_1'!$48:$48</definedName>
    <definedName name="Z_8DFD9D66_8B11_4E3E_B614_03CD90A02DAE_.wvu.Rows" localSheetId="9" hidden="1">'202_2'!$33:$33,'202_2'!$37:$37,'202_2'!$43:$43,'202_2'!$45:$45</definedName>
    <definedName name="Z_8DFD9D66_8B11_4E3E_B614_03CD90A02DAE_.wvu.Rows" localSheetId="10" hidden="1">'203_1'!$34:$34,'203_1'!$38:$38,'203_1'!$44:$44,'203_1'!$46:$46</definedName>
    <definedName name="Z_8DFD9D66_8B11_4E3E_B614_03CD90A02DAE_.wvu.Rows" localSheetId="11" hidden="1">'203_2'!$33:$33,'203_2'!$37:$37,'203_2'!$43:$43,'203_2'!$45:$45</definedName>
    <definedName name="Z_8FD84C4E_2C18_420F_8708_98FB7EED86F5_.wvu.PrintArea" localSheetId="6" hidden="1">'201_1'!$A$2:$BA$47</definedName>
    <definedName name="Z_8FD84C4E_2C18_420F_8708_98FB7EED86F5_.wvu.PrintArea" localSheetId="7" hidden="1">'201_2'!$A$2:$AO$46</definedName>
    <definedName name="Z_8FD84C4E_2C18_420F_8708_98FB7EED86F5_.wvu.PrintArea" localSheetId="8" hidden="1">'202_1'!$A$2:$AK$49</definedName>
    <definedName name="Z_8FD84C4E_2C18_420F_8708_98FB7EED86F5_.wvu.PrintArea" localSheetId="9" hidden="1">'202_2'!$A$2:$AK$46</definedName>
    <definedName name="Z_8FD84C4E_2C18_420F_8708_98FB7EED86F5_.wvu.PrintArea" localSheetId="10" hidden="1">'203_1'!$A$2:$AK$47</definedName>
    <definedName name="Z_8FD84C4E_2C18_420F_8708_98FB7EED86F5_.wvu.PrintArea" localSheetId="11" hidden="1">'203_2'!$A$2:$AK$46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8FD84C4E_2C18_420F_8708_98FB7EED86F5_.wvu.PrintTitles" localSheetId="10" hidden="1">'203_1'!$A:$C</definedName>
    <definedName name="Z_8FD84C4E_2C18_420F_8708_98FB7EED86F5_.wvu.PrintTitles" localSheetId="11" hidden="1">'203_2'!$A:$C</definedName>
    <definedName name="Z_93F6C3DE_1F92_4632_8907_1A4A95278937_.wvu.PrintArea" localSheetId="6" hidden="1">'201_1'!$A$2:$AU$32</definedName>
    <definedName name="Z_93F6C3DE_1F92_4632_8907_1A4A95278937_.wvu.PrintArea" localSheetId="7" hidden="1">'201_2'!$A$2:$AU$31</definedName>
    <definedName name="Z_93F6C3DE_1F92_4632_8907_1A4A95278937_.wvu.PrintArea" localSheetId="8" hidden="1">'202_1'!$A$2:$AU$34</definedName>
    <definedName name="Z_93F6C3DE_1F92_4632_8907_1A4A95278937_.wvu.PrintArea" localSheetId="9" hidden="1">'202_2'!$A$2:$AU$31</definedName>
    <definedName name="Z_93F6C3DE_1F92_4632_8907_1A4A95278937_.wvu.PrintArea" localSheetId="10" hidden="1">'203_1'!$A$2:$AU$32</definedName>
    <definedName name="Z_93F6C3DE_1F92_4632_8907_1A4A95278937_.wvu.PrintArea" localSheetId="11" hidden="1">'203_2'!$A$2:$AU$31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3F6C3DE_1F92_4632_8907_1A4A95278937_.wvu.PrintTitles" localSheetId="10" hidden="1">'203_1'!$A:$C</definedName>
    <definedName name="Z_93F6C3DE_1F92_4632_8907_1A4A95278937_.wvu.PrintTitles" localSheetId="11" hidden="1">'203_2'!$A:$C</definedName>
    <definedName name="Z_9441459E_E2AF_4712_941E_3718915AA278_.wvu.PrintArea" localSheetId="6" hidden="1">'201_1'!$A$2:$AU$32</definedName>
    <definedName name="Z_9441459E_E2AF_4712_941E_3718915AA278_.wvu.PrintArea" localSheetId="7" hidden="1">'201_2'!$A$2:$AU$31</definedName>
    <definedName name="Z_9441459E_E2AF_4712_941E_3718915AA278_.wvu.PrintArea" localSheetId="8" hidden="1">'202_1'!$A$2:$AU$34</definedName>
    <definedName name="Z_9441459E_E2AF_4712_941E_3718915AA278_.wvu.PrintArea" localSheetId="9" hidden="1">'202_2'!$A$2:$AU$31</definedName>
    <definedName name="Z_9441459E_E2AF_4712_941E_3718915AA278_.wvu.PrintArea" localSheetId="10" hidden="1">'203_1'!$A$2:$AU$32</definedName>
    <definedName name="Z_9441459E_E2AF_4712_941E_3718915AA278_.wvu.PrintArea" localSheetId="11" hidden="1">'203_2'!$A$2:$AU$31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441459E_E2AF_4712_941E_3718915AA278_.wvu.PrintTitles" localSheetId="10" hidden="1">'203_1'!$A:$C</definedName>
    <definedName name="Z_9441459E_E2AF_4712_941E_3718915AA278_.wvu.PrintTitles" localSheetId="11" hidden="1">'203_2'!$A:$C</definedName>
    <definedName name="Z_9581BC83_4638_4839_B4A7_A6430282DE49_.wvu.PrintArea" localSheetId="6" hidden="1">'201_1'!$A$1:$BC$47</definedName>
    <definedName name="Z_9581BC83_4638_4839_B4A7_A6430282DE49_.wvu.PrintArea" localSheetId="7" hidden="1">'201_2'!$A$2:$AO$46</definedName>
    <definedName name="Z_9581BC83_4638_4839_B4A7_A6430282DE49_.wvu.PrintArea" localSheetId="8" hidden="1">'202_1'!$A$1:$BC$49</definedName>
    <definedName name="Z_9581BC83_4638_4839_B4A7_A6430282DE49_.wvu.PrintArea" localSheetId="9" hidden="1">'202_2'!$A$1:$BC$46</definedName>
    <definedName name="Z_9581BC83_4638_4839_B4A7_A6430282DE49_.wvu.PrintArea" localSheetId="10" hidden="1">'203_1'!$A$1:$BC$47</definedName>
    <definedName name="Z_9581BC83_4638_4839_B4A7_A6430282DE49_.wvu.PrintArea" localSheetId="11" hidden="1">'203_2'!$A$1:$BC$46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PrintTitles" localSheetId="10" hidden="1">'203_1'!$A:$C</definedName>
    <definedName name="Z_9581BC83_4638_4839_B4A7_A6430282DE49_.wvu.PrintTitles" localSheetId="11" hidden="1">'203_2'!$A:$C</definedName>
    <definedName name="Z_9581BC83_4638_4839_B4A7_A6430282DE49_.wvu.Rows" localSheetId="5" hidden="1">Підсумки!$16:$27</definedName>
    <definedName name="Z_96506512_4E88_4EBC_B2E5_F270E8DFA42E_.wvu.FilterData" localSheetId="5" hidden="1">Підсумки!$A$3:$N$54</definedName>
    <definedName name="Z_96BFE75B_9E94_4DC9_803C_D5A288E717C0_.wvu.FilterData" localSheetId="5" hidden="1">Підсумки!$A$3:$N$54</definedName>
    <definedName name="Z_96BFE75B_9E94_4DC9_803C_D5A288E717C0_.wvu.PrintArea" localSheetId="6" hidden="1">'201_1'!$A$2:$BA$47</definedName>
    <definedName name="Z_96BFE75B_9E94_4DC9_803C_D5A288E717C0_.wvu.PrintArea" localSheetId="7" hidden="1">'201_2'!$A$2:$AO$46</definedName>
    <definedName name="Z_96BFE75B_9E94_4DC9_803C_D5A288E717C0_.wvu.PrintArea" localSheetId="8" hidden="1">'202_1'!$A$2:$AK$49</definedName>
    <definedName name="Z_96BFE75B_9E94_4DC9_803C_D5A288E717C0_.wvu.PrintArea" localSheetId="9" hidden="1">'202_2'!$A$2:$AK$46</definedName>
    <definedName name="Z_96BFE75B_9E94_4DC9_803C_D5A288E717C0_.wvu.PrintArea" localSheetId="10" hidden="1">'203_1'!$A$2:$AK$47</definedName>
    <definedName name="Z_96BFE75B_9E94_4DC9_803C_D5A288E717C0_.wvu.PrintArea" localSheetId="11" hidden="1">'203_2'!$A$2:$AK$46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PrintTitles" localSheetId="10" hidden="1">'203_1'!$A:$C</definedName>
    <definedName name="Z_96BFE75B_9E94_4DC9_803C_D5A288E717C0_.wvu.PrintTitles" localSheetId="11" hidden="1">'203_2'!$A:$C</definedName>
    <definedName name="Z_96BFE75B_9E94_4DC9_803C_D5A288E717C0_.wvu.Rows" localSheetId="5" hidden="1">Підсумки!$16:$27</definedName>
    <definedName name="Z_9C7739AD_D79A_4615_8907_26825AF05259_.wvu.FilterData" localSheetId="5" hidden="1">Підсумки!$A$3:$N$54</definedName>
    <definedName name="Z_AAE6FF24_C1F0_4266_B899_2398D5DAFFD0_.wvu.PrintArea" localSheetId="6" hidden="1">'201_1'!$A$2:$AU$32</definedName>
    <definedName name="Z_AAE6FF24_C1F0_4266_B899_2398D5DAFFD0_.wvu.PrintArea" localSheetId="7" hidden="1">'201_2'!$A$2:$AU$31</definedName>
    <definedName name="Z_AAE6FF24_C1F0_4266_B899_2398D5DAFFD0_.wvu.PrintArea" localSheetId="8" hidden="1">'202_1'!$A$2:$AU$34</definedName>
    <definedName name="Z_AAE6FF24_C1F0_4266_B899_2398D5DAFFD0_.wvu.PrintArea" localSheetId="9" hidden="1">'202_2'!$A$2:$AU$31</definedName>
    <definedName name="Z_AAE6FF24_C1F0_4266_B899_2398D5DAFFD0_.wvu.PrintArea" localSheetId="10" hidden="1">'203_1'!$A$2:$AU$32</definedName>
    <definedName name="Z_AAE6FF24_C1F0_4266_B899_2398D5DAFFD0_.wvu.PrintArea" localSheetId="11" hidden="1">'203_2'!$A$2:$AU$31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AAE6FF24_C1F0_4266_B899_2398D5DAFFD0_.wvu.PrintTitles" localSheetId="10" hidden="1">'203_1'!$A:$C</definedName>
    <definedName name="Z_AAE6FF24_C1F0_4266_B899_2398D5DAFFD0_.wvu.PrintTitles" localSheetId="11" hidden="1">'203_2'!$A:$C</definedName>
    <definedName name="Z_BA384526_2B52_499B_A6CB_A20D93F7D458_.wvu.PrintArea" localSheetId="6" hidden="1">'201_1'!$A$2:$AU$32</definedName>
    <definedName name="Z_BA384526_2B52_499B_A6CB_A20D93F7D458_.wvu.PrintArea" localSheetId="7" hidden="1">'201_2'!$A$2:$AU$31</definedName>
    <definedName name="Z_BA384526_2B52_499B_A6CB_A20D93F7D458_.wvu.PrintArea" localSheetId="8" hidden="1">'202_1'!$A$2:$AU$34</definedName>
    <definedName name="Z_BA384526_2B52_499B_A6CB_A20D93F7D458_.wvu.PrintArea" localSheetId="9" hidden="1">'202_2'!$A$2:$AU$31</definedName>
    <definedName name="Z_BA384526_2B52_499B_A6CB_A20D93F7D458_.wvu.PrintArea" localSheetId="10" hidden="1">'203_1'!$A$2:$AU$32</definedName>
    <definedName name="Z_BA384526_2B52_499B_A6CB_A20D93F7D458_.wvu.PrintArea" localSheetId="11" hidden="1">'203_2'!$A$2:$AU$31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A384526_2B52_499B_A6CB_A20D93F7D458_.wvu.PrintTitles" localSheetId="10" hidden="1">'203_1'!$A:$C</definedName>
    <definedName name="Z_BA384526_2B52_499B_A6CB_A20D93F7D458_.wvu.PrintTitles" localSheetId="11" hidden="1">'203_2'!$A:$C</definedName>
    <definedName name="Z_BE29CB45_C44C_4909_A8C9_0850A17CCE3A_.wvu.PrintArea" localSheetId="6" hidden="1">'201_1'!$A$2:$AU$32</definedName>
    <definedName name="Z_BE29CB45_C44C_4909_A8C9_0850A17CCE3A_.wvu.PrintArea" localSheetId="7" hidden="1">'201_2'!$A$2:$AU$31</definedName>
    <definedName name="Z_BE29CB45_C44C_4909_A8C9_0850A17CCE3A_.wvu.PrintArea" localSheetId="8" hidden="1">'202_1'!$A$2:$AU$34</definedName>
    <definedName name="Z_BE29CB45_C44C_4909_A8C9_0850A17CCE3A_.wvu.PrintArea" localSheetId="9" hidden="1">'202_2'!$A$2:$AU$31</definedName>
    <definedName name="Z_BE29CB45_C44C_4909_A8C9_0850A17CCE3A_.wvu.PrintArea" localSheetId="10" hidden="1">'203_1'!$A$2:$AU$32</definedName>
    <definedName name="Z_BE29CB45_C44C_4909_A8C9_0850A17CCE3A_.wvu.PrintArea" localSheetId="11" hidden="1">'203_2'!$A$2:$AU$31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E29CB45_C44C_4909_A8C9_0850A17CCE3A_.wvu.PrintTitles" localSheetId="10" hidden="1">'203_1'!$A:$C</definedName>
    <definedName name="Z_BE29CB45_C44C_4909_A8C9_0850A17CCE3A_.wvu.PrintTitles" localSheetId="11" hidden="1">'203_2'!$A:$C</definedName>
    <definedName name="Z_BFDDA753_D9FF_405A_BBB3_8EC16FDB9500_.wvu.PrintArea" localSheetId="6" hidden="1">'201_1'!$A$2:$AO$47</definedName>
    <definedName name="Z_BFDDA753_D9FF_405A_BBB3_8EC16FDB9500_.wvu.PrintArea" localSheetId="7" hidden="1">'201_2'!$A$2:$AO$46</definedName>
    <definedName name="Z_BFDDA753_D9FF_405A_BBB3_8EC16FDB9500_.wvu.PrintArea" localSheetId="8" hidden="1">'202_1'!$A$2:$AK$49</definedName>
    <definedName name="Z_BFDDA753_D9FF_405A_BBB3_8EC16FDB9500_.wvu.PrintArea" localSheetId="9" hidden="1">'202_2'!$A$2:$AK$46</definedName>
    <definedName name="Z_BFDDA753_D9FF_405A_BBB3_8EC16FDB9500_.wvu.PrintArea" localSheetId="10" hidden="1">'203_1'!$A$2:$AK$47</definedName>
    <definedName name="Z_BFDDA753_D9FF_405A_BBB3_8EC16FDB9500_.wvu.PrintArea" localSheetId="11" hidden="1">'203_2'!$A$2:$AK$46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BFDDA753_D9FF_405A_BBB3_8EC16FDB9500_.wvu.PrintTitles" localSheetId="10" hidden="1">'203_1'!$A:$C</definedName>
    <definedName name="Z_BFDDA753_D9FF_405A_BBB3_8EC16FDB9500_.wvu.PrintTitles" localSheetId="11" hidden="1">'203_2'!$A:$C</definedName>
    <definedName name="Z_C2F30B35_D639_4BB4_A50F_41AB6A913442_.wvu.FilterData" localSheetId="5" hidden="1">Підсумки!$A$3:$N$54</definedName>
    <definedName name="Z_C2F30B35_D639_4BB4_A50F_41AB6A913442_.wvu.PrintArea" localSheetId="10" hidden="1">'203_1'!$A$2:$AK$47</definedName>
    <definedName name="Z_C2F30B35_D639_4BB4_A50F_41AB6A913442_.wvu.PrintArea" localSheetId="11" hidden="1">'203_2'!$A$2:$AK$46</definedName>
    <definedName name="Z_C2F30B35_D639_4BB4_A50F_41AB6A913442_.wvu.PrintTitles" localSheetId="10" hidden="1">'203_1'!$A:$C</definedName>
    <definedName name="Z_C2F30B35_D639_4BB4_A50F_41AB6A913442_.wvu.PrintTitles" localSheetId="11" hidden="1">'203_2'!$A:$C</definedName>
    <definedName name="Z_C2F30B35_D639_4BB4_A50F_41AB6A913442_.wvu.Rows" localSheetId="6" hidden="1">'201_1'!$21:$21</definedName>
    <definedName name="Z_C2F30B35_D639_4BB4_A50F_41AB6A913442_.wvu.Rows" localSheetId="8" hidden="1">'202_1'!$19:$21</definedName>
    <definedName name="Z_C2F30B35_D639_4BB4_A50F_41AB6A913442_.wvu.Rows" localSheetId="10" hidden="1">'203_1'!$19:$21</definedName>
    <definedName name="Z_C5D960BD_C1A6_4228_A267_A87ADCF0AB55_.wvu.Cols" localSheetId="5" hidden="1">Підсумки!$F:$J</definedName>
    <definedName name="Z_C5D960BD_C1A6_4228_A267_A87ADCF0AB55_.wvu.FilterData" localSheetId="5" hidden="1">Підсумки!$A$3:$N$54</definedName>
    <definedName name="Z_C5D960BD_C1A6_4228_A267_A87ADCF0AB55_.wvu.PrintArea" localSheetId="6" hidden="1">'201_1'!$A$2:$BA$47</definedName>
    <definedName name="Z_C5D960BD_C1A6_4228_A267_A87ADCF0AB55_.wvu.PrintArea" localSheetId="7" hidden="1">'201_2'!$A$2:$BA$46</definedName>
    <definedName name="Z_C5D960BD_C1A6_4228_A267_A87ADCF0AB55_.wvu.PrintArea" localSheetId="8" hidden="1">'202_1'!$A$2:$AK$49</definedName>
    <definedName name="Z_C5D960BD_C1A6_4228_A267_A87ADCF0AB55_.wvu.PrintArea" localSheetId="9" hidden="1">'202_2'!$A$2:$AK$46</definedName>
    <definedName name="Z_C5D960BD_C1A6_4228_A267_A87ADCF0AB55_.wvu.PrintArea" localSheetId="10" hidden="1">'203_1'!$A$2:$AK$47</definedName>
    <definedName name="Z_C5D960BD_C1A6_4228_A267_A87ADCF0AB55_.wvu.PrintArea" localSheetId="11" hidden="1">'203_2'!$A$2:$AK$46</definedName>
    <definedName name="Z_C5D960BD_C1A6_4228_A267_A87ADCF0AB55_.wvu.PrintTitles" localSheetId="6" hidden="1">'201_1'!$A:$C</definedName>
    <definedName name="Z_C5D960BD_C1A6_4228_A267_A87ADCF0AB55_.wvu.PrintTitles" localSheetId="7" hidden="1">'201_2'!$A:$C</definedName>
    <definedName name="Z_C5D960BD_C1A6_4228_A267_A87ADCF0AB55_.wvu.PrintTitles" localSheetId="8" hidden="1">'202_1'!$A:$C</definedName>
    <definedName name="Z_C5D960BD_C1A6_4228_A267_A87ADCF0AB55_.wvu.PrintTitles" localSheetId="9" hidden="1">'202_2'!$A:$C</definedName>
    <definedName name="Z_C5D960BD_C1A6_4228_A267_A87ADCF0AB55_.wvu.PrintTitles" localSheetId="10" hidden="1">'203_1'!$A:$C</definedName>
    <definedName name="Z_C5D960BD_C1A6_4228_A267_A87ADCF0AB55_.wvu.PrintTitles" localSheetId="11" hidden="1">'203_2'!$A:$C</definedName>
    <definedName name="Z_CCC0C40E_6D64_44D7_9C77_D75A2E2899A6_.wvu.PrintArea" localSheetId="6" hidden="1">'201_1'!$A$2:$AO$47</definedName>
    <definedName name="Z_CCC0C40E_6D64_44D7_9C77_D75A2E2899A6_.wvu.PrintArea" localSheetId="7" hidden="1">'201_2'!$A$2:$AO$46</definedName>
    <definedName name="Z_CCC0C40E_6D64_44D7_9C77_D75A2E2899A6_.wvu.PrintArea" localSheetId="8" hidden="1">'202_1'!$A$2:$AK$49</definedName>
    <definedName name="Z_CCC0C40E_6D64_44D7_9C77_D75A2E2899A6_.wvu.PrintArea" localSheetId="9" hidden="1">'202_2'!$A$2:$AK$46</definedName>
    <definedName name="Z_CCC0C40E_6D64_44D7_9C77_D75A2E2899A6_.wvu.PrintArea" localSheetId="10" hidden="1">'203_1'!$A$2:$AK$47</definedName>
    <definedName name="Z_CCC0C40E_6D64_44D7_9C77_D75A2E2899A6_.wvu.PrintArea" localSheetId="11" hidden="1">'203_2'!$A$2:$AK$46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PrintTitles" localSheetId="10" hidden="1">'203_1'!$A:$C</definedName>
    <definedName name="Z_CCC0C40E_6D64_44D7_9C77_D75A2E2899A6_.wvu.PrintTitles" localSheetId="11" hidden="1">'203_2'!$A:$C</definedName>
    <definedName name="Z_CCC0C40E_6D64_44D7_9C77_D75A2E2899A6_.wvu.Rows" localSheetId="6" hidden="1">'201_1'!$34:$34,'201_1'!$38:$38,'201_1'!$44:$44,'201_1'!$46:$46</definedName>
    <definedName name="Z_CCC0C40E_6D64_44D7_9C77_D75A2E2899A6_.wvu.Rows" localSheetId="7" hidden="1">'201_2'!$33:$33,'201_2'!$37:$37,'201_2'!$43:$43,'201_2'!$45:$45</definedName>
    <definedName name="Z_CCC0C40E_6D64_44D7_9C77_D75A2E2899A6_.wvu.Rows" localSheetId="8" hidden="1">'202_1'!$36:$36,'202_1'!$40:$40,'202_1'!$46:$46,'202_1'!$48:$48</definedName>
    <definedName name="Z_CCC0C40E_6D64_44D7_9C77_D75A2E2899A6_.wvu.Rows" localSheetId="9" hidden="1">'202_2'!$33:$33,'202_2'!$37:$37,'202_2'!$43:$43,'202_2'!$45:$45</definedName>
    <definedName name="Z_CCC0C40E_6D64_44D7_9C77_D75A2E2899A6_.wvu.Rows" localSheetId="10" hidden="1">'203_1'!$34:$34,'203_1'!$38:$38,'203_1'!$44:$44,'203_1'!$46:$46</definedName>
    <definedName name="Z_CCC0C40E_6D64_44D7_9C77_D75A2E2899A6_.wvu.Rows" localSheetId="11" hidden="1">'203_2'!$33:$33,'203_2'!$37:$37,'203_2'!$43:$43,'203_2'!$45:$45</definedName>
    <definedName name="Z_D36C8CE2_BD51_473C_907A_C6FC583FFDFD_.wvu.PrintArea" localSheetId="6" hidden="1">'201_1'!$A$2:$BA$47</definedName>
    <definedName name="Z_D36C8CE2_BD51_473C_907A_C6FC583FFDFD_.wvu.PrintArea" localSheetId="7" hidden="1">'201_2'!$A$2:$AO$46</definedName>
    <definedName name="Z_D36C8CE2_BD51_473C_907A_C6FC583FFDFD_.wvu.PrintArea" localSheetId="8" hidden="1">'202_1'!$A$2:$AK$49</definedName>
    <definedName name="Z_D36C8CE2_BD51_473C_907A_C6FC583FFDFD_.wvu.PrintArea" localSheetId="9" hidden="1">'202_2'!$A$2:$AK$46</definedName>
    <definedName name="Z_D36C8CE2_BD51_473C_907A_C6FC583FFDFD_.wvu.PrintArea" localSheetId="10" hidden="1">'203_1'!$A$2:$AK$47</definedName>
    <definedName name="Z_D36C8CE2_BD51_473C_907A_C6FC583FFDFD_.wvu.PrintArea" localSheetId="11" hidden="1">'203_2'!$A$2:$AK$46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36C8CE2_BD51_473C_907A_C6FC583FFDFD_.wvu.PrintTitles" localSheetId="10" hidden="1">'203_1'!$A:$C</definedName>
    <definedName name="Z_D36C8CE2_BD51_473C_907A_C6FC583FFDFD_.wvu.PrintTitles" localSheetId="11" hidden="1">'203_2'!$A:$C</definedName>
    <definedName name="Z_DB247C62_AD53_4E02_85BF_C5978A17182C_.wvu.PrintArea" localSheetId="6" hidden="1">'201_1'!$A$2:$AO$47</definedName>
    <definedName name="Z_DB247C62_AD53_4E02_85BF_C5978A17182C_.wvu.PrintArea" localSheetId="7" hidden="1">'201_2'!$A$2:$AO$46</definedName>
    <definedName name="Z_DB247C62_AD53_4E02_85BF_C5978A17182C_.wvu.PrintArea" localSheetId="8" hidden="1">'202_1'!$A$2:$AK$49</definedName>
    <definedName name="Z_DB247C62_AD53_4E02_85BF_C5978A17182C_.wvu.PrintArea" localSheetId="9" hidden="1">'202_2'!$A$2:$AK$46</definedName>
    <definedName name="Z_DB247C62_AD53_4E02_85BF_C5978A17182C_.wvu.PrintArea" localSheetId="10" hidden="1">'203_1'!$A$2:$AK$47</definedName>
    <definedName name="Z_DB247C62_AD53_4E02_85BF_C5978A17182C_.wvu.PrintArea" localSheetId="11" hidden="1">'203_2'!$A$2:$AK$46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PrintTitles" localSheetId="10" hidden="1">'203_1'!$A:$C</definedName>
    <definedName name="Z_DB247C62_AD53_4E02_85BF_C5978A17182C_.wvu.PrintTitles" localSheetId="11" hidden="1">'203_2'!$A:$C</definedName>
    <definedName name="Z_DB247C62_AD53_4E02_85BF_C5978A17182C_.wvu.Rows" localSheetId="6" hidden="1">'201_1'!$34:$34,'201_1'!$38:$38,'201_1'!$44:$44,'201_1'!$46:$46</definedName>
    <definedName name="Z_DB247C62_AD53_4E02_85BF_C5978A17182C_.wvu.Rows" localSheetId="7" hidden="1">'201_2'!$33:$33,'201_2'!$37:$37,'201_2'!$43:$43,'201_2'!$45:$45</definedName>
    <definedName name="Z_DB247C62_AD53_4E02_85BF_C5978A17182C_.wvu.Rows" localSheetId="8" hidden="1">'202_1'!$36:$36,'202_1'!$40:$40,'202_1'!$46:$46,'202_1'!$48:$48</definedName>
    <definedName name="Z_DB247C62_AD53_4E02_85BF_C5978A17182C_.wvu.Rows" localSheetId="9" hidden="1">'202_2'!$33:$33,'202_2'!$37:$37,'202_2'!$43:$43,'202_2'!$45:$45</definedName>
    <definedName name="Z_DB247C62_AD53_4E02_85BF_C5978A17182C_.wvu.Rows" localSheetId="10" hidden="1">'203_1'!$34:$34,'203_1'!$38:$38,'203_1'!$44:$44,'203_1'!$46:$46</definedName>
    <definedName name="Z_DB247C62_AD53_4E02_85BF_C5978A17182C_.wvu.Rows" localSheetId="11" hidden="1">'203_2'!$33:$33,'203_2'!$37:$37,'203_2'!$43:$43,'203_2'!$45:$45</definedName>
    <definedName name="Z_DC418718_8A23_11D8_9B08_00605205386C_.wvu.PrintArea" localSheetId="6" hidden="1">'201_1'!$A$2:$AU$32</definedName>
    <definedName name="Z_DC418718_8A23_11D8_9B08_00605205386C_.wvu.PrintArea" localSheetId="7" hidden="1">'201_2'!$A$2:$AU$31</definedName>
    <definedName name="Z_DC418718_8A23_11D8_9B08_00605205386C_.wvu.PrintArea" localSheetId="8" hidden="1">'202_1'!$A$2:$AU$34</definedName>
    <definedName name="Z_DC418718_8A23_11D8_9B08_00605205386C_.wvu.PrintArea" localSheetId="9" hidden="1">'202_2'!$A$2:$AU$31</definedName>
    <definedName name="Z_DC418718_8A23_11D8_9B08_00605205386C_.wvu.PrintArea" localSheetId="10" hidden="1">'203_1'!$A$2:$AU$32</definedName>
    <definedName name="Z_DC418718_8A23_11D8_9B08_00605205386C_.wvu.PrintArea" localSheetId="11" hidden="1">'203_2'!$A$2:$AU$31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C418718_8A23_11D8_9B08_00605205386C_.wvu.PrintTitles" localSheetId="10" hidden="1">'203_1'!$A:$C</definedName>
    <definedName name="Z_DC418718_8A23_11D8_9B08_00605205386C_.wvu.PrintTitles" localSheetId="11" hidden="1">'203_2'!$A:$C</definedName>
    <definedName name="Z_DD783D5A_D326_44F8_82C1_529ADF80E68D_.wvu.PrintArea" localSheetId="6" hidden="1">'201_1'!$A$2:$BA$47</definedName>
    <definedName name="Z_DD783D5A_D326_44F8_82C1_529ADF80E68D_.wvu.PrintArea" localSheetId="7" hidden="1">'201_2'!$A$2:$AO$46</definedName>
    <definedName name="Z_DD783D5A_D326_44F8_82C1_529ADF80E68D_.wvu.PrintArea" localSheetId="8" hidden="1">'202_1'!$A$2:$AK$49</definedName>
    <definedName name="Z_DD783D5A_D326_44F8_82C1_529ADF80E68D_.wvu.PrintArea" localSheetId="9" hidden="1">'202_2'!$A$2:$AK$46</definedName>
    <definedName name="Z_DD783D5A_D326_44F8_82C1_529ADF80E68D_.wvu.PrintArea" localSheetId="10" hidden="1">'203_1'!$A$2:$AK$47</definedName>
    <definedName name="Z_DD783D5A_D326_44F8_82C1_529ADF80E68D_.wvu.PrintArea" localSheetId="11" hidden="1">'203_2'!$A$2:$AK$46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DD783D5A_D326_44F8_82C1_529ADF80E68D_.wvu.PrintTitles" localSheetId="10" hidden="1">'203_1'!$A:$C</definedName>
    <definedName name="Z_DD783D5A_D326_44F8_82C1_529ADF80E68D_.wvu.PrintTitles" localSheetId="11" hidden="1">'203_2'!$A:$C</definedName>
    <definedName name="Z_E3076869_5D4E_4B4E_B56C_23BD0053E0A2_.wvu.FilterData" localSheetId="5" hidden="1">Підсумки!$A$3:$N$54</definedName>
    <definedName name="Z_E3076869_5D4E_4B4E_B56C_23BD0053E0A2_.wvu.PrintArea" localSheetId="6" hidden="1">'201_1'!$A$2:$BA$47</definedName>
    <definedName name="Z_E3076869_5D4E_4B4E_B56C_23BD0053E0A2_.wvu.PrintArea" localSheetId="7" hidden="1">'201_2'!$A$2:$BA$46</definedName>
    <definedName name="Z_E3076869_5D4E_4B4E_B56C_23BD0053E0A2_.wvu.PrintArea" localSheetId="8" hidden="1">'202_1'!$A$2:$AK$49</definedName>
    <definedName name="Z_E3076869_5D4E_4B4E_B56C_23BD0053E0A2_.wvu.PrintArea" localSheetId="9" hidden="1">'202_2'!$A$2:$AK$46</definedName>
    <definedName name="Z_E3076869_5D4E_4B4E_B56C_23BD0053E0A2_.wvu.PrintArea" localSheetId="10" hidden="1">'203_1'!$A$2:$AK$47</definedName>
    <definedName name="Z_E3076869_5D4E_4B4E_B56C_23BD0053E0A2_.wvu.PrintArea" localSheetId="11" hidden="1">'203_2'!$A$2:$AK$46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PrintTitles" localSheetId="10" hidden="1">'203_1'!$A:$C</definedName>
    <definedName name="Z_E3076869_5D4E_4B4E_B56C_23BD0053E0A2_.wvu.PrintTitles" localSheetId="11" hidden="1">'203_2'!$A:$C</definedName>
    <definedName name="Z_E3076869_5D4E_4B4E_B56C_23BD0053E0A2_.wvu.Rows" localSheetId="8" hidden="1">'202_1'!$19:$21</definedName>
    <definedName name="Z_E3076869_5D4E_4B4E_B56C_23BD0053E0A2_.wvu.Rows" localSheetId="10" hidden="1">'203_1'!$19:$21</definedName>
    <definedName name="Z_F192F399_4534_420C_ACF1_6D68A82354D2_.wvu.FilterData" localSheetId="5" hidden="1">Підсумки!$A$3:$N$54</definedName>
    <definedName name="Z_F5BB156E_46BF_4970_8BDC_FACCC2530DB4_.wvu.PrintArea" localSheetId="6" hidden="1">'201_1'!$A$2:$AO$47</definedName>
    <definedName name="Z_F5BB156E_46BF_4970_8BDC_FACCC2530DB4_.wvu.PrintArea" localSheetId="7" hidden="1">'201_2'!$A$2:$AO$46</definedName>
    <definedName name="Z_F5BB156E_46BF_4970_8BDC_FACCC2530DB4_.wvu.PrintArea" localSheetId="8" hidden="1">'202_1'!$A$2:$AK$49</definedName>
    <definedName name="Z_F5BB156E_46BF_4970_8BDC_FACCC2530DB4_.wvu.PrintArea" localSheetId="9" hidden="1">'202_2'!$A$2:$AK$46</definedName>
    <definedName name="Z_F5BB156E_46BF_4970_8BDC_FACCC2530DB4_.wvu.PrintArea" localSheetId="10" hidden="1">'203_1'!$A$2:$AK$47</definedName>
    <definedName name="Z_F5BB156E_46BF_4970_8BDC_FACCC2530DB4_.wvu.PrintArea" localSheetId="11" hidden="1">'203_2'!$A$2:$AK$46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PrintTitles" localSheetId="10" hidden="1">'203_1'!$A:$C</definedName>
    <definedName name="Z_F5BB156E_46BF_4970_8BDC_FACCC2530DB4_.wvu.PrintTitles" localSheetId="11" hidden="1">'203_2'!$A:$C</definedName>
    <definedName name="Z_F5BB156E_46BF_4970_8BDC_FACCC2530DB4_.wvu.Rows" localSheetId="6" hidden="1">'201_1'!$34:$34,'201_1'!$38:$38,'201_1'!$44:$44,'201_1'!$46:$46</definedName>
    <definedName name="Z_F5BB156E_46BF_4970_8BDC_FACCC2530DB4_.wvu.Rows" localSheetId="7" hidden="1">'201_2'!$33:$33,'201_2'!$37:$37,'201_2'!$43:$43,'201_2'!$45:$45</definedName>
    <definedName name="Z_F5BB156E_46BF_4970_8BDC_FACCC2530DB4_.wvu.Rows" localSheetId="8" hidden="1">'202_1'!$36:$36,'202_1'!$40:$40,'202_1'!$46:$46,'202_1'!$48:$48</definedName>
    <definedName name="Z_F5BB156E_46BF_4970_8BDC_FACCC2530DB4_.wvu.Rows" localSheetId="9" hidden="1">'202_2'!$33:$33,'202_2'!$37:$37,'202_2'!$43:$43,'202_2'!$45:$45</definedName>
    <definedName name="Z_F5BB156E_46BF_4970_8BDC_FACCC2530DB4_.wvu.Rows" localSheetId="10" hidden="1">'203_1'!$34:$34,'203_1'!$38:$38,'203_1'!$44:$44,'203_1'!$46:$46</definedName>
    <definedName name="Z_F5BB156E_46BF_4970_8BDC_FACCC2530DB4_.wvu.Rows" localSheetId="11" hidden="1">'203_2'!$33:$33,'203_2'!$37:$37,'203_2'!$43:$43,'203_2'!$45:$45</definedName>
    <definedName name="Z_F6031743_2EF4_4963_B0D7_9FFF72490A27_.wvu.PrintArea" localSheetId="6" hidden="1">'201_1'!$A$2:$AU$32</definedName>
    <definedName name="Z_F6031743_2EF4_4963_B0D7_9FFF72490A27_.wvu.PrintArea" localSheetId="7" hidden="1">'201_2'!$A$2:$AU$31</definedName>
    <definedName name="Z_F6031743_2EF4_4963_B0D7_9FFF72490A27_.wvu.PrintArea" localSheetId="8" hidden="1">'202_1'!$A$2:$AU$34</definedName>
    <definedName name="Z_F6031743_2EF4_4963_B0D7_9FFF72490A27_.wvu.PrintArea" localSheetId="9" hidden="1">'202_2'!$A$2:$AU$31</definedName>
    <definedName name="Z_F6031743_2EF4_4963_B0D7_9FFF72490A27_.wvu.PrintArea" localSheetId="10" hidden="1">'203_1'!$A$2:$AU$32</definedName>
    <definedName name="Z_F6031743_2EF4_4963_B0D7_9FFF72490A27_.wvu.PrintArea" localSheetId="11" hidden="1">'203_2'!$A$2:$AU$31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Z_F6031743_2EF4_4963_B0D7_9FFF72490A27_.wvu.PrintTitles" localSheetId="10" hidden="1">'203_1'!$A:$C</definedName>
    <definedName name="Z_F6031743_2EF4_4963_B0D7_9FFF72490A27_.wvu.PrintTitles" localSheetId="11" hidden="1">'203_2'!$A:$C</definedName>
    <definedName name="Підс">'201_1'!$S$32:$U$47</definedName>
    <definedName name="Підс1">'201_2'!$S$31:$U$46</definedName>
    <definedName name="Підс2" localSheetId="10">'203_1'!$S$32:$U$47</definedName>
    <definedName name="Підс2">'202_1'!$S$34:$U$49</definedName>
    <definedName name="Підс3" localSheetId="11">'203_2'!$S$31:$U$47</definedName>
    <definedName name="Підс3">'202_2'!$S$31:$U$47</definedName>
    <definedName name="Підс4" localSheetId="10">#REF!</definedName>
    <definedName name="Підс4" localSheetId="11">#REF!</definedName>
    <definedName name="Підс4">#REF!</definedName>
    <definedName name="Підс5" localSheetId="10">#REF!</definedName>
    <definedName name="Підс5" localSheetId="11">#REF!</definedName>
    <definedName name="Підс5">#REF!</definedName>
  </definedNames>
  <calcPr calcId="145621"/>
  <customWorkbookViews>
    <customWorkbookView name="Ніколенко Світлана Григорівна - Personal View" guid="{C5D960BD-C1A6-4228-A267-A87ADCF0AB55}" mergeInterval="0" personalView="1" maximized="1" windowWidth="1008" windowHeight="614" tabRatio="843" activeSheetId="12"/>
    <customWorkbookView name="Давиденко Євген Олександрович - Personal View" guid="{6C8D603E-9A1B-49F4-AEFE-06707C7BCD53}" mergeInterval="0" personalView="1" maximized="1" windowWidth="1276" windowHeight="755" tabRatio="768" activeSheetId="6"/>
    <customWorkbookView name="мама - Личное представление" guid="{1C44C54F-C0A4-451D-B8A0-B8C17D7E284D}" mergeInterval="0" personalView="1" xWindow="9" yWindow="43" windowWidth="1280" windowHeight="500" tabRatio="843" activeSheetId="7"/>
    <customWorkbookView name="Nikolenko - Личное представление" guid="{4BCF288A-A595-4C42-82E7-535EDC2AC415}" mergeInterval="0" personalView="1" maximized="1" windowWidth="958" windowHeight="595" tabRatio="752" activeSheetId="6"/>
    <customWorkbookView name="Фисун Николай - Personal View" guid="{33A37079-C128-4ED3-AE01-CFA8F2347C5B}" mergeInterval="0" personalView="1" maximized="1" windowWidth="1115" windowHeight="397" tabRatio="768" activeSheetId="6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Irina - Personal View" guid="{7DAD0CBB-837D-490E-8AD8-C7F6F6026BC2}" mergeInterval="0" personalView="1" xWindow="-3" yWindow="32" windowWidth="1109" windowHeight="554" tabRatio="768" activeSheetId="13"/>
    <customWorkbookView name="Євпак Д.В. - Personal View" guid="{DD783D5A-D326-44F8-82C1-529ADF80E68D}" mergeInterval="0" personalView="1" maximized="1" windowWidth="1276" windowHeight="799" activeSheetId="14"/>
    <customWorkbookView name="alex - Личное представление" guid="{63677729-B220-4674-B8DA-E23D188A7DD0}" mergeInterval="0" personalView="1" maximized="1" windowWidth="938" windowHeight="435" activeSheetId="7"/>
    <customWorkbookView name="phisoon - Personal View" guid="{5FE79F59-D06C-47E9-A091-8A454305106D}" mergeInterval="0" personalView="1" maximized="1" windowWidth="1020" windowHeight="603" activeSheetId="6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davidoff - Personal View" guid="{6FD4170C-FF34-4F29-9D4F-E51601E8E054}" mergeInterval="0" personalView="1" xWindow="6" yWindow="39" windowWidth="1176" windowHeight="747" tabRatio="671" activeSheetId="5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tsybenko - Personal View" guid="{BA384526-2B52-499B-A6CB-A20D93F7D458}" mergeInterval="0" personalView="1" maximized="1" windowWidth="1020" windowHeight="576" activeSheetId="1"/>
    <customWorkbookView name="2410413 - Personal View" guid="{9441459E-E2AF-4712-941E-3718915AA278}" mergeInterval="0" personalView="1" maximized="1" windowWidth="1020" windowHeight="568" activeSheetId="10"/>
    <customWorkbookView name="980119 - Personal View" guid="{AAE6FF24-C1F0-4266-B899-2398D5DAFFD0}" mergeInterval="0" personalView="1" maximized="1" windowWidth="1020" windowHeight="605" activeSheetId="9"/>
    <customWorkbookView name="2010227 - Personal View" guid="{85387D8F-322B-4575-A31F-6C67D6D60B03}" mergeInterval="0" personalView="1" maximized="1" windowWidth="995" windowHeight="589" activeSheetId="5"/>
    <customWorkbookView name="Zorg - Personal View" guid="{F6031743-2EF4-4963-B0D7-9FFF72490A27}" mergeInterval="0" personalView="1" maximized="1" windowWidth="1020" windowHeight="606" activeSheetId="5"/>
    <customWorkbookView name="2210301 - Personal View" guid="{86E46D09-7AE0-4152-9FFC-C08D0784D8A7}" mergeInterval="0" personalView="1" maximized="1" windowWidth="1020" windowHeight="631" activeSheetId="8"/>
    <customWorkbookView name="Decoy - Personal View" guid="{93F6C3DE-1F92-4632-8907-1A4A95278937}" mergeInterval="0" personalView="1" maximized="1" windowWidth="1020" windowHeight="607" activeSheetId="4"/>
    <customWorkbookView name="pak - Personal View" guid="{6328EA24-1FA5-4B94-9ABC-245F045AD520}" mergeInterval="0" personalView="1" maximized="1" windowWidth="1020" windowHeight="629" activeSheetId="10"/>
    <customWorkbookView name="pain - Personal View" guid="{7828284E-5BC2-4532-AE4F-135B19275FE1}" mergeInterval="0" personalView="1" maximized="1" windowWidth="1020" windowHeight="606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cash - Personal View" guid="{24E4B1B0-BD46-442E-9239-4999257F794B}" mergeInterval="0" personalView="1" maximized="1" xWindow="7" yWindow="28" windowWidth="796" windowHeight="574" activeSheetId="4"/>
    <customWorkbookView name="2210103 - Personal View" guid="{2B1F19F5-DDBC-46F8-92CB-9A790CB7FD61}" mergeInterval="0" personalView="1" maximized="1" windowWidth="1020" windowHeight="633" tabRatio="671" activeSheetId="10"/>
    <customWorkbookView name="veronique - Personal View" guid="{6EA0E7B6-C486-4B39-8128-16821F7A9C03}" mergeInterval="0" personalView="1" maximized="1" windowWidth="994" windowHeight="596" activeSheetId="7"/>
    <customWorkbookView name="slarisa - Personal View" guid="{BE29CB45-C44C-4909-A8C9-0850A17CCE3A}" mergeInterval="0" personalView="1" maximized="1" windowWidth="796" windowHeight="437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adk - Personal View" guid="{F5BB156E-46BF-4970-8BDC-FACCC2530DB4}" mergeInterval="0" personalView="1" maximized="1" windowWidth="843" windowHeight="543" tabRatio="671" activeSheetId="5"/>
    <customWorkbookView name="emma - Личное представление" guid="{BFDDA753-D9FF-405A-BBB3-8EC16FDB9500}" mergeInterval="0" personalView="1" maximized="1" windowWidth="989" windowHeight="595" tabRatio="671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kolenko - Personal View" guid="{52C4EB7E-D421-4F3C-9418-E2E13C53098F}" mergeInterval="0" personalView="1" maximized="1" windowWidth="1276" windowHeight="799" tabRatio="671" activeSheetId="13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Фісун Микола Тихонович - Personal View" guid="{C2F30B35-D639-4BB4-A50F-41AB6A913442}" mergeInterval="0" personalView="1" maximized="1" windowWidth="1020" windowHeight="503" tabRatio="768" activeSheetId="6"/>
    <customWorkbookView name="Ніколенко Світлана Григорівна - Личное представление" guid="{17400EAF-4B0B-49FE-8262-4A59DA70D10F}" mergeInterval="0" personalView="1" maximized="1" windowWidth="1133" windowHeight="806" tabRatio="768" activeSheetId="6" showComments="commIndAndComment"/>
  </customWorkbookViews>
</workbook>
</file>

<file path=xl/calcChain.xml><?xml version="1.0" encoding="utf-8"?>
<calcChain xmlns="http://schemas.openxmlformats.org/spreadsheetml/2006/main">
  <c r="AH19" i="11" l="1"/>
  <c r="AK20" i="12" l="1"/>
  <c r="AH20" i="12"/>
  <c r="AH11" i="10" l="1"/>
  <c r="AH13" i="10"/>
  <c r="AK17" i="10" l="1"/>
  <c r="AK19" i="10" l="1"/>
  <c r="AK10" i="10" l="1"/>
  <c r="AH10" i="10"/>
  <c r="AK9" i="10"/>
  <c r="AK15" i="10"/>
  <c r="AH17" i="10"/>
  <c r="T22" i="10"/>
  <c r="AH9" i="8" l="1"/>
  <c r="AH14" i="8" l="1"/>
  <c r="AK15" i="7"/>
  <c r="AK11" i="7"/>
  <c r="AH11" i="7"/>
  <c r="AH8" i="7"/>
  <c r="AK8" i="7"/>
  <c r="AH20" i="8"/>
  <c r="K28" i="6" l="1"/>
  <c r="K27" i="6"/>
  <c r="AG21" i="8" l="1"/>
  <c r="X21" i="8"/>
  <c r="Y21" i="8" s="1"/>
  <c r="S21" i="8"/>
  <c r="P21" i="8"/>
  <c r="AJ20" i="8"/>
  <c r="AG20" i="8"/>
  <c r="X20" i="8"/>
  <c r="S20" i="8"/>
  <c r="P20" i="8"/>
  <c r="K20" i="8"/>
  <c r="AJ19" i="8"/>
  <c r="AG19" i="8"/>
  <c r="X19" i="8"/>
  <c r="S19" i="8"/>
  <c r="P19" i="8"/>
  <c r="K19" i="8"/>
  <c r="AJ18" i="8"/>
  <c r="AG18" i="8"/>
  <c r="X18" i="8"/>
  <c r="S18" i="8"/>
  <c r="P18" i="8"/>
  <c r="K18" i="8"/>
  <c r="AJ17" i="8"/>
  <c r="AG17" i="8"/>
  <c r="X17" i="8"/>
  <c r="S17" i="8"/>
  <c r="P17" i="8"/>
  <c r="K17" i="8"/>
  <c r="AK16" i="8"/>
  <c r="AJ16" i="8"/>
  <c r="AG16" i="8"/>
  <c r="X16" i="8"/>
  <c r="S16" i="8"/>
  <c r="P16" i="8"/>
  <c r="K16" i="8"/>
  <c r="AJ15" i="8"/>
  <c r="AG15" i="8"/>
  <c r="X15" i="8"/>
  <c r="S15" i="8"/>
  <c r="P15" i="8"/>
  <c r="K15" i="8"/>
  <c r="AK14" i="8"/>
  <c r="AJ14" i="8"/>
  <c r="AG14" i="8"/>
  <c r="X14" i="8"/>
  <c r="S14" i="8"/>
  <c r="P14" i="8"/>
  <c r="K14" i="8"/>
  <c r="AJ13" i="8"/>
  <c r="AH13" i="8"/>
  <c r="AG13" i="8"/>
  <c r="X13" i="8"/>
  <c r="S13" i="8"/>
  <c r="P13" i="8"/>
  <c r="K13" i="8"/>
  <c r="AJ12" i="8"/>
  <c r="AG12" i="8"/>
  <c r="X12" i="8"/>
  <c r="S12" i="8"/>
  <c r="P12" i="8"/>
  <c r="K12" i="8"/>
  <c r="AJ11" i="8"/>
  <c r="AG11" i="8"/>
  <c r="X11" i="8"/>
  <c r="S11" i="8"/>
  <c r="P11" i="8"/>
  <c r="K11" i="8"/>
  <c r="AJ10" i="8"/>
  <c r="AG10" i="8"/>
  <c r="X10" i="8"/>
  <c r="S10" i="8"/>
  <c r="P10" i="8"/>
  <c r="K10" i="8"/>
  <c r="AJ9" i="8"/>
  <c r="AG9" i="8"/>
  <c r="X9" i="8"/>
  <c r="S9" i="8"/>
  <c r="P9" i="8"/>
  <c r="K9" i="8"/>
  <c r="AJ8" i="8"/>
  <c r="AG8" i="8"/>
  <c r="X8" i="8"/>
  <c r="Y8" i="8" s="1"/>
  <c r="S8" i="8"/>
  <c r="P8" i="8"/>
  <c r="Q8" i="8" s="1"/>
  <c r="K8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AK16" i="11" l="1"/>
  <c r="AH16" i="11"/>
  <c r="AH13" i="12" l="1"/>
  <c r="AK15" i="11" l="1"/>
  <c r="AH9" i="11"/>
  <c r="AH8" i="12" l="1"/>
  <c r="AK8" i="12"/>
  <c r="K72" i="6"/>
  <c r="K73" i="6"/>
  <c r="K74" i="6"/>
  <c r="K75" i="6"/>
  <c r="K76" i="6"/>
  <c r="K77" i="6"/>
  <c r="K78" i="6"/>
  <c r="K79" i="6"/>
  <c r="K80" i="6"/>
  <c r="K81" i="6"/>
  <c r="K82" i="6"/>
  <c r="K83" i="6"/>
  <c r="K71" i="6"/>
  <c r="K59" i="6"/>
  <c r="K60" i="6"/>
  <c r="K61" i="6"/>
  <c r="K62" i="6"/>
  <c r="K63" i="6"/>
  <c r="K64" i="6"/>
  <c r="K65" i="6"/>
  <c r="K66" i="6"/>
  <c r="K67" i="6"/>
  <c r="K68" i="6"/>
  <c r="K69" i="6"/>
  <c r="K58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7" i="6"/>
  <c r="K48" i="6"/>
  <c r="K49" i="6"/>
  <c r="K50" i="6"/>
  <c r="K51" i="6"/>
  <c r="K52" i="6"/>
  <c r="K53" i="6"/>
  <c r="K54" i="6"/>
  <c r="K30" i="6"/>
  <c r="K2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8" i="6"/>
  <c r="K19" i="6"/>
  <c r="K20" i="6"/>
  <c r="K21" i="6"/>
  <c r="K22" i="6"/>
  <c r="K24" i="6"/>
  <c r="K25" i="6"/>
  <c r="K26" i="6"/>
  <c r="K3" i="6"/>
  <c r="AK17" i="11" l="1"/>
  <c r="AK13" i="12"/>
  <c r="AK11" i="12"/>
  <c r="AJ20" i="12" l="1"/>
  <c r="AG20" i="12"/>
  <c r="X20" i="12"/>
  <c r="S20" i="12"/>
  <c r="P20" i="12"/>
  <c r="K20" i="12"/>
  <c r="AJ19" i="12"/>
  <c r="AG19" i="12"/>
  <c r="X19" i="12"/>
  <c r="S19" i="12"/>
  <c r="P19" i="12"/>
  <c r="K19" i="12"/>
  <c r="AK18" i="12"/>
  <c r="AJ18" i="12"/>
  <c r="AH18" i="12"/>
  <c r="AG18" i="12"/>
  <c r="X18" i="12"/>
  <c r="S18" i="12"/>
  <c r="P18" i="12"/>
  <c r="K18" i="12"/>
  <c r="AK17" i="12"/>
  <c r="AJ17" i="12"/>
  <c r="AG17" i="12"/>
  <c r="X17" i="12"/>
  <c r="S17" i="12"/>
  <c r="P17" i="12"/>
  <c r="K17" i="12"/>
  <c r="AJ16" i="12"/>
  <c r="AG16" i="12"/>
  <c r="X16" i="12"/>
  <c r="S16" i="12"/>
  <c r="P16" i="12"/>
  <c r="K16" i="12"/>
  <c r="AJ15" i="12"/>
  <c r="AG15" i="12"/>
  <c r="X15" i="12"/>
  <c r="S15" i="12"/>
  <c r="P15" i="12"/>
  <c r="K15" i="12"/>
  <c r="AJ14" i="12"/>
  <c r="AG14" i="12"/>
  <c r="X14" i="12"/>
  <c r="S14" i="12"/>
  <c r="P14" i="12"/>
  <c r="K14" i="12"/>
  <c r="AJ13" i="12"/>
  <c r="AG13" i="12"/>
  <c r="X13" i="12"/>
  <c r="S13" i="12"/>
  <c r="P13" i="12"/>
  <c r="K13" i="12"/>
  <c r="AK12" i="12"/>
  <c r="AJ12" i="12"/>
  <c r="AH12" i="12"/>
  <c r="AG12" i="12"/>
  <c r="X12" i="12"/>
  <c r="S12" i="12"/>
  <c r="P12" i="12"/>
  <c r="K12" i="12"/>
  <c r="AJ11" i="12"/>
  <c r="AH11" i="12"/>
  <c r="AG11" i="12"/>
  <c r="X11" i="12"/>
  <c r="S11" i="12"/>
  <c r="P11" i="12"/>
  <c r="K11" i="12"/>
  <c r="AJ10" i="12"/>
  <c r="AG10" i="12"/>
  <c r="X10" i="12"/>
  <c r="S10" i="12"/>
  <c r="P10" i="12"/>
  <c r="K10" i="12"/>
  <c r="AJ9" i="12"/>
  <c r="AG9" i="12"/>
  <c r="X9" i="12"/>
  <c r="S9" i="12"/>
  <c r="P9" i="12"/>
  <c r="K9" i="12"/>
  <c r="AJ8" i="12"/>
  <c r="AG8" i="12"/>
  <c r="X8" i="12"/>
  <c r="S8" i="12"/>
  <c r="P8" i="12"/>
  <c r="K8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AJ19" i="11"/>
  <c r="AG19" i="11"/>
  <c r="X19" i="11"/>
  <c r="S19" i="11"/>
  <c r="P19" i="11"/>
  <c r="K19" i="11"/>
  <c r="AK18" i="11"/>
  <c r="AJ18" i="11"/>
  <c r="AH18" i="11"/>
  <c r="AG18" i="11"/>
  <c r="X18" i="11"/>
  <c r="S18" i="11"/>
  <c r="P18" i="11"/>
  <c r="K18" i="11"/>
  <c r="AJ17" i="11"/>
  <c r="AH17" i="11"/>
  <c r="AG17" i="11"/>
  <c r="X17" i="11"/>
  <c r="S17" i="11"/>
  <c r="P17" i="11"/>
  <c r="K17" i="11"/>
  <c r="AJ16" i="11"/>
  <c r="AG16" i="11"/>
  <c r="X16" i="11"/>
  <c r="S16" i="11"/>
  <c r="P16" i="11"/>
  <c r="K16" i="11"/>
  <c r="AJ15" i="11"/>
  <c r="AG15" i="11"/>
  <c r="X15" i="11"/>
  <c r="S15" i="11"/>
  <c r="P15" i="11"/>
  <c r="K15" i="11"/>
  <c r="AJ14" i="11"/>
  <c r="AG14" i="11"/>
  <c r="X14" i="11"/>
  <c r="S14" i="11"/>
  <c r="P14" i="11"/>
  <c r="K14" i="11"/>
  <c r="AJ13" i="11"/>
  <c r="AG13" i="11"/>
  <c r="X13" i="11"/>
  <c r="S13" i="11"/>
  <c r="P13" i="11"/>
  <c r="K13" i="11"/>
  <c r="AJ12" i="11"/>
  <c r="AH12" i="11"/>
  <c r="AG12" i="11"/>
  <c r="X12" i="11"/>
  <c r="S12" i="11"/>
  <c r="P12" i="11"/>
  <c r="K12" i="11"/>
  <c r="AJ11" i="11"/>
  <c r="AH11" i="11"/>
  <c r="AG11" i="11"/>
  <c r="X11" i="11"/>
  <c r="S11" i="11"/>
  <c r="P11" i="11"/>
  <c r="K11" i="11"/>
  <c r="AK10" i="11"/>
  <c r="AJ10" i="11"/>
  <c r="AH10" i="11"/>
  <c r="AG10" i="11"/>
  <c r="X10" i="11"/>
  <c r="S10" i="11"/>
  <c r="P10" i="11"/>
  <c r="K10" i="11"/>
  <c r="AJ9" i="11"/>
  <c r="AG9" i="11"/>
  <c r="X9" i="11"/>
  <c r="S9" i="11"/>
  <c r="P9" i="11"/>
  <c r="K9" i="11"/>
  <c r="AJ8" i="11"/>
  <c r="AG8" i="11"/>
  <c r="X8" i="11"/>
  <c r="S8" i="11"/>
  <c r="P8" i="11"/>
  <c r="K8" i="11"/>
  <c r="AH16" i="10" l="1"/>
  <c r="L22" i="10" l="1"/>
  <c r="AH18" i="7" l="1"/>
  <c r="AK18" i="7"/>
  <c r="AK12" i="7"/>
  <c r="AK21" i="7"/>
  <c r="AH12" i="7"/>
  <c r="AH9" i="7"/>
  <c r="AK20" i="9" l="1"/>
  <c r="AK14" i="9"/>
  <c r="AK22" i="12" l="1"/>
  <c r="AH22" i="12"/>
  <c r="L22" i="12"/>
  <c r="AK22" i="8" l="1"/>
  <c r="AH22" i="8"/>
  <c r="L22" i="8"/>
  <c r="C72" i="6" l="1"/>
  <c r="C73" i="6"/>
  <c r="C74" i="6"/>
  <c r="C75" i="6"/>
  <c r="C76" i="6"/>
  <c r="C77" i="6"/>
  <c r="C78" i="6"/>
  <c r="C79" i="6"/>
  <c r="C80" i="6"/>
  <c r="C81" i="6"/>
  <c r="C82" i="6"/>
  <c r="C83" i="6"/>
  <c r="C84" i="6"/>
  <c r="C15" i="6"/>
  <c r="C16" i="6"/>
  <c r="C28" i="6"/>
  <c r="T22" i="12"/>
  <c r="E46" i="10" l="1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D46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D40" i="10"/>
  <c r="J7" i="10" l="1"/>
  <c r="O7" i="10" s="1"/>
  <c r="U7" i="10" s="1"/>
  <c r="Z7" i="10" s="1"/>
  <c r="AD7" i="10" s="1"/>
  <c r="M7" i="10"/>
  <c r="R7" i="10" s="1"/>
  <c r="W7" i="10" s="1"/>
  <c r="AB7" i="10" s="1"/>
  <c r="AF7" i="10" s="1"/>
  <c r="H7" i="8"/>
  <c r="AL7" i="10" l="1"/>
  <c r="AI7" i="10"/>
  <c r="K21" i="7"/>
  <c r="AJ21" i="7"/>
  <c r="AJ10" i="9" l="1"/>
  <c r="AJ11" i="9"/>
  <c r="AJ12" i="9"/>
  <c r="AJ13" i="9"/>
  <c r="AJ14" i="9"/>
  <c r="AJ15" i="9"/>
  <c r="AJ16" i="9"/>
  <c r="AJ17" i="9"/>
  <c r="AJ18" i="9"/>
  <c r="AJ19" i="9"/>
  <c r="AJ20" i="9"/>
  <c r="AJ10" i="10"/>
  <c r="AJ11" i="10"/>
  <c r="AJ12" i="10"/>
  <c r="AJ13" i="10"/>
  <c r="AJ14" i="10"/>
  <c r="AJ15" i="10"/>
  <c r="AJ16" i="10"/>
  <c r="AJ17" i="10"/>
  <c r="AJ18" i="10"/>
  <c r="AJ19" i="10"/>
  <c r="AJ20" i="10"/>
  <c r="AJ20" i="11"/>
  <c r="AJ10" i="7"/>
  <c r="AJ11" i="7"/>
  <c r="AJ12" i="7"/>
  <c r="AJ13" i="7"/>
  <c r="AJ14" i="7"/>
  <c r="AJ15" i="7"/>
  <c r="AJ16" i="7"/>
  <c r="AJ17" i="7"/>
  <c r="AJ18" i="7"/>
  <c r="AJ19" i="7"/>
  <c r="AJ20" i="7"/>
  <c r="AJ9" i="9"/>
  <c r="AJ9" i="10"/>
  <c r="AJ9" i="7"/>
  <c r="AJ8" i="9"/>
  <c r="AJ8" i="10"/>
  <c r="AJ8" i="7"/>
  <c r="AG9" i="9"/>
  <c r="AG10" i="9"/>
  <c r="AG11" i="9"/>
  <c r="AG12" i="9"/>
  <c r="AG13" i="9"/>
  <c r="AG14" i="9"/>
  <c r="AG15" i="9"/>
  <c r="AG16" i="9"/>
  <c r="AG17" i="9"/>
  <c r="AG18" i="9"/>
  <c r="AG19" i="9"/>
  <c r="AG20" i="9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0" i="11"/>
  <c r="AG21" i="11"/>
  <c r="AG21" i="12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8" i="9"/>
  <c r="AG8" i="10"/>
  <c r="AG8" i="7"/>
  <c r="X10" i="9"/>
  <c r="X11" i="9"/>
  <c r="X12" i="9"/>
  <c r="X13" i="9"/>
  <c r="X14" i="9"/>
  <c r="X15" i="9"/>
  <c r="X16" i="9"/>
  <c r="X17" i="9"/>
  <c r="X18" i="9"/>
  <c r="X19" i="9"/>
  <c r="X20" i="9"/>
  <c r="X10" i="10"/>
  <c r="X11" i="10"/>
  <c r="X12" i="10"/>
  <c r="X13" i="10"/>
  <c r="X14" i="10"/>
  <c r="X15" i="10"/>
  <c r="X16" i="10"/>
  <c r="X17" i="10"/>
  <c r="X18" i="10"/>
  <c r="X19" i="10"/>
  <c r="X20" i="10"/>
  <c r="X21" i="10"/>
  <c r="X20" i="11"/>
  <c r="X21" i="11"/>
  <c r="X21" i="12"/>
  <c r="X10" i="7"/>
  <c r="X11" i="7"/>
  <c r="X12" i="7"/>
  <c r="X13" i="7"/>
  <c r="X14" i="7"/>
  <c r="X15" i="7"/>
  <c r="X16" i="7"/>
  <c r="X17" i="7"/>
  <c r="X18" i="7"/>
  <c r="X19" i="7"/>
  <c r="X20" i="7"/>
  <c r="X21" i="7"/>
  <c r="X9" i="9"/>
  <c r="X9" i="10"/>
  <c r="X9" i="7"/>
  <c r="X8" i="9"/>
  <c r="X8" i="10"/>
  <c r="X8" i="7"/>
  <c r="S10" i="9"/>
  <c r="S11" i="9"/>
  <c r="S12" i="9"/>
  <c r="S13" i="9"/>
  <c r="S14" i="9"/>
  <c r="S15" i="9"/>
  <c r="S16" i="9"/>
  <c r="S17" i="9"/>
  <c r="S18" i="9"/>
  <c r="S19" i="9"/>
  <c r="S20" i="9"/>
  <c r="S10" i="10"/>
  <c r="S11" i="10"/>
  <c r="S12" i="10"/>
  <c r="S13" i="10"/>
  <c r="S14" i="10"/>
  <c r="S15" i="10"/>
  <c r="S16" i="10"/>
  <c r="S17" i="10"/>
  <c r="S18" i="10"/>
  <c r="S19" i="10"/>
  <c r="S20" i="10"/>
  <c r="S21" i="10"/>
  <c r="S20" i="11"/>
  <c r="S21" i="11"/>
  <c r="S21" i="12"/>
  <c r="S10" i="7"/>
  <c r="S11" i="7"/>
  <c r="S12" i="7"/>
  <c r="S13" i="7"/>
  <c r="S14" i="7"/>
  <c r="S15" i="7"/>
  <c r="S16" i="7"/>
  <c r="S17" i="7"/>
  <c r="S18" i="7"/>
  <c r="S19" i="7"/>
  <c r="S20" i="7"/>
  <c r="S21" i="7"/>
  <c r="S9" i="9"/>
  <c r="S9" i="10"/>
  <c r="S9" i="7"/>
  <c r="S8" i="9"/>
  <c r="S8" i="10"/>
  <c r="S8" i="7"/>
  <c r="K10" i="9"/>
  <c r="K11" i="9"/>
  <c r="K12" i="9"/>
  <c r="K13" i="9"/>
  <c r="K14" i="9"/>
  <c r="K15" i="9"/>
  <c r="K16" i="9"/>
  <c r="K17" i="9"/>
  <c r="K18" i="9"/>
  <c r="K19" i="9"/>
  <c r="K20" i="9"/>
  <c r="K10" i="10"/>
  <c r="K11" i="10"/>
  <c r="K12" i="10"/>
  <c r="K13" i="10"/>
  <c r="K14" i="10"/>
  <c r="K15" i="10"/>
  <c r="K16" i="10"/>
  <c r="K17" i="10"/>
  <c r="K18" i="10"/>
  <c r="K19" i="10"/>
  <c r="K20" i="10"/>
  <c r="K20" i="11"/>
  <c r="K10" i="7"/>
  <c r="K11" i="7"/>
  <c r="K12" i="7"/>
  <c r="K13" i="7"/>
  <c r="K14" i="7"/>
  <c r="K15" i="7"/>
  <c r="K16" i="7"/>
  <c r="K17" i="7"/>
  <c r="K18" i="7"/>
  <c r="K19" i="7"/>
  <c r="K20" i="7"/>
  <c r="K9" i="9"/>
  <c r="K9" i="10"/>
  <c r="K9" i="7"/>
  <c r="K8" i="9"/>
  <c r="K8" i="10"/>
  <c r="K8" i="7"/>
  <c r="P9" i="9"/>
  <c r="P10" i="9"/>
  <c r="P11" i="9"/>
  <c r="P12" i="9"/>
  <c r="P13" i="9"/>
  <c r="P14" i="9"/>
  <c r="P15" i="9"/>
  <c r="P16" i="9"/>
  <c r="P17" i="9"/>
  <c r="P18" i="9"/>
  <c r="P19" i="9"/>
  <c r="P20" i="9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0" i="11"/>
  <c r="P21" i="11"/>
  <c r="Q21" i="11" s="1"/>
  <c r="P21" i="12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8" i="9"/>
  <c r="P8" i="10"/>
  <c r="P8" i="7"/>
  <c r="R43" i="9" l="1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4" i="6" l="1"/>
  <c r="C45" i="6"/>
  <c r="C46" i="6"/>
  <c r="C47" i="6"/>
  <c r="C48" i="6"/>
  <c r="C49" i="6"/>
  <c r="C50" i="6"/>
  <c r="C51" i="6"/>
  <c r="C52" i="6"/>
  <c r="C53" i="6"/>
  <c r="C54" i="6"/>
  <c r="C55" i="6"/>
  <c r="C31" i="6"/>
  <c r="C32" i="6"/>
  <c r="C33" i="6"/>
  <c r="C34" i="6"/>
  <c r="C35" i="6"/>
  <c r="C36" i="6"/>
  <c r="C37" i="6"/>
  <c r="C38" i="6"/>
  <c r="C39" i="6"/>
  <c r="C40" i="6"/>
  <c r="C41" i="6"/>
  <c r="C42" i="6"/>
  <c r="T33" i="10"/>
  <c r="Q9" i="10" s="1"/>
  <c r="T34" i="10"/>
  <c r="Q10" i="10" s="1"/>
  <c r="T35" i="10"/>
  <c r="Q11" i="10" s="1"/>
  <c r="T36" i="10"/>
  <c r="Q12" i="10" s="1"/>
  <c r="T37" i="10"/>
  <c r="Q13" i="10" s="1"/>
  <c r="T38" i="10"/>
  <c r="Q14" i="10" s="1"/>
  <c r="T39" i="10"/>
  <c r="Q15" i="10" s="1"/>
  <c r="T40" i="10"/>
  <c r="Q16" i="10" s="1"/>
  <c r="T41" i="10"/>
  <c r="Q17" i="10" s="1"/>
  <c r="T42" i="10"/>
  <c r="Q18" i="10" s="1"/>
  <c r="T43" i="10"/>
  <c r="Q19" i="10" s="1"/>
  <c r="R41" i="7" l="1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T22" i="8" l="1"/>
  <c r="M7" i="11" l="1"/>
  <c r="R7" i="11" s="1"/>
  <c r="W7" i="11" s="1"/>
  <c r="AB7" i="11" s="1"/>
  <c r="AF7" i="11" s="1"/>
  <c r="AL7" i="11" s="1"/>
  <c r="J7" i="11"/>
  <c r="O7" i="11" s="1"/>
  <c r="U7" i="11" s="1"/>
  <c r="Z7" i="11" s="1"/>
  <c r="AD7" i="11" s="1"/>
  <c r="AI7" i="11" s="1"/>
  <c r="AK22" i="7" l="1"/>
  <c r="AH22" i="7"/>
  <c r="T22" i="7"/>
  <c r="L22" i="7"/>
  <c r="AK24" i="9"/>
  <c r="AH24" i="9"/>
  <c r="T24" i="9"/>
  <c r="L22" i="11" l="1"/>
  <c r="G36" i="2" l="1"/>
  <c r="K13" i="2"/>
  <c r="L24" i="9" l="1"/>
  <c r="Y21" i="11"/>
  <c r="C71" i="6" l="1"/>
  <c r="C59" i="6"/>
  <c r="C60" i="6"/>
  <c r="C61" i="6"/>
  <c r="C62" i="6"/>
  <c r="C63" i="6"/>
  <c r="C64" i="6"/>
  <c r="C65" i="6"/>
  <c r="C66" i="6"/>
  <c r="C67" i="6"/>
  <c r="C68" i="6"/>
  <c r="C69" i="6"/>
  <c r="C70" i="6"/>
  <c r="C58" i="6"/>
  <c r="C56" i="6"/>
  <c r="C43" i="6"/>
  <c r="D21" i="11"/>
  <c r="E21" i="11" s="1"/>
  <c r="C17" i="6"/>
  <c r="C18" i="6"/>
  <c r="C19" i="6"/>
  <c r="C20" i="6"/>
  <c r="C21" i="6"/>
  <c r="C22" i="6"/>
  <c r="C23" i="6"/>
  <c r="C24" i="6"/>
  <c r="C25" i="6"/>
  <c r="C26" i="6"/>
  <c r="C4" i="6"/>
  <c r="C5" i="6"/>
  <c r="C6" i="6"/>
  <c r="C7" i="6"/>
  <c r="C8" i="6"/>
  <c r="C9" i="6"/>
  <c r="C10" i="6"/>
  <c r="C11" i="6"/>
  <c r="C12" i="6"/>
  <c r="C13" i="6"/>
  <c r="C14" i="6"/>
  <c r="U46" i="12"/>
  <c r="Y8" i="12" s="1"/>
  <c r="U45" i="12"/>
  <c r="Y9" i="12" s="1"/>
  <c r="U44" i="12"/>
  <c r="Y11" i="12" s="1"/>
  <c r="U43" i="12"/>
  <c r="Y12" i="12" s="1"/>
  <c r="U42" i="12"/>
  <c r="Y10" i="12" s="1"/>
  <c r="U41" i="12"/>
  <c r="Y13" i="12" s="1"/>
  <c r="U40" i="12"/>
  <c r="Y14" i="12" s="1"/>
  <c r="U39" i="12"/>
  <c r="Y15" i="12" s="1"/>
  <c r="U38" i="12"/>
  <c r="Y16" i="12" s="1"/>
  <c r="U37" i="12"/>
  <c r="Y18" i="12" s="1"/>
  <c r="U36" i="12"/>
  <c r="Y17" i="12" s="1"/>
  <c r="U35" i="12"/>
  <c r="Y19" i="12" s="1"/>
  <c r="U34" i="12"/>
  <c r="Y20" i="12" s="1"/>
  <c r="U33" i="12"/>
  <c r="Y21" i="12" s="1"/>
  <c r="U32" i="12"/>
  <c r="C46" i="12"/>
  <c r="T46" i="12"/>
  <c r="Q8" i="12" s="1"/>
  <c r="T45" i="12"/>
  <c r="Q9" i="12" s="1"/>
  <c r="T44" i="12"/>
  <c r="Q11" i="12" s="1"/>
  <c r="T43" i="12"/>
  <c r="Q12" i="12" s="1"/>
  <c r="T42" i="12"/>
  <c r="Q10" i="12" s="1"/>
  <c r="T41" i="12"/>
  <c r="Q13" i="12" s="1"/>
  <c r="T40" i="12"/>
  <c r="Q14" i="12" s="1"/>
  <c r="T39" i="12"/>
  <c r="Q15" i="12" s="1"/>
  <c r="T38" i="12"/>
  <c r="Q16" i="12" s="1"/>
  <c r="T37" i="12"/>
  <c r="Q18" i="12" s="1"/>
  <c r="T36" i="12"/>
  <c r="Q17" i="12" s="1"/>
  <c r="T35" i="12"/>
  <c r="Q19" i="12" s="1"/>
  <c r="T34" i="12"/>
  <c r="Q20" i="12" s="1"/>
  <c r="T33" i="12"/>
  <c r="T32" i="12"/>
  <c r="C40" i="12"/>
  <c r="AW22" i="12"/>
  <c r="AR22" i="12"/>
  <c r="AM22" i="12"/>
  <c r="H7" i="12"/>
  <c r="J7" i="12" s="1"/>
  <c r="M7" i="12" s="1"/>
  <c r="O7" i="12" s="1"/>
  <c r="R7" i="12" s="1"/>
  <c r="U7" i="12" s="1"/>
  <c r="W7" i="12" s="1"/>
  <c r="Z7" i="12" s="1"/>
  <c r="AB7" i="12" s="1"/>
  <c r="AD7" i="12" s="1"/>
  <c r="AF7" i="12" s="1"/>
  <c r="AI7" i="12" s="1"/>
  <c r="AL7" i="12" s="1"/>
  <c r="U47" i="11"/>
  <c r="U46" i="11"/>
  <c r="U45" i="11"/>
  <c r="Y20" i="11" s="1"/>
  <c r="U44" i="11"/>
  <c r="Y19" i="11" s="1"/>
  <c r="U43" i="11"/>
  <c r="Y18" i="11" s="1"/>
  <c r="U42" i="11"/>
  <c r="Y17" i="11" s="1"/>
  <c r="U41" i="11"/>
  <c r="Y16" i="11" s="1"/>
  <c r="U40" i="11"/>
  <c r="Y15" i="11" s="1"/>
  <c r="U39" i="11"/>
  <c r="Y14" i="11" s="1"/>
  <c r="U38" i="11"/>
  <c r="Y13" i="11" s="1"/>
  <c r="U37" i="11"/>
  <c r="Y12" i="11" s="1"/>
  <c r="U35" i="11"/>
  <c r="Y10" i="11" s="1"/>
  <c r="U34" i="11"/>
  <c r="Y9" i="11" s="1"/>
  <c r="U33" i="11"/>
  <c r="Y8" i="11" s="1"/>
  <c r="C47" i="11"/>
  <c r="T47" i="11"/>
  <c r="T46" i="11"/>
  <c r="T45" i="11"/>
  <c r="Q20" i="11" s="1"/>
  <c r="T44" i="11"/>
  <c r="Q19" i="11" s="1"/>
  <c r="T43" i="11"/>
  <c r="Q18" i="11" s="1"/>
  <c r="T42" i="11"/>
  <c r="Q17" i="11" s="1"/>
  <c r="T41" i="11"/>
  <c r="Q16" i="11" s="1"/>
  <c r="T40" i="11"/>
  <c r="Q15" i="11" s="1"/>
  <c r="T39" i="11"/>
  <c r="Q14" i="11" s="1"/>
  <c r="T38" i="11"/>
  <c r="Q13" i="11" s="1"/>
  <c r="T37" i="11"/>
  <c r="Q12" i="11" s="1"/>
  <c r="T36" i="11"/>
  <c r="Q11" i="11" s="1"/>
  <c r="T35" i="11"/>
  <c r="Q10" i="11" s="1"/>
  <c r="T34" i="11"/>
  <c r="Q9" i="11" s="1"/>
  <c r="T33" i="11"/>
  <c r="Q8" i="11" s="1"/>
  <c r="C41" i="11"/>
  <c r="U36" i="11"/>
  <c r="Y11" i="11" s="1"/>
  <c r="K30" i="11"/>
  <c r="T22" i="11" l="1"/>
  <c r="D13" i="12"/>
  <c r="E13" i="12" s="1"/>
  <c r="D76" i="6" s="1"/>
  <c r="E76" i="6" s="1"/>
  <c r="L76" i="6" s="1"/>
  <c r="M76" i="6" s="1"/>
  <c r="D12" i="11"/>
  <c r="E12" i="11" s="1"/>
  <c r="D62" i="6" s="1"/>
  <c r="D20" i="11"/>
  <c r="E20" i="11" s="1"/>
  <c r="D70" i="6" s="1"/>
  <c r="E70" i="6" s="1"/>
  <c r="L70" i="6" s="1"/>
  <c r="M70" i="6" s="1"/>
  <c r="D19" i="12"/>
  <c r="E19" i="12" s="1"/>
  <c r="D82" i="6" s="1"/>
  <c r="E82" i="6" s="1"/>
  <c r="L82" i="6" s="1"/>
  <c r="M82" i="6" s="1"/>
  <c r="D16" i="11"/>
  <c r="E16" i="11" s="1"/>
  <c r="D66" i="6" s="1"/>
  <c r="E66" i="6" s="1"/>
  <c r="D9" i="12"/>
  <c r="E9" i="12" s="1"/>
  <c r="D72" i="6" s="1"/>
  <c r="E72" i="6" s="1"/>
  <c r="L72" i="6" s="1"/>
  <c r="M72" i="6" s="1"/>
  <c r="D12" i="12"/>
  <c r="E12" i="12" s="1"/>
  <c r="D75" i="6" s="1"/>
  <c r="E75" i="6" s="1"/>
  <c r="L75" i="6" s="1"/>
  <c r="M75" i="6" s="1"/>
  <c r="D14" i="12"/>
  <c r="E14" i="12" s="1"/>
  <c r="D77" i="6" s="1"/>
  <c r="E77" i="6" s="1"/>
  <c r="L77" i="6" s="1"/>
  <c r="M77" i="6" s="1"/>
  <c r="D11" i="12"/>
  <c r="E11" i="12" s="1"/>
  <c r="D74" i="6" s="1"/>
  <c r="E74" i="6" s="1"/>
  <c r="L74" i="6" s="1"/>
  <c r="M74" i="6" s="1"/>
  <c r="D18" i="12"/>
  <c r="E18" i="12" s="1"/>
  <c r="D81" i="6" s="1"/>
  <c r="E81" i="6" s="1"/>
  <c r="L81" i="6" s="1"/>
  <c r="M81" i="6" s="1"/>
  <c r="D10" i="12"/>
  <c r="E10" i="12" s="1"/>
  <c r="D73" i="6" s="1"/>
  <c r="E73" i="6" s="1"/>
  <c r="L73" i="6" s="1"/>
  <c r="M73" i="6" s="1"/>
  <c r="D18" i="11"/>
  <c r="E18" i="11" s="1"/>
  <c r="D68" i="6" s="1"/>
  <c r="D14" i="11"/>
  <c r="E14" i="11" s="1"/>
  <c r="D64" i="6" s="1"/>
  <c r="D13" i="11"/>
  <c r="E13" i="11" s="1"/>
  <c r="D63" i="6" s="1"/>
  <c r="D15" i="11"/>
  <c r="E15" i="11" s="1"/>
  <c r="D65" i="6" s="1"/>
  <c r="E65" i="6" s="1"/>
  <c r="Q22" i="12"/>
  <c r="D19" i="11"/>
  <c r="E19" i="11" s="1"/>
  <c r="D69" i="6" s="1"/>
  <c r="D15" i="12"/>
  <c r="E15" i="12" s="1"/>
  <c r="D78" i="6" s="1"/>
  <c r="E78" i="6" s="1"/>
  <c r="L78" i="6" s="1"/>
  <c r="M78" i="6" s="1"/>
  <c r="D21" i="12"/>
  <c r="E21" i="12" s="1"/>
  <c r="D84" i="6" s="1"/>
  <c r="E84" i="6" s="1"/>
  <c r="L84" i="6" s="1"/>
  <c r="M84" i="6" s="1"/>
  <c r="V22" i="12"/>
  <c r="T47" i="12"/>
  <c r="U47" i="12"/>
  <c r="U48" i="11"/>
  <c r="T48" i="11"/>
  <c r="D17" i="11" l="1"/>
  <c r="E17" i="11" s="1"/>
  <c r="D67" i="6" s="1"/>
  <c r="E67" i="6" s="1"/>
  <c r="D20" i="12"/>
  <c r="E20" i="12" s="1"/>
  <c r="D83" i="6" s="1"/>
  <c r="E83" i="6" s="1"/>
  <c r="L83" i="6" s="1"/>
  <c r="M83" i="6" s="1"/>
  <c r="Y22" i="12"/>
  <c r="D16" i="12"/>
  <c r="E16" i="12" s="1"/>
  <c r="D79" i="6" s="1"/>
  <c r="E79" i="6" s="1"/>
  <c r="L79" i="6" s="1"/>
  <c r="M79" i="6" s="1"/>
  <c r="D10" i="11"/>
  <c r="E10" i="11" s="1"/>
  <c r="D60" i="6" s="1"/>
  <c r="E60" i="6" s="1"/>
  <c r="L60" i="6" s="1"/>
  <c r="M60" i="6" s="1"/>
  <c r="D17" i="12"/>
  <c r="E17" i="12" s="1"/>
  <c r="D80" i="6" s="1"/>
  <c r="E80" i="6" s="1"/>
  <c r="L80" i="6" s="1"/>
  <c r="M80" i="6" s="1"/>
  <c r="D8" i="12"/>
  <c r="E8" i="12" s="1"/>
  <c r="D71" i="6" s="1"/>
  <c r="E71" i="6" s="1"/>
  <c r="L71" i="6" s="1"/>
  <c r="M71" i="6" s="1"/>
  <c r="D9" i="11"/>
  <c r="E9" i="11" s="1"/>
  <c r="D59" i="6" s="1"/>
  <c r="E59" i="6" s="1"/>
  <c r="L59" i="6" s="1"/>
  <c r="M59" i="6" s="1"/>
  <c r="E69" i="6"/>
  <c r="L69" i="6" s="1"/>
  <c r="M69" i="6" s="1"/>
  <c r="E62" i="6"/>
  <c r="L62" i="6" s="1"/>
  <c r="M62" i="6" s="1"/>
  <c r="E63" i="6"/>
  <c r="L63" i="6" s="1"/>
  <c r="M63" i="6" s="1"/>
  <c r="E64" i="6"/>
  <c r="L64" i="6" s="1"/>
  <c r="M64" i="6" s="1"/>
  <c r="E68" i="6"/>
  <c r="L68" i="6" s="1"/>
  <c r="M68" i="6" s="1"/>
  <c r="D11" i="11"/>
  <c r="E11" i="11" s="1"/>
  <c r="D61" i="6" s="1"/>
  <c r="D8" i="11"/>
  <c r="E8" i="11" s="1"/>
  <c r="D58" i="6" s="1"/>
  <c r="E58" i="6" s="1"/>
  <c r="L58" i="6" s="1"/>
  <c r="M58" i="6" s="1"/>
  <c r="Q22" i="11"/>
  <c r="L67" i="6"/>
  <c r="M67" i="6" s="1"/>
  <c r="L66" i="6"/>
  <c r="M66" i="6" s="1"/>
  <c r="L65" i="6"/>
  <c r="M65" i="6" s="1"/>
  <c r="H7" i="9"/>
  <c r="J7" i="9" s="1"/>
  <c r="M7" i="9" s="1"/>
  <c r="O7" i="9" s="1"/>
  <c r="R7" i="9" s="1"/>
  <c r="U7" i="9" s="1"/>
  <c r="W7" i="9" s="1"/>
  <c r="Z7" i="9" s="1"/>
  <c r="AB7" i="9" s="1"/>
  <c r="AD7" i="9" s="1"/>
  <c r="AF7" i="9" s="1"/>
  <c r="AI7" i="9" s="1"/>
  <c r="AL7" i="9" s="1"/>
  <c r="H7" i="7"/>
  <c r="E61" i="6" l="1"/>
  <c r="L61" i="6" s="1"/>
  <c r="M61" i="6" s="1"/>
  <c r="J7" i="7"/>
  <c r="M7" i="7" s="1"/>
  <c r="O7" i="7" s="1"/>
  <c r="R7" i="7" s="1"/>
  <c r="U7" i="7" s="1"/>
  <c r="W7" i="7" s="1"/>
  <c r="Z7" i="7" s="1"/>
  <c r="AB7" i="7" s="1"/>
  <c r="AD7" i="7" s="1"/>
  <c r="AF7" i="7" s="1"/>
  <c r="AI7" i="7" s="1"/>
  <c r="J7" i="8"/>
  <c r="M7" i="8" s="1"/>
  <c r="O7" i="8" s="1"/>
  <c r="R7" i="8" s="1"/>
  <c r="U7" i="8" s="1"/>
  <c r="W7" i="8" s="1"/>
  <c r="Z7" i="8" s="1"/>
  <c r="AB7" i="8" s="1"/>
  <c r="AD7" i="8" s="1"/>
  <c r="AF7" i="8" s="1"/>
  <c r="AI7" i="8" s="1"/>
  <c r="R49" i="9" l="1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52" i="1"/>
  <c r="E52" i="1"/>
  <c r="F52" i="1"/>
  <c r="G52" i="1"/>
  <c r="H52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C27" i="6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AM22" i="10" l="1"/>
  <c r="AR22" i="10"/>
  <c r="AW22" i="10"/>
  <c r="C40" i="10"/>
  <c r="T32" i="10"/>
  <c r="Q8" i="10" s="1"/>
  <c r="T44" i="10"/>
  <c r="Q20" i="10" s="1"/>
  <c r="T45" i="10"/>
  <c r="T46" i="10"/>
  <c r="C46" i="10"/>
  <c r="U32" i="10"/>
  <c r="Y8" i="10" s="1"/>
  <c r="U33" i="10"/>
  <c r="Y9" i="10" s="1"/>
  <c r="U35" i="10"/>
  <c r="Y11" i="10" s="1"/>
  <c r="U36" i="10"/>
  <c r="Y12" i="10" s="1"/>
  <c r="U37" i="10"/>
  <c r="Y13" i="10" s="1"/>
  <c r="U39" i="10"/>
  <c r="Y15" i="10" s="1"/>
  <c r="U40" i="10"/>
  <c r="Y16" i="10" s="1"/>
  <c r="U41" i="10"/>
  <c r="Y17" i="10" s="1"/>
  <c r="U42" i="10"/>
  <c r="Y18" i="10" s="1"/>
  <c r="U43" i="10"/>
  <c r="Y19" i="10" s="1"/>
  <c r="U44" i="10"/>
  <c r="Y20" i="10" s="1"/>
  <c r="U45" i="10"/>
  <c r="Y21" i="10" s="1"/>
  <c r="U46" i="10"/>
  <c r="AM24" i="9"/>
  <c r="AR24" i="9"/>
  <c r="AW24" i="9"/>
  <c r="K32" i="9"/>
  <c r="C43" i="9"/>
  <c r="T35" i="9"/>
  <c r="T36" i="9"/>
  <c r="T37" i="9"/>
  <c r="T38" i="9"/>
  <c r="T39" i="9"/>
  <c r="T40" i="9"/>
  <c r="Q17" i="9" s="1"/>
  <c r="T41" i="9"/>
  <c r="T42" i="9"/>
  <c r="Q15" i="9" s="1"/>
  <c r="T43" i="9"/>
  <c r="Q14" i="9" s="1"/>
  <c r="T46" i="9"/>
  <c r="T47" i="9"/>
  <c r="T48" i="9"/>
  <c r="T49" i="9"/>
  <c r="T44" i="9"/>
  <c r="T45" i="9"/>
  <c r="C49" i="9"/>
  <c r="U35" i="9"/>
  <c r="U36" i="9"/>
  <c r="U37" i="9"/>
  <c r="U38" i="9"/>
  <c r="U39" i="9"/>
  <c r="U40" i="9"/>
  <c r="Y17" i="9" s="1"/>
  <c r="U41" i="9"/>
  <c r="U42" i="9"/>
  <c r="U43" i="9"/>
  <c r="U44" i="9"/>
  <c r="U45" i="9"/>
  <c r="U46" i="9"/>
  <c r="U47" i="9"/>
  <c r="Y10" i="9" s="1"/>
  <c r="U48" i="9"/>
  <c r="U49" i="9"/>
  <c r="T32" i="8"/>
  <c r="U32" i="8"/>
  <c r="T33" i="8"/>
  <c r="U33" i="8"/>
  <c r="T34" i="8"/>
  <c r="Q20" i="8" s="1"/>
  <c r="U34" i="8"/>
  <c r="Y20" i="8" s="1"/>
  <c r="T35" i="8"/>
  <c r="Q19" i="8" s="1"/>
  <c r="U35" i="8"/>
  <c r="Y19" i="8" s="1"/>
  <c r="T36" i="8"/>
  <c r="Q18" i="8" s="1"/>
  <c r="U36" i="8"/>
  <c r="Y18" i="8" s="1"/>
  <c r="T37" i="8"/>
  <c r="Q17" i="8" s="1"/>
  <c r="U37" i="8"/>
  <c r="Y17" i="8" s="1"/>
  <c r="T38" i="8"/>
  <c r="Q16" i="8" s="1"/>
  <c r="U38" i="8"/>
  <c r="Y16" i="8" s="1"/>
  <c r="T39" i="8"/>
  <c r="Q15" i="8" s="1"/>
  <c r="U39" i="8"/>
  <c r="Y15" i="8" s="1"/>
  <c r="C40" i="8"/>
  <c r="T40" i="8"/>
  <c r="Q14" i="8" s="1"/>
  <c r="U40" i="8"/>
  <c r="Y14" i="8" s="1"/>
  <c r="T41" i="8"/>
  <c r="Q13" i="8" s="1"/>
  <c r="U41" i="8"/>
  <c r="Y13" i="8" s="1"/>
  <c r="T42" i="8"/>
  <c r="Q12" i="8" s="1"/>
  <c r="U42" i="8"/>
  <c r="Y12" i="8" s="1"/>
  <c r="T43" i="8"/>
  <c r="Q11" i="8" s="1"/>
  <c r="U43" i="8"/>
  <c r="Y11" i="8" s="1"/>
  <c r="T44" i="8"/>
  <c r="Q10" i="8" s="1"/>
  <c r="U44" i="8"/>
  <c r="Y10" i="8" s="1"/>
  <c r="T45" i="8"/>
  <c r="U45" i="8"/>
  <c r="C46" i="8"/>
  <c r="T46" i="8"/>
  <c r="Q9" i="8" s="1"/>
  <c r="U46" i="8"/>
  <c r="Y9" i="8" s="1"/>
  <c r="AR22" i="7"/>
  <c r="AW22" i="7"/>
  <c r="K30" i="7"/>
  <c r="C41" i="7"/>
  <c r="T33" i="7"/>
  <c r="T34" i="7"/>
  <c r="T35" i="7"/>
  <c r="T36" i="7"/>
  <c r="T37" i="7"/>
  <c r="T38" i="7"/>
  <c r="T39" i="7"/>
  <c r="Q14" i="7" s="1"/>
  <c r="T40" i="7"/>
  <c r="Q21" i="7" s="1"/>
  <c r="T41" i="7"/>
  <c r="T44" i="7"/>
  <c r="T45" i="7"/>
  <c r="T46" i="7"/>
  <c r="T47" i="7"/>
  <c r="T42" i="7"/>
  <c r="T43" i="7"/>
  <c r="C47" i="7"/>
  <c r="U33" i="7"/>
  <c r="U34" i="7"/>
  <c r="U35" i="7"/>
  <c r="U36" i="7"/>
  <c r="U37" i="7"/>
  <c r="U38" i="7"/>
  <c r="U39" i="7"/>
  <c r="Y14" i="7" s="1"/>
  <c r="U40" i="7"/>
  <c r="U41" i="7"/>
  <c r="U42" i="7"/>
  <c r="Y17" i="7" s="1"/>
  <c r="U43" i="7"/>
  <c r="Y18" i="7" s="1"/>
  <c r="U44" i="7"/>
  <c r="U45" i="7"/>
  <c r="U46" i="7"/>
  <c r="Y21" i="7" s="1"/>
  <c r="U47" i="7"/>
  <c r="C3" i="6"/>
  <c r="B3" i="1" s="1"/>
  <c r="C30" i="6"/>
  <c r="B29" i="1" s="1"/>
  <c r="B40" i="1"/>
  <c r="G5" i="2"/>
  <c r="G9" i="2"/>
  <c r="G17" i="2"/>
  <c r="G19" i="2"/>
  <c r="G24" i="2"/>
  <c r="G28" i="2"/>
  <c r="G32" i="2"/>
  <c r="G37" i="2"/>
  <c r="E4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C52" i="1"/>
  <c r="I52" i="1"/>
  <c r="J52" i="1"/>
  <c r="K52" i="1"/>
  <c r="L52" i="1"/>
  <c r="M52" i="1"/>
  <c r="N52" i="1"/>
  <c r="O52" i="1"/>
  <c r="P52" i="1"/>
  <c r="Y20" i="7" l="1"/>
  <c r="Y16" i="7"/>
  <c r="Y19" i="7"/>
  <c r="Q10" i="9"/>
  <c r="Y15" i="7"/>
  <c r="Q19" i="7"/>
  <c r="Q12" i="9"/>
  <c r="Q16" i="7"/>
  <c r="D16" i="7" s="1"/>
  <c r="E16" i="7" s="1"/>
  <c r="D11" i="6" s="1"/>
  <c r="E11" i="6" s="1"/>
  <c r="Y13" i="9"/>
  <c r="Y16" i="9"/>
  <c r="Y14" i="9"/>
  <c r="D14" i="9" s="1"/>
  <c r="E14" i="9" s="1"/>
  <c r="Q13" i="9"/>
  <c r="Y13" i="7"/>
  <c r="Y10" i="7"/>
  <c r="Q9" i="7"/>
  <c r="Q15" i="7"/>
  <c r="D15" i="7" s="1"/>
  <c r="E15" i="7" s="1"/>
  <c r="D10" i="6" s="1"/>
  <c r="E10" i="6" s="1"/>
  <c r="Q22" i="8"/>
  <c r="Q8" i="7"/>
  <c r="Y19" i="9"/>
  <c r="Q11" i="7"/>
  <c r="Y12" i="7"/>
  <c r="Y9" i="7"/>
  <c r="Q18" i="7"/>
  <c r="D18" i="7" s="1"/>
  <c r="Q13" i="7"/>
  <c r="Q10" i="7"/>
  <c r="Y8" i="9"/>
  <c r="Y20" i="9"/>
  <c r="Q8" i="9"/>
  <c r="Q16" i="9"/>
  <c r="Q19" i="9"/>
  <c r="Y11" i="7"/>
  <c r="Y8" i="7"/>
  <c r="Q17" i="7"/>
  <c r="D17" i="7" s="1"/>
  <c r="E17" i="7" s="1"/>
  <c r="D12" i="6" s="1"/>
  <c r="E12" i="6" s="1"/>
  <c r="Q20" i="7"/>
  <c r="D20" i="7" s="1"/>
  <c r="E20" i="7" s="1"/>
  <c r="D15" i="6" s="1"/>
  <c r="E15" i="6" s="1"/>
  <c r="L15" i="6" s="1"/>
  <c r="M15" i="6" s="1"/>
  <c r="Q12" i="7"/>
  <c r="Y12" i="9"/>
  <c r="Y15" i="9"/>
  <c r="D15" i="9" s="1"/>
  <c r="E15" i="9" s="1"/>
  <c r="Y18" i="9"/>
  <c r="Q20" i="9"/>
  <c r="D20" i="9" s="1"/>
  <c r="E20" i="9" s="1"/>
  <c r="Y11" i="9"/>
  <c r="Q9" i="9"/>
  <c r="Y9" i="9"/>
  <c r="Q11" i="9"/>
  <c r="Q18" i="9"/>
  <c r="D17" i="8"/>
  <c r="E17" i="8" s="1"/>
  <c r="D25" i="6" s="1"/>
  <c r="E25" i="6" s="1"/>
  <c r="U38" i="10"/>
  <c r="U34" i="10"/>
  <c r="D9" i="8"/>
  <c r="E9" i="8" s="1"/>
  <c r="D17" i="6" s="1"/>
  <c r="E17" i="6" s="1"/>
  <c r="D10" i="8"/>
  <c r="E10" i="8" s="1"/>
  <c r="D18" i="6" s="1"/>
  <c r="E18" i="6" s="1"/>
  <c r="D11" i="8"/>
  <c r="E11" i="8" s="1"/>
  <c r="D19" i="6" s="1"/>
  <c r="E19" i="6" s="1"/>
  <c r="D12" i="8"/>
  <c r="E12" i="8" s="1"/>
  <c r="D20" i="6" s="1"/>
  <c r="E20" i="6" s="1"/>
  <c r="D13" i="8"/>
  <c r="E13" i="8" s="1"/>
  <c r="D21" i="6" s="1"/>
  <c r="E21" i="6" s="1"/>
  <c r="D14" i="8"/>
  <c r="E14" i="8" s="1"/>
  <c r="D22" i="6" s="1"/>
  <c r="E22" i="6" s="1"/>
  <c r="D15" i="8"/>
  <c r="E15" i="8" s="1"/>
  <c r="D23" i="6" s="1"/>
  <c r="E23" i="6" s="1"/>
  <c r="D16" i="8"/>
  <c r="E16" i="8" s="1"/>
  <c r="D24" i="6" s="1"/>
  <c r="E24" i="6" s="1"/>
  <c r="D18" i="8"/>
  <c r="E18" i="8" s="1"/>
  <c r="D26" i="6" s="1"/>
  <c r="E26" i="6" s="1"/>
  <c r="D19" i="8"/>
  <c r="E19" i="8" s="1"/>
  <c r="D11" i="10"/>
  <c r="E11" i="10" s="1"/>
  <c r="Y22" i="8"/>
  <c r="D20" i="10"/>
  <c r="E20" i="10" s="1"/>
  <c r="D55" i="6" s="1"/>
  <c r="E55" i="6" s="1"/>
  <c r="D18" i="10"/>
  <c r="E18" i="10" s="1"/>
  <c r="D53" i="6" s="1"/>
  <c r="D8" i="10"/>
  <c r="E8" i="10" s="1"/>
  <c r="D43" i="6" s="1"/>
  <c r="E43" i="6" s="1"/>
  <c r="J31" i="2"/>
  <c r="D8" i="8"/>
  <c r="E8" i="8" s="1"/>
  <c r="D15" i="10"/>
  <c r="E15" i="10" s="1"/>
  <c r="D13" i="10"/>
  <c r="E13" i="10" s="1"/>
  <c r="D21" i="10"/>
  <c r="E21" i="10" s="1"/>
  <c r="D56" i="6" s="1"/>
  <c r="D19" i="10"/>
  <c r="E19" i="10" s="1"/>
  <c r="D54" i="6" s="1"/>
  <c r="D19" i="7"/>
  <c r="E19" i="7" s="1"/>
  <c r="D21" i="7"/>
  <c r="E21" i="7" s="1"/>
  <c r="D16" i="6" s="1"/>
  <c r="E16" i="6" s="1"/>
  <c r="L16" i="6" s="1"/>
  <c r="M16" i="6" s="1"/>
  <c r="D16" i="10"/>
  <c r="E16" i="10" s="1"/>
  <c r="D12" i="10"/>
  <c r="E12" i="10" s="1"/>
  <c r="D17" i="10"/>
  <c r="E17" i="10" s="1"/>
  <c r="D9" i="10"/>
  <c r="E9" i="10" s="1"/>
  <c r="J40" i="2"/>
  <c r="D10" i="9"/>
  <c r="E10" i="9" s="1"/>
  <c r="D17" i="9"/>
  <c r="E17" i="9" s="1"/>
  <c r="D21" i="8"/>
  <c r="E21" i="8" s="1"/>
  <c r="D14" i="7"/>
  <c r="E14" i="7" s="1"/>
  <c r="D9" i="6" s="1"/>
  <c r="E9" i="6" s="1"/>
  <c r="D20" i="8"/>
  <c r="E20" i="8" s="1"/>
  <c r="D28" i="6" s="1"/>
  <c r="E28" i="6" s="1"/>
  <c r="L28" i="6" s="1"/>
  <c r="M28" i="6" s="1"/>
  <c r="G41" i="2"/>
  <c r="G3" i="2"/>
  <c r="U48" i="7"/>
  <c r="T48" i="7"/>
  <c r="U50" i="9"/>
  <c r="T50" i="9"/>
  <c r="T47" i="10"/>
  <c r="D12" i="9" l="1"/>
  <c r="E12" i="9" s="1"/>
  <c r="D34" i="6" s="1"/>
  <c r="E34" i="6" s="1"/>
  <c r="D13" i="9"/>
  <c r="E13" i="9" s="1"/>
  <c r="D35" i="6" s="1"/>
  <c r="E35" i="6" s="1"/>
  <c r="D16" i="9"/>
  <c r="E16" i="9" s="1"/>
  <c r="D38" i="6" s="1"/>
  <c r="E38" i="6" s="1"/>
  <c r="D10" i="7"/>
  <c r="E10" i="7" s="1"/>
  <c r="D5" i="6" s="1"/>
  <c r="E5" i="6" s="1"/>
  <c r="R5" i="1" s="1"/>
  <c r="D13" i="7"/>
  <c r="E13" i="7" s="1"/>
  <c r="D8" i="6" s="1"/>
  <c r="E8" i="6" s="1"/>
  <c r="R8" i="1" s="1"/>
  <c r="D12" i="7"/>
  <c r="E12" i="7" s="1"/>
  <c r="D7" i="6" s="1"/>
  <c r="E7" i="6" s="1"/>
  <c r="R7" i="1" s="1"/>
  <c r="D8" i="7"/>
  <c r="E8" i="7" s="1"/>
  <c r="D3" i="6" s="1"/>
  <c r="E3" i="6" s="1"/>
  <c r="Q22" i="7"/>
  <c r="D11" i="7"/>
  <c r="E11" i="7" s="1"/>
  <c r="D6" i="6" s="1"/>
  <c r="E6" i="6" s="1"/>
  <c r="R6" i="1" s="1"/>
  <c r="D19" i="9"/>
  <c r="E19" i="9" s="1"/>
  <c r="D41" i="6" s="1"/>
  <c r="E41" i="6" s="1"/>
  <c r="D9" i="9"/>
  <c r="E9" i="9" s="1"/>
  <c r="D31" i="6" s="1"/>
  <c r="E31" i="6" s="1"/>
  <c r="D18" i="9"/>
  <c r="E18" i="9" s="1"/>
  <c r="D40" i="6" s="1"/>
  <c r="E40" i="6" s="1"/>
  <c r="D8" i="9"/>
  <c r="E8" i="9" s="1"/>
  <c r="D30" i="6" s="1"/>
  <c r="E30" i="6" s="1"/>
  <c r="Y24" i="9"/>
  <c r="Y22" i="7"/>
  <c r="D9" i="7"/>
  <c r="E9" i="7" s="1"/>
  <c r="D4" i="6" s="1"/>
  <c r="E4" i="6" s="1"/>
  <c r="R4" i="1" s="1"/>
  <c r="D11" i="9"/>
  <c r="E11" i="9" s="1"/>
  <c r="D33" i="6" s="1"/>
  <c r="E33" i="6" s="1"/>
  <c r="Q24" i="9"/>
  <c r="Y10" i="10"/>
  <c r="Y14" i="10"/>
  <c r="D14" i="10" s="1"/>
  <c r="E14" i="10" s="1"/>
  <c r="D49" i="6" s="1"/>
  <c r="E49" i="6" s="1"/>
  <c r="U47" i="10"/>
  <c r="D52" i="6"/>
  <c r="E52" i="6" s="1"/>
  <c r="D51" i="6"/>
  <c r="E51" i="6" s="1"/>
  <c r="D48" i="6"/>
  <c r="E48" i="6" s="1"/>
  <c r="D47" i="6"/>
  <c r="E47" i="6" s="1"/>
  <c r="D44" i="6"/>
  <c r="E44" i="6" s="1"/>
  <c r="D50" i="6"/>
  <c r="E50" i="6" s="1"/>
  <c r="D46" i="6"/>
  <c r="E46" i="6" s="1"/>
  <c r="D42" i="6"/>
  <c r="E42" i="6" s="1"/>
  <c r="D39" i="6"/>
  <c r="E39" i="6" s="1"/>
  <c r="D36" i="6"/>
  <c r="E36" i="6" s="1"/>
  <c r="E54" i="6"/>
  <c r="L54" i="6" s="1"/>
  <c r="M54" i="6" s="1"/>
  <c r="D37" i="6"/>
  <c r="E37" i="6" s="1"/>
  <c r="D32" i="6"/>
  <c r="E32" i="6" s="1"/>
  <c r="E56" i="6"/>
  <c r="E53" i="6"/>
  <c r="L53" i="6" s="1"/>
  <c r="M53" i="6" s="1"/>
  <c r="E18" i="7"/>
  <c r="D13" i="6" s="1"/>
  <c r="E13" i="6" s="1"/>
  <c r="D27" i="6"/>
  <c r="E27" i="6" s="1"/>
  <c r="D14" i="6"/>
  <c r="E14" i="6" s="1"/>
  <c r="R11" i="1"/>
  <c r="R9" i="1"/>
  <c r="R10" i="1"/>
  <c r="R12" i="1"/>
  <c r="D10" i="10" l="1"/>
  <c r="E10" i="10" s="1"/>
  <c r="D45" i="6" s="1"/>
  <c r="E45" i="6" s="1"/>
  <c r="L45" i="6" s="1"/>
  <c r="M45" i="6" s="1"/>
  <c r="Y22" i="10"/>
  <c r="L27" i="6"/>
  <c r="M27" i="6" s="1"/>
  <c r="L7" i="6"/>
  <c r="M7" i="6" s="1"/>
  <c r="R13" i="1"/>
  <c r="R25" i="1"/>
  <c r="L26" i="6"/>
  <c r="M26" i="6" s="1"/>
  <c r="L52" i="6"/>
  <c r="M52" i="6" s="1"/>
  <c r="R51" i="1"/>
  <c r="L51" i="6"/>
  <c r="M51" i="6" s="1"/>
  <c r="R50" i="1"/>
  <c r="L50" i="6"/>
  <c r="M50" i="6" s="1"/>
  <c r="R49" i="1"/>
  <c r="L49" i="6"/>
  <c r="M49" i="6" s="1"/>
  <c r="R48" i="1"/>
  <c r="L48" i="6"/>
  <c r="M48" i="6" s="1"/>
  <c r="R47" i="1"/>
  <c r="L47" i="6"/>
  <c r="M47" i="6" s="1"/>
  <c r="R46" i="1"/>
  <c r="L46" i="6"/>
  <c r="M46" i="6" s="1"/>
  <c r="R45" i="1"/>
  <c r="L44" i="6"/>
  <c r="M44" i="6" s="1"/>
  <c r="R43" i="1"/>
  <c r="L43" i="6"/>
  <c r="M43" i="6" s="1"/>
  <c r="R42" i="1"/>
  <c r="L42" i="6"/>
  <c r="M42" i="6" s="1"/>
  <c r="R41" i="1"/>
  <c r="R14" i="1"/>
  <c r="L14" i="6"/>
  <c r="M14" i="6" s="1"/>
  <c r="L30" i="6"/>
  <c r="M30" i="6" s="1"/>
  <c r="R29" i="1"/>
  <c r="L31" i="6"/>
  <c r="M31" i="6" s="1"/>
  <c r="R30" i="1"/>
  <c r="L32" i="6"/>
  <c r="M32" i="6" s="1"/>
  <c r="R31" i="1"/>
  <c r="L33" i="6"/>
  <c r="M33" i="6" s="1"/>
  <c r="R32" i="1"/>
  <c r="L34" i="6"/>
  <c r="M34" i="6" s="1"/>
  <c r="R33" i="1"/>
  <c r="L35" i="6"/>
  <c r="M35" i="6" s="1"/>
  <c r="R34" i="1"/>
  <c r="L36" i="6"/>
  <c r="M36" i="6" s="1"/>
  <c r="R35" i="1"/>
  <c r="L37" i="6"/>
  <c r="M37" i="6" s="1"/>
  <c r="R36" i="1"/>
  <c r="L38" i="6"/>
  <c r="M38" i="6" s="1"/>
  <c r="R37" i="1"/>
  <c r="L39" i="6"/>
  <c r="M39" i="6" s="1"/>
  <c r="R38" i="1"/>
  <c r="R15" i="1"/>
  <c r="L17" i="6"/>
  <c r="M17" i="6" s="1"/>
  <c r="R16" i="1"/>
  <c r="L18" i="6"/>
  <c r="M18" i="6" s="1"/>
  <c r="R17" i="1"/>
  <c r="L19" i="6"/>
  <c r="M19" i="6" s="1"/>
  <c r="R18" i="1"/>
  <c r="L20" i="6"/>
  <c r="M20" i="6" s="1"/>
  <c r="R19" i="1"/>
  <c r="L21" i="6"/>
  <c r="M21" i="6" s="1"/>
  <c r="R20" i="1"/>
  <c r="L22" i="6"/>
  <c r="M22" i="6" s="1"/>
  <c r="R21" i="1"/>
  <c r="L25" i="6"/>
  <c r="M25" i="6" s="1"/>
  <c r="R24" i="1"/>
  <c r="L24" i="6"/>
  <c r="M24" i="6" s="1"/>
  <c r="R23" i="1"/>
  <c r="L23" i="6"/>
  <c r="M23" i="6" s="1"/>
  <c r="R22" i="1"/>
  <c r="L12" i="6"/>
  <c r="M12" i="6" s="1"/>
  <c r="L10" i="6"/>
  <c r="M10" i="6" s="1"/>
  <c r="L9" i="6"/>
  <c r="M9" i="6" s="1"/>
  <c r="L8" i="6"/>
  <c r="M8" i="6" s="1"/>
  <c r="L6" i="6"/>
  <c r="M6" i="6" s="1"/>
  <c r="L5" i="6"/>
  <c r="M5" i="6" s="1"/>
  <c r="L4" i="6"/>
  <c r="M4" i="6" s="1"/>
  <c r="R3" i="1"/>
  <c r="L11" i="6"/>
  <c r="M11" i="6" s="1"/>
  <c r="R44" i="1" l="1"/>
  <c r="L13" i="6"/>
  <c r="M13" i="6" s="1"/>
  <c r="L40" i="6"/>
  <c r="M40" i="6" s="1"/>
  <c r="R39" i="1"/>
  <c r="L41" i="6"/>
  <c r="M41" i="6" s="1"/>
  <c r="R40" i="1"/>
  <c r="L3" i="6"/>
  <c r="M3" i="6" s="1"/>
</calcChain>
</file>

<file path=xl/comments1.xml><?xml version="1.0" encoding="utf-8"?>
<comments xmlns="http://schemas.openxmlformats.org/spreadsheetml/2006/main">
  <authors>
    <author>Давиденко Євген Олександрович</author>
  </authors>
  <commentList>
    <comment ref="E14" authorId="0" guid="{316414D4-C5F7-4EB8-8D98-6B4F4D2BEFBD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Плагіат
</t>
        </r>
      </text>
    </comment>
    <comment ref="E17" authorId="0" guid="{FFA9DA85-1AFD-4A09-93EC-0E02E8A69FD8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Плагіат
</t>
        </r>
      </text>
    </comment>
    <comment ref="E20" authorId="0" guid="{5E40E5C9-9B34-4501-9EA6-0055848433B7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Плагіат
</t>
        </r>
      </text>
    </comment>
  </commentList>
</comments>
</file>

<file path=xl/comments2.xml><?xml version="1.0" encoding="utf-8"?>
<comments xmlns="http://schemas.openxmlformats.org/spreadsheetml/2006/main">
  <authors>
    <author>Ніколенко Світлана Григорівна</author>
    <author>мама</author>
  </authors>
  <commentList>
    <comment ref="L14" authorId="0" guid="{BB0D5529-32DB-4D70-A659-E272FC8EFD70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ДЕ BLOCKDISC?
</t>
        </r>
      </text>
    </comment>
    <comment ref="L17" authorId="0" guid="{9DEFDAFB-18B2-4A06-B7BC-01018CF0574A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Input Mask???
</t>
        </r>
      </text>
    </comment>
    <comment ref="J42" authorId="0" guid="{8D507160-8DEF-4822-AE3D-5BBC4297523C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В ТАБЛИЦІ 8 ПОЛІВ???
</t>
        </r>
      </text>
    </comment>
    <comment ref="N42" authorId="1" guid="{2C1DE0E5-DB37-4361-B333-2016B4E9732D}">
      <text>
        <r>
          <rPr>
            <sz val="14"/>
            <color indexed="81"/>
            <rFont val="Tahoma"/>
            <family val="2"/>
            <charset val="204"/>
          </rPr>
          <t>НА ЯКРМУ КУРСІ 8 ТРИМЕСТР?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Давиденко Євген Олександрович</author>
  </authors>
  <commentList>
    <comment ref="C19" authorId="0" guid="{116FDBFA-169E-4421-8371-07942EE0F8F2}">
      <text>
        <r>
          <rPr>
            <b/>
            <sz val="8"/>
            <color indexed="81"/>
            <rFont val="Tahoma"/>
            <family val="2"/>
            <charset val="204"/>
          </rPr>
          <t>Давиденко Євген Олександрович:</t>
        </r>
        <r>
          <rPr>
            <sz val="8"/>
            <color indexed="81"/>
            <rFont val="Tahoma"/>
            <family val="2"/>
            <charset val="204"/>
          </rPr>
          <t xml:space="preserve">
Плагіат
</t>
        </r>
      </text>
    </comment>
  </commentList>
</comments>
</file>

<file path=xl/comments4.xml><?xml version="1.0" encoding="utf-8"?>
<comments xmlns="http://schemas.openxmlformats.org/spreadsheetml/2006/main">
  <authors>
    <author>мама</author>
  </authors>
  <commentList>
    <comment ref="AK13" authorId="0" guid="{0616F89C-8AE3-4B89-BB62-D7D51D14FC27}">
      <text>
        <r>
          <rPr>
            <sz val="9"/>
            <color indexed="81"/>
            <rFont val="Tahoma"/>
            <family val="2"/>
            <charset val="204"/>
          </rPr>
          <t xml:space="preserve">НЕ ТОЙ ВАРІАНТ!
</t>
        </r>
      </text>
    </comment>
  </commentList>
</comments>
</file>

<file path=xl/comments5.xml><?xml version="1.0" encoding="utf-8"?>
<comments xmlns="http://schemas.openxmlformats.org/spreadsheetml/2006/main">
  <authors>
    <author>мама</author>
    <author>Ніколенко Світлана Григорівна</author>
  </authors>
  <commentList>
    <comment ref="Y12" authorId="0" guid="{42CACA44-4388-41A5-991B-499AE4822454}">
      <text>
        <r>
          <rPr>
            <sz val="9"/>
            <color indexed="81"/>
            <rFont val="Tahoma"/>
            <family val="2"/>
            <charset val="204"/>
          </rPr>
          <t xml:space="preserve">БАЗА ПУСТА!!!
</t>
        </r>
      </text>
    </comment>
    <comment ref="Y15" authorId="1" guid="{6B325F08-3E77-4DE5-B3DC-11F927FEB11C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БАЗА ДАНИХ 2015 року!!!
</t>
        </r>
      </text>
    </comment>
    <comment ref="Q17" authorId="0" guid="{9AB6A2A6-90A7-4069-A873-9BF800290C1A}">
      <text>
        <r>
          <rPr>
            <sz val="12"/>
            <color indexed="81"/>
            <rFont val="Tahoma"/>
            <family val="2"/>
            <charset val="204"/>
          </rPr>
          <t xml:space="preserve">ЗАЧЕМ ИСПОЛЬЗОВАТЬ ГРУППИРУВКУ?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Y17" authorId="1" guid="{365FFB39-CF06-4244-9BFE-8DA4EFD04B6B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ЗАВДАННЯ 2,3,4 ВИКОНУЮТЬСЯ НА ОСНОВНІЙ БАЗІ!!!!
</t>
        </r>
      </text>
    </comment>
    <comment ref="L18" authorId="1" guid="{6AF7CD0D-A1A9-45C2-A630-D1012145D6AF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INPUT MASK для поля PostVykl????
</t>
        </r>
      </text>
    </comment>
    <comment ref="G34" authorId="1" guid="{1F8EC531-B268-4A88-9462-0B7292949D6F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 ТОЙ КРИТЕРІЙ!!!
</t>
        </r>
      </text>
    </comment>
    <comment ref="G35" authorId="1" guid="{2A6D202A-76D0-4478-A6A6-AF686A99CD84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 ТА ТАБДТЦЯ! &lt; ТА ГРУППУВАННЯ НЕ ТРЕБА!
</t>
        </r>
      </text>
    </comment>
    <comment ref="L39" authorId="1" guid="{35CB280C-02F1-433F-A697-A8C86EA05BE4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НЕМАЄ ЗАПИТА!!!
</t>
        </r>
      </text>
    </comment>
    <comment ref="N43" authorId="0" guid="{71E7C218-DE44-4462-A304-4016BBCFB61F}">
      <text>
        <r>
          <rPr>
            <sz val="12"/>
            <color indexed="81"/>
            <rFont val="Tahoma"/>
            <family val="2"/>
            <charset val="204"/>
          </rPr>
          <t>ТАБЛИЦЯ СТРОВЮЄТЬСЯ ОПЕРЕТОРОМ CREATE!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Ніколенко Світлана Григорівна</author>
    <author>мама</author>
  </authors>
  <commentList>
    <comment ref="L11" authorId="0" guid="{070D418D-4A27-4E88-8546-6563AF113964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 xml:space="preserve">НЕТ ЗАГОЛОВКОВ, МАСОК
</t>
        </r>
      </text>
    </comment>
    <comment ref="L12" authorId="0" guid="{FC6664AA-43B8-42DD-BF8E-F406A65F3356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Невірні маски і довжина даних!
</t>
        </r>
      </text>
    </comment>
    <comment ref="L18" authorId="0" guid="{2D3D5ED7-8EBA-450C-AFFE-9CB4397261B0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Розмір поля і маска?
</t>
        </r>
      </text>
    </comment>
    <comment ref="AH18" authorId="1" guid="{66B8060E-0EBD-4B68-8B8B-3B265E26D885}">
      <text>
        <r>
          <rPr>
            <sz val="12"/>
            <color indexed="81"/>
            <rFont val="Tahoma"/>
            <family val="2"/>
            <charset val="204"/>
          </rPr>
          <t xml:space="preserve">1-НЕ ТА ФОРМА 2 та 3 НЕВІРНІ ЗАПИТИ!!!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K18" authorId="1" guid="{F0983A1A-E6D6-45A1-ACD8-615716504814}">
      <text>
        <r>
          <rPr>
            <sz val="14"/>
            <color indexed="81"/>
            <rFont val="Tahoma"/>
            <family val="2"/>
            <charset val="204"/>
          </rPr>
          <t xml:space="preserve">2 - НЕВІРНИЙ ЗАПИТ!!!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19" authorId="0" guid="{D4A5FC25-F0E8-463A-BFA4-CC87B2F8861A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Невірні маски і немає перевірки !
</t>
        </r>
      </text>
    </comment>
    <comment ref="Q20" authorId="0" guid="{687E8E9D-4A65-473B-9AB3-EBB2A59753CE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БАЗА ДАНИХ 2015 року!!!
</t>
        </r>
      </text>
    </comment>
    <comment ref="I36" authorId="0" guid="{4F47326A-C977-41AD-99FF-20C48E436822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ДЕ ПЕВНИЙ ЦИКЛ???
</t>
        </r>
      </text>
    </comment>
    <comment ref="H37" authorId="0" guid="{71D3290D-B536-4F96-9D8A-1071B9809C99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ТРИ ЗАПИТИ З  ГРУППУВАННЯМ!!!!
</t>
        </r>
      </text>
    </comment>
    <comment ref="R37" authorId="0" guid="{3F938BDE-3850-4A52-9843-B25E3FEEFE45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ЗА 2 ЗАПИТА!!!
</t>
        </r>
      </text>
    </comment>
    <comment ref="H43" authorId="1" guid="{DFF0F3A4-44D6-474B-8B6C-C37F7526766E}">
      <text>
        <r>
          <rPr>
            <sz val="14"/>
            <color indexed="81"/>
            <rFont val="Tahoma"/>
            <family val="2"/>
            <charset val="204"/>
          </rPr>
          <t>ДЕ ЗАПИТИ????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<sst xmlns="http://schemas.openxmlformats.org/spreadsheetml/2006/main" count="1660" uniqueCount="451">
  <si>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</si>
  <si>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</si>
  <si>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</si>
  <si>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</si>
  <si>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</si>
  <si>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</si>
  <si>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</si>
  <si>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</si>
  <si>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</si>
  <si>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</si>
  <si>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</si>
  <si>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</si>
  <si>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</si>
  <si>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</si>
  <si>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</si>
  <si>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</si>
  <si>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</si>
  <si>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</si>
  <si>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</si>
  <si>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</si>
  <si>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</si>
  <si>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</si>
  <si>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</si>
  <si>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</si>
  <si>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</si>
  <si>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</si>
  <si>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</si>
  <si>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</si>
  <si>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</si>
  <si>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</si>
  <si>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</si>
  <si>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</si>
  <si>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</si>
  <si>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</si>
  <si>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</si>
  <si>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</si>
  <si>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</si>
  <si>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</si>
  <si>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</si>
  <si>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</si>
  <si>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</si>
  <si>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</si>
  <si>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</si>
  <si>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</si>
  <si>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</si>
  <si>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</si>
  <si>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</si>
  <si>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</si>
  <si>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</si>
  <si>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</si>
  <si>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</si>
  <si>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</si>
  <si>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</si>
  <si>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</si>
  <si>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</si>
  <si>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</si>
  <si>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</si>
  <si>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</si>
  <si>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</si>
  <si>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</si>
  <si>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</si>
  <si>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</si>
  <si>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</si>
  <si>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</si>
  <si>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</si>
  <si>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</si>
  <si>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</si>
  <si>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</si>
  <si>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</si>
  <si>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</si>
  <si>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</si>
  <si>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</si>
  <si>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</si>
  <si>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</si>
  <si>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</si>
  <si>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</si>
  <si>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</si>
  <si>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</si>
  <si>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</si>
  <si>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</si>
  <si>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</si>
  <si>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</si>
  <si>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</si>
  <si>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</si>
  <si>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</si>
  <si>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</si>
  <si>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</si>
  <si>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</si>
  <si>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</si>
  <si>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</si>
  <si>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</si>
  <si>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</si>
  <si>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</si>
  <si>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</si>
  <si>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</si>
  <si>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</si>
  <si>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</si>
  <si>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</si>
  <si>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</si>
  <si>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</si>
  <si>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</si>
  <si>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</si>
  <si>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</si>
  <si>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</si>
  <si>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</si>
  <si>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</si>
  <si>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</si>
  <si>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</si>
  <si>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</si>
  <si>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</si>
  <si>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</si>
  <si>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</si>
  <si>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</si>
  <si>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</si>
  <si>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</si>
  <si>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</si>
  <si>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</si>
  <si>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</si>
  <si>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</si>
  <si>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</si>
  <si>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</si>
  <si>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</si>
  <si>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</si>
  <si>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</si>
  <si>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</si>
  <si>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</si>
  <si>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</si>
  <si>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</si>
  <si>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</si>
  <si>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</si>
  <si>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</si>
  <si>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</si>
  <si>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</si>
  <si>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</si>
  <si>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</si>
  <si>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</si>
  <si>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</si>
  <si>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</si>
  <si>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Заняття  №7</t>
  </si>
  <si>
    <t>Заняття  №8</t>
  </si>
  <si>
    <t>Заняття  №9</t>
  </si>
  <si>
    <t>Заняття  №10</t>
  </si>
  <si>
    <t>Заняття  №11</t>
  </si>
  <si>
    <t>Заняття  №12</t>
  </si>
  <si>
    <t>Заняття  №13</t>
  </si>
  <si>
    <t>Л/р №1</t>
  </si>
  <si>
    <t>Л/р №2</t>
  </si>
  <si>
    <t>Л/р №3</t>
  </si>
  <si>
    <t>Л/р №4</t>
  </si>
  <si>
    <t>Л/р №5</t>
  </si>
  <si>
    <t>Л/р №6</t>
  </si>
  <si>
    <t>Л/р №8</t>
  </si>
  <si>
    <t>бали</t>
  </si>
  <si>
    <t>Розподіл балів за триместр</t>
  </si>
  <si>
    <t>Лабораторні роботи</t>
  </si>
  <si>
    <t>Іспит</t>
  </si>
  <si>
    <t>РАЗОМ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</si>
  <si>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</si>
  <si>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</si>
  <si>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</si>
  <si>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</si>
  <si>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</si>
  <si>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</si>
  <si>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</si>
  <si>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</si>
  <si>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</si>
  <si>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</si>
  <si>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</si>
  <si>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</si>
  <si>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</si>
  <si>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QBE</t>
  </si>
  <si>
    <t>№ контр роботи</t>
  </si>
  <si>
    <t>присутність</t>
  </si>
  <si>
    <t>Конт роб 4</t>
  </si>
  <si>
    <t>Разом контрольні</t>
  </si>
  <si>
    <t>Запит QBE</t>
  </si>
  <si>
    <t>Запит SQL</t>
  </si>
  <si>
    <t>Модулі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</si>
  <si>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</si>
  <si>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</si>
  <si>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</si>
  <si>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</si>
  <si>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</si>
  <si>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</si>
  <si>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</si>
  <si>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</si>
  <si>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</si>
  <si>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</si>
  <si>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</si>
  <si>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</si>
  <si>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</si>
  <si>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</si>
  <si>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</si>
  <si>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</si>
  <si>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</si>
  <si>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</si>
  <si>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</si>
  <si>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</si>
  <si>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</si>
  <si>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</si>
  <si>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</si>
  <si>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</si>
  <si>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</si>
  <si>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</si>
  <si>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</si>
  <si>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</si>
  <si>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</si>
  <si>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</si>
  <si>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</si>
  <si>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</si>
  <si>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</si>
  <si>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</si>
  <si>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</si>
  <si>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</si>
  <si>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</si>
  <si>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</si>
  <si>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</si>
  <si>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</si>
  <si>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</si>
  <si>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</si>
  <si>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Вар конт роб 2</t>
  </si>
  <si>
    <t>Вар конт роб 1</t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</si>
  <si>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</si>
  <si>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</si>
  <si>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</si>
  <si>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</si>
  <si>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</si>
  <si>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</si>
  <si>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</si>
  <si>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</si>
  <si>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</si>
  <si>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</si>
  <si>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Query QBE</t>
  </si>
  <si>
    <t>Контрольна робота №7,8 Макроси, SWB</t>
  </si>
  <si>
    <t>контроль                           варіант</t>
  </si>
  <si>
    <t>Контр роб на лекц</t>
  </si>
  <si>
    <t>Вар</t>
  </si>
  <si>
    <t>SQL</t>
  </si>
  <si>
    <t>Підсумки</t>
  </si>
  <si>
    <t>№ пп</t>
  </si>
  <si>
    <t>Група</t>
  </si>
  <si>
    <t>ПІБ</t>
  </si>
  <si>
    <t>За лабор</t>
  </si>
  <si>
    <t>Всього за триместр</t>
  </si>
  <si>
    <t>Білет №</t>
  </si>
  <si>
    <t>Група 202</t>
  </si>
  <si>
    <t>Заняття  №14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</si>
  <si>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</si>
  <si>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</si>
  <si>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</si>
  <si>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</si>
  <si>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</si>
  <si>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</si>
  <si>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</si>
  <si>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</si>
  <si>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</si>
  <si>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</si>
  <si>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Вар конт роб 3</t>
  </si>
  <si>
    <t>Л/р №7</t>
  </si>
  <si>
    <t>Л/р №9</t>
  </si>
  <si>
    <t>Група 201_1</t>
  </si>
  <si>
    <t>Група 201_2</t>
  </si>
  <si>
    <t>Група 202_1</t>
  </si>
  <si>
    <t>Група 202_2</t>
  </si>
  <si>
    <t xml:space="preserve"> БАЗА ДАНИХ     BXXXXXXX</t>
  </si>
  <si>
    <t>Розрахунок балів гр 201-203 2008/2009 уч рік</t>
  </si>
  <si>
    <t>Не заполнять!</t>
  </si>
  <si>
    <t>Проп.</t>
  </si>
  <si>
    <t>Бали за л/р</t>
  </si>
  <si>
    <t>Група 201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</si>
  <si>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</si>
  <si>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</si>
  <si>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</si>
  <si>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</si>
  <si>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</si>
  <si>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</si>
  <si>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</si>
  <si>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</si>
  <si>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</si>
  <si>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</si>
  <si>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</si>
  <si>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</si>
  <si>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</si>
  <si>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</si>
  <si>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</si>
  <si>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</si>
  <si>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</si>
  <si>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</si>
  <si>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</si>
  <si>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</si>
  <si>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</si>
  <si>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</si>
  <si>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</si>
  <si>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</si>
  <si>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</si>
  <si>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</si>
  <si>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Давиденко Євген Олександрович</t>
  </si>
  <si>
    <t>Ніколенко Світлана Григорівна</t>
  </si>
  <si>
    <t>контроль                                          варіант</t>
  </si>
  <si>
    <t>2-3</t>
  </si>
  <si>
    <t>19-21</t>
  </si>
  <si>
    <t>9.1</t>
  </si>
  <si>
    <t>9.2</t>
  </si>
  <si>
    <t>Бонуси за відв+ активн</t>
  </si>
  <si>
    <t>сдано 16.05.13</t>
  </si>
  <si>
    <t>Конт роб 5</t>
  </si>
  <si>
    <t>Конт роб 6</t>
  </si>
  <si>
    <t>Беседін Богдан Валерійович</t>
  </si>
  <si>
    <t>Група 203_1</t>
  </si>
  <si>
    <t>Група 203_2</t>
  </si>
  <si>
    <t>лаб5</t>
  </si>
  <si>
    <t>Підсумкове</t>
  </si>
  <si>
    <t>2 трим</t>
  </si>
  <si>
    <t>3 трим</t>
  </si>
  <si>
    <r>
      <t xml:space="preserve">За КР лекц </t>
    </r>
    <r>
      <rPr>
        <b/>
        <i/>
        <sz val="10"/>
        <color rgb="FFFF0000"/>
        <rFont val="Arial Cyr"/>
      </rPr>
      <t>ФМТ</t>
    </r>
  </si>
  <si>
    <t>КР ЛЕК-1</t>
  </si>
  <si>
    <t>КР ЛЕК-2</t>
  </si>
  <si>
    <t>КР ЛЕК-3</t>
  </si>
  <si>
    <t xml:space="preserve">Всього </t>
  </si>
  <si>
    <t>ПІДСУМКИ 2 тр 2015р</t>
  </si>
  <si>
    <t>Баланчук Андрій Вадимович</t>
  </si>
  <si>
    <t>Барчук Дмитро Юрійович</t>
  </si>
  <si>
    <t>Безуглов Ігор Андрійович</t>
  </si>
  <si>
    <t>Бєлий Дмитро Семенович</t>
  </si>
  <si>
    <t>Гапчук Андрій Олександрович</t>
  </si>
  <si>
    <t>Горшков Владислав Олександрович</t>
  </si>
  <si>
    <t>Дем'янов Дмитро Олегович</t>
  </si>
  <si>
    <t>Дмитрієв Дмитро Григорович</t>
  </si>
  <si>
    <t>Журавель Анна Володимирівна</t>
  </si>
  <si>
    <t>Зайцев Юрій Геннадійович</t>
  </si>
  <si>
    <t>Іванченко Віталій Валерійович</t>
  </si>
  <si>
    <t>Кінаш Дмитро Вікторович</t>
  </si>
  <si>
    <t>Ковальова Лілія Олександрівна</t>
  </si>
  <si>
    <t>Котов Євгеній Олександрович</t>
  </si>
  <si>
    <t>Мамедов Руслан Алімович</t>
  </si>
  <si>
    <t>Маханько Едуард Костянтинович</t>
  </si>
  <si>
    <t>Нікітюк Роман Юрійович</t>
  </si>
  <si>
    <t>Палаш Олег Олегович</t>
  </si>
  <si>
    <t>Печериця Володимир Ігорович</t>
  </si>
  <si>
    <t>Сорока Ігор Юрійович</t>
  </si>
  <si>
    <t>Устенюк Любов Станіславівна</t>
  </si>
  <si>
    <t>Хворов Антон Сергійович</t>
  </si>
  <si>
    <t>Ходак Богдан Русланович</t>
  </si>
  <si>
    <t>Щебетюк Валентин Олегович</t>
  </si>
  <si>
    <t>+</t>
  </si>
  <si>
    <t>Н</t>
  </si>
  <si>
    <t>3+5+3</t>
  </si>
  <si>
    <t>3+3+5</t>
  </si>
  <si>
    <t>Залік</t>
  </si>
  <si>
    <t>хв</t>
  </si>
  <si>
    <t xml:space="preserve"> </t>
  </si>
  <si>
    <t>Білявський Ігор Сергійович</t>
  </si>
  <si>
    <t>Волошин Володимир Олександрович</t>
  </si>
  <si>
    <t>Голубович Дмитро Олександрович</t>
  </si>
  <si>
    <t>Грунська Кароліна Владиславівна</t>
  </si>
  <si>
    <t>Зінченко Владислав Валентинович</t>
  </si>
  <si>
    <t>Зубченко Артем Юрійович____</t>
  </si>
  <si>
    <t>Іванніков Віталій Юрійович</t>
  </si>
  <si>
    <t>Коваль Олександра Віталіївна</t>
  </si>
  <si>
    <t>Кошельна Людмила Валентинівна</t>
  </si>
  <si>
    <t>Крячко Олександр Олександрович</t>
  </si>
  <si>
    <t>Кулаковська Анастасія В`ячеславівна</t>
  </si>
  <si>
    <t>Литвиненко Олександр Сергійович_</t>
  </si>
  <si>
    <t>Меньков Максим Володимирович</t>
  </si>
  <si>
    <t>2015/2016 уч/рік 5 тр</t>
  </si>
  <si>
    <t>Мисник Інна Сергіївна</t>
  </si>
  <si>
    <t>Осіпов Андрій Вікторович</t>
  </si>
  <si>
    <t>Остремський Владислав Вікторович</t>
  </si>
  <si>
    <t>Перевозенко Євгеній Олександрович</t>
  </si>
  <si>
    <t>Петраков Данило Валерійович</t>
  </si>
  <si>
    <t>Пурис Дмитро Ігорович</t>
  </si>
  <si>
    <t>Сараєв Дмитро Олексійович</t>
  </si>
  <si>
    <t>Сизова Евеліна Аметівна</t>
  </si>
  <si>
    <t>Тищенко Олександр Сергійович</t>
  </si>
  <si>
    <t>Ткаченко Юлія Олегівна</t>
  </si>
  <si>
    <t>Хлопко Кирило Олегович</t>
  </si>
  <si>
    <t>Чепура Костянтин Романович</t>
  </si>
  <si>
    <t>Швецов Віталій Сергійович</t>
  </si>
  <si>
    <t>Ахундов Вадим Тимурович</t>
  </si>
  <si>
    <t>Бернацький Кирило Дмитрович</t>
  </si>
  <si>
    <t>Бондаренко Дмитро Олександрович</t>
  </si>
  <si>
    <t>Борисенко Владислав Дмитрович</t>
  </si>
  <si>
    <t>Володін Дмитро Вадимович</t>
  </si>
  <si>
    <t>Іванова Катерина Андріївна</t>
  </si>
  <si>
    <t>Ільчанінов Ілля Володимирович</t>
  </si>
  <si>
    <t>Капустін Андрій Сергійович</t>
  </si>
  <si>
    <t>Кирлейза Софія Володимирівна</t>
  </si>
  <si>
    <t>Козаченко Ростислав Сергійович</t>
  </si>
  <si>
    <t>Лейзерович Роман Олегович</t>
  </si>
  <si>
    <t>Лень Владислав Сергійович</t>
  </si>
  <si>
    <t>Петренко Дмитро Андрійович</t>
  </si>
  <si>
    <t>Померанцева Марія Андріївна</t>
  </si>
  <si>
    <t>Пушкарьов Вадим Сергійович</t>
  </si>
  <si>
    <t>Румянцев Максим Євгенійович</t>
  </si>
  <si>
    <t>Салагор Сергій Володимирович</t>
  </si>
  <si>
    <t>Слекар Олег Сергійович____</t>
  </si>
  <si>
    <t>Тиховід Олександр Васильович</t>
  </si>
  <si>
    <t>Токарєв Владислав Миколайович</t>
  </si>
  <si>
    <t>Трубіна Марія Сергіївна</t>
  </si>
  <si>
    <t>Федорова Валерія Костянтинівна</t>
  </si>
  <si>
    <t>Яковенко Сергій Вікторович____</t>
  </si>
  <si>
    <t>Амбросімова Юлія Сергіївна</t>
  </si>
  <si>
    <t>Арюпін Денис Олексійович</t>
  </si>
  <si>
    <t>Гиль Юлія Артурівна</t>
  </si>
  <si>
    <t>Грабар Максим Павлович</t>
  </si>
  <si>
    <t>Демешин Дмитро Валерійович</t>
  </si>
  <si>
    <t>Дзюба Владислав Сергійович</t>
  </si>
  <si>
    <t>Димченко Сергій Ігорович</t>
  </si>
  <si>
    <t>Єрещенко Іван Олександрович</t>
  </si>
  <si>
    <t>Єрьомін Богдан Віталійович</t>
  </si>
  <si>
    <t>Жарук Дмитро Олександрович</t>
  </si>
  <si>
    <t>Кащенко Дмитро Олегович</t>
  </si>
  <si>
    <t>Лавриненко Світлана Володимирівна</t>
  </si>
  <si>
    <t>Лебедь Сергій Костянтинович</t>
  </si>
  <si>
    <t>Манакова Світлана Сергіївна</t>
  </si>
  <si>
    <t>Морозов Костянтин Юрійович</t>
  </si>
  <si>
    <t>Нечахін Владислав Володимирович</t>
  </si>
  <si>
    <t>Обухова Катерина Олександрівна</t>
  </si>
  <si>
    <t>Піскун Марія Віталіївна</t>
  </si>
  <si>
    <t>Поліщук Владислав Ігорович____</t>
  </si>
  <si>
    <t>Радукан Олексій Мавлонович____</t>
  </si>
  <si>
    <t>Сова Іван Михайлович</t>
  </si>
  <si>
    <t>Соколюк Антон Вікторович</t>
  </si>
  <si>
    <t>Тихонов Дмитро Олександрович</t>
  </si>
  <si>
    <t>Юрчак Владислав Вікторович</t>
  </si>
  <si>
    <t>Пл</t>
  </si>
  <si>
    <t>Костріков Ігор Сергійович</t>
  </si>
  <si>
    <t>Артеменко Віталій Валерійович</t>
  </si>
  <si>
    <t>Васильчук Ірина Олександрівна</t>
  </si>
  <si>
    <t>МанАкова Світлана Сергіївна</t>
  </si>
  <si>
    <r>
      <rPr>
        <b/>
        <sz val="14"/>
        <color rgb="FFFF0000"/>
        <rFont val="Times New Roman"/>
        <family val="1"/>
        <charset val="204"/>
      </rPr>
      <t>О</t>
    </r>
    <r>
      <rPr>
        <b/>
        <sz val="14"/>
        <color rgb="FF000000"/>
        <rFont val="Times New Roman"/>
        <family val="1"/>
        <charset val="204"/>
      </rPr>
      <t>бухова Катерина Олександрівна</t>
    </r>
  </si>
  <si>
    <t>отмена</t>
  </si>
  <si>
    <t>не было</t>
  </si>
  <si>
    <t>Лаб2</t>
  </si>
  <si>
    <t>Поліщук Владислав Ігорович</t>
  </si>
  <si>
    <t>Радукан Олексій Мавлонович</t>
  </si>
  <si>
    <t>Лаб4 полн</t>
  </si>
  <si>
    <t>вып лаб 6</t>
  </si>
  <si>
    <t>вып лаб2 и 3</t>
  </si>
  <si>
    <t>лаб 4</t>
  </si>
  <si>
    <t>лаб4???</t>
  </si>
  <si>
    <t>Лаб 5 и 6</t>
  </si>
  <si>
    <t>Лаб7п1</t>
  </si>
  <si>
    <t>МанакОва Світлана Сергіївна</t>
  </si>
  <si>
    <t>лаб4 закончили</t>
  </si>
  <si>
    <t>лаб5,6</t>
  </si>
  <si>
    <t>Лаб7</t>
  </si>
  <si>
    <t>Слекар Олег Сергійович</t>
  </si>
  <si>
    <t>Яковенко Сергій Вікторович</t>
  </si>
  <si>
    <t>Привдо 60</t>
  </si>
  <si>
    <t>Боренко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</si>
</sst>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90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4"/>
      <color indexed="12"/>
      <name val="Arial"/>
      <family val="2"/>
    </font>
    <font>
      <sz val="12"/>
      <color indexed="12"/>
      <name val="Arial"/>
      <family val="2"/>
      <charset val="204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 Cyr"/>
      <charset val="204"/>
    </font>
    <font>
      <sz val="14"/>
      <name val="Arial"/>
      <family val="2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4"/>
      <color indexed="12"/>
      <name val="Arial"/>
      <family val="2"/>
      <charset val="204"/>
    </font>
    <font>
      <b/>
      <sz val="10"/>
      <color indexed="12"/>
      <name val="Arial Cyr"/>
      <charset val="204"/>
    </font>
    <font>
      <b/>
      <sz val="14"/>
      <color indexed="10"/>
      <name val="Arial Cyr"/>
      <family val="2"/>
      <charset val="204"/>
    </font>
    <font>
      <b/>
      <sz val="14"/>
      <color indexed="12"/>
      <name val="Arial"/>
      <family val="2"/>
    </font>
    <font>
      <b/>
      <sz val="14"/>
      <color indexed="12"/>
      <name val="Arial Cyr"/>
      <charset val="204"/>
    </font>
    <font>
      <b/>
      <sz val="12"/>
      <color indexed="10"/>
      <name val="Arial"/>
      <family val="2"/>
    </font>
    <font>
      <i/>
      <sz val="12"/>
      <color indexed="12"/>
      <name val="Arial"/>
      <family val="2"/>
    </font>
    <font>
      <b/>
      <sz val="14"/>
      <name val="Arial Cyr"/>
      <charset val="204"/>
    </font>
    <font>
      <b/>
      <sz val="14"/>
      <color indexed="10"/>
      <name val="Arial Cyr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Arial Cyr"/>
      <charset val="204"/>
    </font>
    <font>
      <sz val="14"/>
      <color rgb="FFFF0000"/>
      <name val="Arial"/>
      <family val="2"/>
    </font>
    <font>
      <sz val="14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 Cyr"/>
    </font>
    <font>
      <sz val="36"/>
      <name val="Arial"/>
      <family val="2"/>
    </font>
    <font>
      <sz val="36"/>
      <name val="Arial Cyr"/>
      <charset val="204"/>
    </font>
    <font>
      <sz val="36"/>
      <name val="Arial"/>
      <family val="2"/>
      <charset val="204"/>
    </font>
    <font>
      <sz val="36"/>
      <color indexed="10"/>
      <name val="Arial"/>
      <family val="2"/>
    </font>
    <font>
      <sz val="10"/>
      <color rgb="FFFF0000"/>
      <name val="Arial Cyr"/>
      <charset val="204"/>
    </font>
    <font>
      <b/>
      <sz val="14"/>
      <name val="Arial Cyr"/>
    </font>
    <font>
      <sz val="9"/>
      <color indexed="81"/>
      <name val="Tahoma"/>
      <family val="2"/>
      <charset val="204"/>
    </font>
    <font>
      <b/>
      <sz val="14"/>
      <color rgb="FF0070C0"/>
      <name val="Arial Cyr"/>
      <family val="2"/>
      <charset val="204"/>
    </font>
    <font>
      <b/>
      <i/>
      <sz val="10"/>
      <color rgb="FFFF0000"/>
      <name val="Arial Cyr"/>
    </font>
    <font>
      <b/>
      <sz val="9"/>
      <color indexed="81"/>
      <name val="Tahoma"/>
      <family val="2"/>
      <charset val="204"/>
    </font>
    <font>
      <b/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sz val="14"/>
      <name val="Arial Cyr"/>
    </font>
    <font>
      <sz val="14"/>
      <color indexed="10"/>
      <name val="Arial Cyr"/>
      <charset val="204"/>
    </font>
    <font>
      <sz val="14"/>
      <color rgb="FF000000"/>
      <name val="Times New Roman"/>
      <family val="1"/>
      <charset val="204"/>
    </font>
    <font>
      <sz val="14"/>
      <color indexed="10"/>
      <name val="Arial"/>
      <family val="2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AE18F"/>
        <bgColor indexed="64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 diagonalUp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63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49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8" fillId="0" borderId="0" xfId="2" applyFont="1"/>
    <xf numFmtId="0" fontId="5" fillId="0" borderId="0" xfId="2" applyFont="1"/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9" fillId="0" borderId="0" xfId="2" applyFont="1"/>
    <xf numFmtId="0" fontId="5" fillId="0" borderId="13" xfId="2" applyFont="1" applyFill="1" applyBorder="1" applyAlignment="1">
      <alignment horizontal="center"/>
    </xf>
    <xf numFmtId="0" fontId="6" fillId="0" borderId="11" xfId="2" applyFont="1" applyFill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3" xfId="2" applyFont="1" applyBorder="1" applyAlignment="1">
      <alignment horizontal="left"/>
    </xf>
    <xf numFmtId="0" fontId="6" fillId="0" borderId="10" xfId="2" applyFont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11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0" fontId="5" fillId="0" borderId="15" xfId="2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20" fillId="0" borderId="0" xfId="2" applyFont="1" applyAlignment="1">
      <alignment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Border="1" applyProtection="1">
      <protection locked="0" hidden="1"/>
    </xf>
    <xf numFmtId="0" fontId="1" fillId="0" borderId="0" xfId="2" applyFill="1"/>
    <xf numFmtId="0" fontId="4" fillId="0" borderId="0" xfId="2" applyFont="1" applyFill="1"/>
    <xf numFmtId="0" fontId="1" fillId="0" borderId="0" xfId="2" applyFill="1" applyAlignment="1">
      <alignment horizontal="left" vertical="center" wrapText="1"/>
    </xf>
    <xf numFmtId="0" fontId="1" fillId="0" borderId="0" xfId="2" applyFill="1" applyBorder="1" applyProtection="1">
      <protection locked="0" hidden="1"/>
    </xf>
    <xf numFmtId="0" fontId="1" fillId="0" borderId="0" xfId="2" applyFill="1" applyBorder="1" applyAlignment="1">
      <alignment horizontal="left" vertical="center" wrapText="1"/>
    </xf>
    <xf numFmtId="0" fontId="1" fillId="0" borderId="0" xfId="2" applyBorder="1" applyAlignment="1">
      <alignment horizontal="left" vertical="center" wrapText="1"/>
    </xf>
    <xf numFmtId="14" fontId="4" fillId="0" borderId="0" xfId="2" applyNumberFormat="1" applyFont="1"/>
    <xf numFmtId="0" fontId="24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4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8" fillId="0" borderId="8" xfId="0" applyFont="1" applyBorder="1" applyAlignment="1">
      <alignment vertical="top" wrapText="1"/>
    </xf>
    <xf numFmtId="0" fontId="24" fillId="0" borderId="8" xfId="0" applyFont="1" applyBorder="1" applyAlignment="1">
      <alignment horizontal="left" wrapText="1"/>
    </xf>
    <xf numFmtId="0" fontId="24" fillId="0" borderId="8" xfId="0" applyFont="1" applyBorder="1" applyAlignment="1">
      <alignment wrapText="1"/>
    </xf>
    <xf numFmtId="0" fontId="28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7" fillId="0" borderId="0" xfId="0" applyFont="1" applyFill="1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164" fontId="30" fillId="0" borderId="25" xfId="2" applyNumberFormat="1" applyFont="1" applyFill="1" applyBorder="1" applyAlignment="1">
      <alignment horizontal="center"/>
    </xf>
    <xf numFmtId="1" fontId="30" fillId="0" borderId="31" xfId="2" applyNumberFormat="1" applyFont="1" applyFill="1" applyBorder="1" applyAlignment="1">
      <alignment horizontal="center"/>
    </xf>
    <xf numFmtId="0" fontId="31" fillId="0" borderId="13" xfId="2" applyFont="1" applyBorder="1" applyAlignment="1">
      <alignment horizontal="left"/>
    </xf>
    <xf numFmtId="0" fontId="32" fillId="0" borderId="1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0" fontId="1" fillId="0" borderId="8" xfId="2" applyBorder="1" applyAlignment="1" applyProtection="1">
      <alignment horizontal="left" vertical="center" wrapText="1"/>
      <protection locked="0" hidden="1"/>
    </xf>
    <xf numFmtId="0" fontId="1" fillId="0" borderId="8" xfId="2" applyBorder="1" applyProtection="1">
      <protection locked="0" hidden="1"/>
    </xf>
    <xf numFmtId="0" fontId="4" fillId="0" borderId="8" xfId="2" applyFont="1" applyFill="1" applyBorder="1" applyAlignment="1">
      <alignment horizontal="left" vertical="center" wrapText="1"/>
    </xf>
    <xf numFmtId="49" fontId="23" fillId="0" borderId="8" xfId="1" applyNumberFormat="1" applyFont="1" applyBorder="1" applyAlignment="1">
      <alignment horizontal="center" vertical="top"/>
    </xf>
    <xf numFmtId="0" fontId="9" fillId="0" borderId="8" xfId="1" applyFont="1" applyBorder="1" applyAlignment="1">
      <alignment vertical="top"/>
    </xf>
    <xf numFmtId="0" fontId="1" fillId="0" borderId="32" xfId="2" applyBorder="1" applyAlignment="1" applyProtection="1">
      <alignment horizontal="left" vertical="center" wrapText="1"/>
      <protection locked="0" hidden="1"/>
    </xf>
    <xf numFmtId="0" fontId="1" fillId="0" borderId="32" xfId="2" applyBorder="1" applyProtection="1">
      <protection locked="0" hidden="1"/>
    </xf>
    <xf numFmtId="165" fontId="5" fillId="0" borderId="33" xfId="2" applyNumberFormat="1" applyFont="1" applyBorder="1" applyAlignment="1"/>
    <xf numFmtId="165" fontId="5" fillId="0" borderId="9" xfId="2" applyNumberFormat="1" applyFont="1" applyBorder="1" applyAlignment="1"/>
    <xf numFmtId="0" fontId="16" fillId="0" borderId="18" xfId="0" applyFont="1" applyBorder="1" applyAlignment="1">
      <alignment horizontal="center" vertical="top" wrapText="1"/>
    </xf>
    <xf numFmtId="0" fontId="9" fillId="0" borderId="0" xfId="2" applyFont="1" applyBorder="1" applyAlignment="1">
      <alignment wrapText="1"/>
    </xf>
    <xf numFmtId="49" fontId="17" fillId="0" borderId="34" xfId="1" applyNumberFormat="1" applyFont="1" applyBorder="1" applyAlignment="1">
      <alignment horizontal="center" vertical="top"/>
    </xf>
    <xf numFmtId="164" fontId="17" fillId="0" borderId="8" xfId="1" applyNumberFormat="1" applyFont="1" applyBorder="1" applyAlignment="1">
      <alignment vertical="top"/>
    </xf>
    <xf numFmtId="0" fontId="11" fillId="0" borderId="35" xfId="2" applyFont="1" applyFill="1" applyBorder="1" applyAlignment="1">
      <alignment horizontal="left" vertical="center" wrapText="1"/>
    </xf>
    <xf numFmtId="1" fontId="33" fillId="0" borderId="0" xfId="2" applyNumberFormat="1" applyFont="1" applyFill="1" applyBorder="1" applyAlignment="1">
      <alignment horizontal="center"/>
    </xf>
    <xf numFmtId="49" fontId="17" fillId="0" borderId="36" xfId="1" applyNumberFormat="1" applyFont="1" applyBorder="1" applyAlignment="1">
      <alignment horizontal="center" vertical="top"/>
    </xf>
    <xf numFmtId="0" fontId="17" fillId="0" borderId="8" xfId="1" applyFont="1" applyBorder="1" applyAlignment="1">
      <alignment horizontal="center" vertical="top"/>
    </xf>
    <xf numFmtId="49" fontId="17" fillId="0" borderId="12" xfId="1" applyNumberFormat="1" applyFont="1" applyBorder="1" applyAlignment="1">
      <alignment horizontal="center" vertical="top"/>
    </xf>
    <xf numFmtId="0" fontId="17" fillId="0" borderId="8" xfId="2" applyFont="1" applyBorder="1" applyAlignment="1" applyProtection="1">
      <alignment horizontal="center" vertical="center" wrapText="1"/>
      <protection locked="0" hidden="1"/>
    </xf>
    <xf numFmtId="0" fontId="17" fillId="0" borderId="8" xfId="2" applyFont="1" applyBorder="1" applyAlignment="1" applyProtection="1">
      <alignment horizontal="center" vertical="center"/>
      <protection locked="0" hidden="1"/>
    </xf>
    <xf numFmtId="0" fontId="4" fillId="0" borderId="0" xfId="2" applyFont="1" applyFill="1" applyBorder="1"/>
    <xf numFmtId="0" fontId="10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0" fontId="1" fillId="0" borderId="0" xfId="2" applyNumberFormat="1" applyBorder="1" applyProtection="1">
      <protection locked="0" hidden="1"/>
    </xf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3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0" fontId="9" fillId="0" borderId="8" xfId="1" applyFont="1" applyBorder="1" applyAlignment="1" applyProtection="1">
      <alignment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0" fontId="1" fillId="0" borderId="0" xfId="2" applyAlignment="1" applyProtection="1">
      <alignment horizontal="left" vertical="center" wrapText="1"/>
    </xf>
    <xf numFmtId="0" fontId="1" fillId="0" borderId="0" xfId="2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0" fontId="0" fillId="0" borderId="8" xfId="0" applyBorder="1"/>
    <xf numFmtId="0" fontId="0" fillId="0" borderId="24" xfId="0" applyBorder="1"/>
    <xf numFmtId="0" fontId="29" fillId="0" borderId="8" xfId="0" applyFont="1" applyBorder="1"/>
    <xf numFmtId="0" fontId="29" fillId="0" borderId="32" xfId="0" applyFont="1" applyBorder="1"/>
    <xf numFmtId="1" fontId="36" fillId="0" borderId="5" xfId="0" applyNumberFormat="1" applyFont="1" applyFill="1" applyBorder="1"/>
    <xf numFmtId="0" fontId="5" fillId="0" borderId="45" xfId="2" applyFont="1" applyBorder="1" applyAlignment="1"/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0" fontId="24" fillId="0" borderId="21" xfId="0" applyFont="1" applyBorder="1" applyAlignment="1">
      <alignment vertical="top"/>
    </xf>
    <xf numFmtId="49" fontId="24" fillId="0" borderId="2" xfId="0" applyNumberFormat="1" applyFont="1" applyBorder="1" applyAlignment="1">
      <alignment vertical="top"/>
    </xf>
    <xf numFmtId="49" fontId="24" fillId="0" borderId="4" xfId="0" applyNumberFormat="1" applyFont="1" applyBorder="1" applyAlignment="1">
      <alignment vertical="top"/>
    </xf>
    <xf numFmtId="0" fontId="10" fillId="0" borderId="0" xfId="0" applyFont="1"/>
    <xf numFmtId="0" fontId="42" fillId="0" borderId="33" xfId="0" applyFont="1" applyBorder="1" applyAlignment="1">
      <alignment vertical="top" wrapText="1"/>
    </xf>
    <xf numFmtId="0" fontId="40" fillId="0" borderId="18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5" fillId="0" borderId="37" xfId="2" applyFont="1" applyBorder="1" applyAlignment="1"/>
    <xf numFmtId="0" fontId="5" fillId="0" borderId="15" xfId="2" applyFont="1" applyBorder="1" applyAlignment="1"/>
    <xf numFmtId="0" fontId="5" fillId="0" borderId="49" xfId="2" applyFont="1" applyBorder="1" applyAlignment="1"/>
    <xf numFmtId="0" fontId="6" fillId="0" borderId="10" xfId="2" applyFont="1" applyFill="1" applyBorder="1" applyAlignment="1">
      <alignment horizontal="center"/>
    </xf>
    <xf numFmtId="0" fontId="5" fillId="0" borderId="50" xfId="2" applyFont="1" applyBorder="1" applyAlignment="1"/>
    <xf numFmtId="0" fontId="5" fillId="0" borderId="5" xfId="2" applyFont="1" applyBorder="1" applyAlignment="1">
      <alignment horizontal="center" vertical="top" wrapText="1"/>
    </xf>
    <xf numFmtId="0" fontId="16" fillId="0" borderId="20" xfId="0" applyFont="1" applyBorder="1" applyAlignment="1">
      <alignment horizontal="center" vertical="top" wrapText="1"/>
    </xf>
    <xf numFmtId="164" fontId="18" fillId="0" borderId="8" xfId="1" applyNumberFormat="1" applyFont="1" applyBorder="1" applyAlignment="1" applyProtection="1">
      <alignment vertical="top"/>
    </xf>
    <xf numFmtId="164" fontId="18" fillId="0" borderId="8" xfId="1" applyNumberFormat="1" applyFont="1" applyBorder="1" applyAlignment="1">
      <alignment vertical="top"/>
    </xf>
    <xf numFmtId="0" fontId="0" fillId="0" borderId="0" xfId="0" applyAlignment="1">
      <alignment horizontal="right"/>
    </xf>
    <xf numFmtId="49" fontId="17" fillId="0" borderId="8" xfId="1" applyNumberFormat="1" applyFont="1" applyBorder="1" applyAlignment="1">
      <alignment horizontal="center" vertical="top"/>
    </xf>
    <xf numFmtId="0" fontId="36" fillId="0" borderId="26" xfId="0" applyFont="1" applyBorder="1"/>
    <xf numFmtId="1" fontId="36" fillId="0" borderId="26" xfId="0" applyNumberFormat="1" applyFont="1" applyBorder="1"/>
    <xf numFmtId="0" fontId="25" fillId="0" borderId="23" xfId="0" applyFont="1" applyBorder="1" applyAlignment="1">
      <alignment vertical="top" wrapText="1"/>
    </xf>
    <xf numFmtId="0" fontId="29" fillId="0" borderId="0" xfId="0" applyFont="1"/>
    <xf numFmtId="0" fontId="20" fillId="0" borderId="48" xfId="2" applyFont="1" applyBorder="1" applyAlignment="1">
      <alignment horizontal="left"/>
    </xf>
    <xf numFmtId="49" fontId="17" fillId="0" borderId="8" xfId="1" applyNumberFormat="1" applyFont="1" applyBorder="1" applyAlignment="1" applyProtection="1">
      <alignment horizontal="center" vertical="top"/>
    </xf>
    <xf numFmtId="0" fontId="0" fillId="2" borderId="0" xfId="0" applyFill="1"/>
    <xf numFmtId="0" fontId="0" fillId="0" borderId="0" xfId="0" applyFill="1"/>
    <xf numFmtId="164" fontId="1" fillId="0" borderId="8" xfId="2" applyNumberFormat="1" applyFill="1" applyBorder="1" applyProtection="1"/>
    <xf numFmtId="0" fontId="1" fillId="0" borderId="0" xfId="2" applyFill="1" applyProtection="1"/>
    <xf numFmtId="0" fontId="0" fillId="0" borderId="0" xfId="0" applyAlignment="1">
      <alignment horizontal="center"/>
    </xf>
    <xf numFmtId="165" fontId="0" fillId="0" borderId="52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4" fillId="0" borderId="53" xfId="0" applyNumberFormat="1" applyFont="1" applyBorder="1" applyAlignment="1">
      <alignment horizontal="center"/>
    </xf>
    <xf numFmtId="0" fontId="48" fillId="0" borderId="5" xfId="2" applyFont="1" applyBorder="1" applyAlignment="1">
      <alignment horizontal="center" vertical="top" wrapText="1"/>
    </xf>
    <xf numFmtId="0" fontId="45" fillId="0" borderId="20" xfId="0" applyFont="1" applyBorder="1" applyAlignment="1">
      <alignment horizontal="center" vertical="top" wrapText="1"/>
    </xf>
    <xf numFmtId="0" fontId="29" fillId="0" borderId="2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8" xfId="0" applyFont="1" applyFill="1" applyBorder="1"/>
    <xf numFmtId="0" fontId="19" fillId="0" borderId="8" xfId="0" applyFont="1" applyBorder="1"/>
    <xf numFmtId="0" fontId="19" fillId="0" borderId="26" xfId="0" applyFont="1" applyBorder="1"/>
    <xf numFmtId="0" fontId="19" fillId="0" borderId="27" xfId="0" applyFont="1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38" fillId="0" borderId="0" xfId="0" applyFon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38" fillId="0" borderId="5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8" fillId="0" borderId="58" xfId="0" applyFont="1" applyBorder="1" applyAlignment="1">
      <alignment horizontal="center"/>
    </xf>
    <xf numFmtId="164" fontId="44" fillId="0" borderId="42" xfId="0" applyNumberFormat="1" applyFont="1" applyBorder="1" applyAlignment="1">
      <alignment horizontal="center"/>
    </xf>
    <xf numFmtId="0" fontId="36" fillId="0" borderId="50" xfId="0" applyFont="1" applyBorder="1" applyAlignment="1">
      <alignment horizontal="center"/>
    </xf>
    <xf numFmtId="0" fontId="38" fillId="0" borderId="42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8" fillId="0" borderId="0" xfId="2" applyFont="1" applyBorder="1" applyAlignment="1">
      <alignment horizontal="left" vertical="center"/>
    </xf>
    <xf numFmtId="1" fontId="33" fillId="0" borderId="0" xfId="2" applyNumberFormat="1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left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14" fontId="1" fillId="0" borderId="0" xfId="2" applyNumberFormat="1" applyAlignment="1">
      <alignment wrapText="1"/>
    </xf>
    <xf numFmtId="0" fontId="5" fillId="0" borderId="39" xfId="2" applyFont="1" applyBorder="1" applyAlignment="1">
      <alignment horizontal="left" vertical="center" wrapText="1"/>
    </xf>
    <xf numFmtId="0" fontId="5" fillId="0" borderId="61" xfId="2" applyFont="1" applyBorder="1" applyAlignment="1">
      <alignment horizontal="left" vertical="center" wrapText="1"/>
    </xf>
    <xf numFmtId="0" fontId="4" fillId="0" borderId="61" xfId="2" applyFont="1" applyBorder="1" applyAlignment="1">
      <alignment horizontal="left" vertical="center" wrapText="1"/>
    </xf>
    <xf numFmtId="0" fontId="0" fillId="0" borderId="8" xfId="0" applyFill="1" applyBorder="1"/>
    <xf numFmtId="0" fontId="36" fillId="0" borderId="26" xfId="0" applyFont="1" applyFill="1" applyBorder="1"/>
    <xf numFmtId="0" fontId="17" fillId="0" borderId="61" xfId="2" applyFont="1" applyBorder="1" applyAlignment="1">
      <alignment horizontal="center" vertical="center" wrapText="1"/>
    </xf>
    <xf numFmtId="1" fontId="36" fillId="0" borderId="3" xfId="0" applyNumberFormat="1" applyFont="1" applyFill="1" applyBorder="1"/>
    <xf numFmtId="0" fontId="29" fillId="0" borderId="8" xfId="0" applyFont="1" applyFill="1" applyBorder="1" applyAlignment="1">
      <alignment horizontal="center"/>
    </xf>
    <xf numFmtId="1" fontId="29" fillId="0" borderId="26" xfId="0" applyNumberFormat="1" applyFont="1" applyFill="1" applyBorder="1"/>
    <xf numFmtId="0" fontId="29" fillId="0" borderId="26" xfId="0" applyFont="1" applyFill="1" applyBorder="1"/>
    <xf numFmtId="1" fontId="29" fillId="0" borderId="8" xfId="0" applyNumberFormat="1" applyFont="1" applyFill="1" applyBorder="1"/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61" xfId="2" applyFont="1" applyBorder="1" applyAlignment="1">
      <alignment horizontal="left" vertical="center" wrapText="1"/>
    </xf>
    <xf numFmtId="0" fontId="52" fillId="0" borderId="0" xfId="0" applyFont="1"/>
    <xf numFmtId="1" fontId="29" fillId="0" borderId="24" xfId="0" applyNumberFormat="1" applyFont="1" applyBorder="1" applyAlignment="1">
      <alignment horizontal="center"/>
    </xf>
    <xf numFmtId="1" fontId="29" fillId="0" borderId="8" xfId="0" applyNumberFormat="1" applyFont="1" applyBorder="1" applyAlignment="1">
      <alignment horizontal="center"/>
    </xf>
    <xf numFmtId="0" fontId="0" fillId="0" borderId="26" xfId="0" applyFill="1" applyBorder="1"/>
    <xf numFmtId="0" fontId="25" fillId="0" borderId="22" xfId="0" applyFont="1" applyBorder="1" applyAlignment="1">
      <alignment vertical="top" wrapText="1"/>
    </xf>
    <xf numFmtId="1" fontId="25" fillId="6" borderId="23" xfId="0" applyNumberFormat="1" applyFont="1" applyFill="1" applyBorder="1" applyAlignment="1">
      <alignment wrapText="1"/>
    </xf>
    <xf numFmtId="0" fontId="15" fillId="0" borderId="52" xfId="0" applyFont="1" applyBorder="1" applyAlignment="1">
      <alignment vertical="top"/>
    </xf>
    <xf numFmtId="1" fontId="36" fillId="0" borderId="20" xfId="0" applyNumberFormat="1" applyFont="1" applyFill="1" applyBorder="1"/>
    <xf numFmtId="0" fontId="37" fillId="0" borderId="23" xfId="0" applyFont="1" applyBorder="1" applyAlignment="1">
      <alignment horizontal="center" vertical="top" wrapText="1"/>
    </xf>
    <xf numFmtId="0" fontId="54" fillId="0" borderId="26" xfId="0" applyFont="1" applyFill="1" applyBorder="1"/>
    <xf numFmtId="0" fontId="0" fillId="0" borderId="43" xfId="0" applyBorder="1" applyAlignment="1">
      <alignment horizontal="center"/>
    </xf>
    <xf numFmtId="165" fontId="25" fillId="0" borderId="62" xfId="0" applyNumberFormat="1" applyFont="1" applyBorder="1" applyAlignment="1">
      <alignment horizontal="center"/>
    </xf>
    <xf numFmtId="165" fontId="25" fillId="0" borderId="22" xfId="0" applyNumberFormat="1" applyFont="1" applyBorder="1" applyAlignment="1">
      <alignment horizontal="center"/>
    </xf>
    <xf numFmtId="0" fontId="55" fillId="0" borderId="0" xfId="0" applyFont="1" applyAlignment="1">
      <alignment wrapText="1"/>
    </xf>
    <xf numFmtId="0" fontId="56" fillId="0" borderId="0" xfId="2" applyFont="1" applyBorder="1" applyAlignment="1">
      <alignment horizontal="left" vertical="center" wrapText="1"/>
    </xf>
    <xf numFmtId="0" fontId="4" fillId="0" borderId="39" xfId="2" applyFont="1" applyBorder="1" applyAlignment="1"/>
    <xf numFmtId="0" fontId="4" fillId="0" borderId="61" xfId="2" applyFont="1" applyBorder="1" applyAlignment="1"/>
    <xf numFmtId="0" fontId="5" fillId="0" borderId="49" xfId="2" applyFont="1" applyFill="1" applyBorder="1" applyAlignment="1"/>
    <xf numFmtId="0" fontId="5" fillId="0" borderId="16" xfId="2" applyFont="1" applyFill="1" applyBorder="1" applyAlignment="1">
      <alignment horizontal="center" vertical="top" wrapText="1"/>
    </xf>
    <xf numFmtId="0" fontId="16" fillId="0" borderId="18" xfId="0" applyFont="1" applyFill="1" applyBorder="1" applyAlignment="1">
      <alignment horizontal="center" vertical="top" wrapText="1"/>
    </xf>
    <xf numFmtId="164" fontId="2" fillId="8" borderId="16" xfId="2" applyNumberFormat="1" applyFont="1" applyFill="1" applyBorder="1" applyAlignment="1">
      <alignment horizontal="center" vertical="center" wrapText="1"/>
    </xf>
    <xf numFmtId="164" fontId="2" fillId="8" borderId="18" xfId="2" applyNumberFormat="1" applyFont="1" applyFill="1" applyBorder="1" applyAlignment="1">
      <alignment horizontal="center" vertical="center" wrapText="1"/>
    </xf>
    <xf numFmtId="1" fontId="33" fillId="9" borderId="12" xfId="2" applyNumberFormat="1" applyFont="1" applyFill="1" applyBorder="1" applyAlignment="1">
      <alignment horizontal="center" vertical="center" wrapText="1"/>
    </xf>
    <xf numFmtId="0" fontId="11" fillId="0" borderId="67" xfId="2" applyFont="1" applyFill="1" applyBorder="1" applyAlignment="1">
      <alignment horizontal="left" vertical="center" wrapText="1"/>
    </xf>
    <xf numFmtId="0" fontId="4" fillId="0" borderId="24" xfId="2" applyFont="1" applyFill="1" applyBorder="1" applyAlignment="1">
      <alignment horizontal="left" vertical="center" wrapText="1"/>
    </xf>
    <xf numFmtId="0" fontId="17" fillId="0" borderId="24" xfId="2" applyFont="1" applyBorder="1" applyAlignment="1" applyProtection="1">
      <alignment horizontal="center" vertical="center" wrapText="1"/>
      <protection locked="0" hidden="1"/>
    </xf>
    <xf numFmtId="0" fontId="17" fillId="0" borderId="24" xfId="2" applyFont="1" applyBorder="1" applyAlignment="1" applyProtection="1">
      <alignment horizontal="center" vertical="center"/>
      <protection locked="0" hidden="1"/>
    </xf>
    <xf numFmtId="0" fontId="1" fillId="0" borderId="24" xfId="2" applyFont="1" applyBorder="1" applyProtection="1">
      <protection locked="0"/>
    </xf>
    <xf numFmtId="0" fontId="1" fillId="0" borderId="24" xfId="2" applyFont="1" applyFill="1" applyBorder="1" applyProtection="1">
      <protection locked="0"/>
    </xf>
    <xf numFmtId="0" fontId="1" fillId="0" borderId="11" xfId="2" applyFont="1" applyBorder="1" applyProtection="1">
      <protection locked="0"/>
    </xf>
    <xf numFmtId="164" fontId="1" fillId="0" borderId="16" xfId="2" applyNumberFormat="1" applyBorder="1" applyProtection="1"/>
    <xf numFmtId="0" fontId="17" fillId="0" borderId="12" xfId="1" applyFont="1" applyBorder="1" applyAlignment="1">
      <alignment horizontal="center" vertical="top"/>
    </xf>
    <xf numFmtId="49" fontId="17" fillId="0" borderId="51" xfId="1" applyNumberFormat="1" applyFont="1" applyBorder="1" applyAlignment="1">
      <alignment horizontal="center" vertical="top"/>
    </xf>
    <xf numFmtId="164" fontId="17" fillId="0" borderId="27" xfId="1" applyNumberFormat="1" applyFont="1" applyBorder="1" applyAlignment="1">
      <alignment vertical="top"/>
    </xf>
    <xf numFmtId="1" fontId="1" fillId="0" borderId="27" xfId="2" applyNumberFormat="1" applyBorder="1" applyProtection="1"/>
    <xf numFmtId="164" fontId="1" fillId="0" borderId="27" xfId="2" applyNumberFormat="1" applyFill="1" applyBorder="1" applyProtection="1"/>
    <xf numFmtId="164" fontId="1" fillId="0" borderId="18" xfId="2" applyNumberFormat="1" applyBorder="1" applyProtection="1"/>
    <xf numFmtId="0" fontId="15" fillId="0" borderId="8" xfId="0" applyFont="1" applyBorder="1" applyAlignment="1">
      <alignment vertical="top" wrapText="1"/>
    </xf>
    <xf numFmtId="0" fontId="41" fillId="0" borderId="0" xfId="0" applyFont="1" applyBorder="1"/>
    <xf numFmtId="0" fontId="0" fillId="0" borderId="0" xfId="0" applyBorder="1"/>
    <xf numFmtId="0" fontId="24" fillId="0" borderId="45" xfId="0" applyFont="1" applyBorder="1" applyAlignment="1">
      <alignment vertical="top"/>
    </xf>
    <xf numFmtId="0" fontId="0" fillId="0" borderId="50" xfId="0" applyBorder="1" applyAlignment="1">
      <alignment wrapText="1"/>
    </xf>
    <xf numFmtId="0" fontId="0" fillId="0" borderId="50" xfId="0" applyBorder="1" applyAlignment="1">
      <alignment vertical="top" wrapText="1"/>
    </xf>
    <xf numFmtId="0" fontId="15" fillId="0" borderId="50" xfId="0" applyFont="1" applyBorder="1" applyAlignment="1">
      <alignment vertical="top"/>
    </xf>
    <xf numFmtId="0" fontId="15" fillId="10" borderId="46" xfId="0" applyFont="1" applyFill="1" applyBorder="1"/>
    <xf numFmtId="0" fontId="15" fillId="0" borderId="17" xfId="0" applyFont="1" applyBorder="1"/>
    <xf numFmtId="0" fontId="15" fillId="0" borderId="16" xfId="0" applyFont="1" applyBorder="1"/>
    <xf numFmtId="0" fontId="38" fillId="0" borderId="16" xfId="0" applyFont="1" applyBorder="1"/>
    <xf numFmtId="0" fontId="38" fillId="0" borderId="18" xfId="0" applyFont="1" applyBorder="1"/>
    <xf numFmtId="0" fontId="24" fillId="0" borderId="0" xfId="1" applyFont="1" applyAlignment="1">
      <alignment vertical="top"/>
    </xf>
    <xf numFmtId="0" fontId="42" fillId="0" borderId="0" xfId="1" applyFont="1" applyAlignment="1">
      <alignment vertical="top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 vertical="top"/>
    </xf>
    <xf numFmtId="0" fontId="24" fillId="0" borderId="0" xfId="1" applyFont="1"/>
    <xf numFmtId="0" fontId="24" fillId="0" borderId="0" xfId="1" applyFont="1" applyBorder="1" applyAlignment="1">
      <alignment horizontal="center" vertical="top"/>
    </xf>
    <xf numFmtId="0" fontId="27" fillId="0" borderId="0" xfId="1" applyFont="1" applyBorder="1" applyAlignment="1">
      <alignment horizontal="center" vertical="top" wrapText="1"/>
    </xf>
    <xf numFmtId="0" fontId="58" fillId="0" borderId="0" xfId="1" applyFont="1" applyAlignment="1">
      <alignment horizontal="center" vertical="top"/>
    </xf>
    <xf numFmtId="0" fontId="24" fillId="0" borderId="24" xfId="1" applyFont="1" applyBorder="1" applyAlignment="1">
      <alignment vertical="top" wrapText="1"/>
    </xf>
    <xf numFmtId="0" fontId="24" fillId="0" borderId="11" xfId="1" applyFont="1" applyBorder="1" applyAlignment="1">
      <alignment vertical="top" wrapText="1"/>
    </xf>
    <xf numFmtId="0" fontId="24" fillId="0" borderId="16" xfId="1" applyFont="1" applyBorder="1" applyAlignment="1">
      <alignment vertical="top" wrapText="1"/>
    </xf>
    <xf numFmtId="0" fontId="24" fillId="0" borderId="8" xfId="1" applyFont="1" applyBorder="1" applyAlignment="1">
      <alignment vertical="top"/>
    </xf>
    <xf numFmtId="49" fontId="24" fillId="0" borderId="12" xfId="1" applyNumberFormat="1" applyFont="1" applyBorder="1" applyAlignment="1">
      <alignment vertical="top"/>
    </xf>
    <xf numFmtId="0" fontId="28" fillId="0" borderId="8" xfId="1" applyFont="1" applyBorder="1" applyAlignment="1">
      <alignment vertical="top"/>
    </xf>
    <xf numFmtId="0" fontId="28" fillId="0" borderId="8" xfId="1" applyFont="1" applyBorder="1" applyAlignment="1">
      <alignment horizontal="center" vertical="top"/>
    </xf>
    <xf numFmtId="0" fontId="28" fillId="0" borderId="27" xfId="1" applyFont="1" applyBorder="1" applyAlignment="1">
      <alignment vertical="top"/>
    </xf>
    <xf numFmtId="0" fontId="19" fillId="0" borderId="27" xfId="1" applyFont="1" applyBorder="1" applyAlignment="1">
      <alignment horizontal="center" vertical="top"/>
    </xf>
    <xf numFmtId="0" fontId="24" fillId="0" borderId="27" xfId="1" applyFont="1" applyBorder="1" applyAlignment="1">
      <alignment vertical="top"/>
    </xf>
    <xf numFmtId="0" fontId="24" fillId="0" borderId="18" xfId="1" applyFont="1" applyBorder="1" applyAlignment="1">
      <alignment vertical="top" wrapText="1"/>
    </xf>
    <xf numFmtId="0" fontId="28" fillId="0" borderId="8" xfId="1" applyFont="1" applyBorder="1" applyAlignment="1">
      <alignment vertical="top" wrapText="1"/>
    </xf>
    <xf numFmtId="0" fontId="24" fillId="0" borderId="19" xfId="1" applyFont="1" applyBorder="1" applyAlignment="1">
      <alignment vertical="top"/>
    </xf>
    <xf numFmtId="0" fontId="24" fillId="0" borderId="28" xfId="1" applyFont="1" applyBorder="1" applyAlignment="1">
      <alignment vertical="top"/>
    </xf>
    <xf numFmtId="0" fontId="24" fillId="0" borderId="29" xfId="1" applyFont="1" applyBorder="1" applyAlignment="1">
      <alignment vertical="top"/>
    </xf>
    <xf numFmtId="0" fontId="28" fillId="4" borderId="29" xfId="1" applyFont="1" applyFill="1" applyBorder="1" applyAlignment="1">
      <alignment vertical="top"/>
    </xf>
    <xf numFmtId="0" fontId="24" fillId="0" borderId="29" xfId="1" applyFont="1" applyBorder="1" applyAlignment="1">
      <alignment horizontal="center" vertical="top"/>
    </xf>
    <xf numFmtId="0" fontId="24" fillId="4" borderId="29" xfId="1" applyFont="1" applyFill="1" applyBorder="1" applyAlignment="1">
      <alignment vertical="top"/>
    </xf>
    <xf numFmtId="0" fontId="24" fillId="0" borderId="30" xfId="1" applyFont="1" applyBorder="1" applyAlignment="1">
      <alignment vertical="top" wrapText="1"/>
    </xf>
    <xf numFmtId="0" fontId="24" fillId="0" borderId="0" xfId="1" applyFont="1" applyBorder="1" applyAlignment="1">
      <alignment vertical="top"/>
    </xf>
    <xf numFmtId="49" fontId="24" fillId="0" borderId="0" xfId="1" applyNumberFormat="1" applyFont="1" applyBorder="1" applyAlignment="1">
      <alignment vertical="top"/>
    </xf>
    <xf numFmtId="0" fontId="24" fillId="0" borderId="0" xfId="1" applyFont="1" applyBorder="1" applyAlignment="1">
      <alignment vertical="top" wrapText="1"/>
    </xf>
    <xf numFmtId="0" fontId="24" fillId="0" borderId="0" xfId="1" applyFont="1" applyBorder="1"/>
    <xf numFmtId="49" fontId="24" fillId="0" borderId="0" xfId="1" applyNumberFormat="1" applyFont="1" applyBorder="1" applyAlignment="1">
      <alignment horizontal="center" vertical="top"/>
    </xf>
    <xf numFmtId="49" fontId="24" fillId="0" borderId="0" xfId="1" applyNumberFormat="1" applyFont="1" applyBorder="1" applyAlignment="1">
      <alignment vertical="top" wrapText="1"/>
    </xf>
    <xf numFmtId="49" fontId="24" fillId="0" borderId="0" xfId="1" applyNumberFormat="1" applyFont="1" applyBorder="1"/>
    <xf numFmtId="0" fontId="59" fillId="0" borderId="0" xfId="1" applyFont="1" applyAlignment="1">
      <alignment vertical="top" wrapText="1"/>
    </xf>
    <xf numFmtId="0" fontId="60" fillId="0" borderId="0" xfId="1" applyFont="1" applyBorder="1" applyAlignment="1">
      <alignment horizontal="center" vertical="top" wrapText="1"/>
    </xf>
    <xf numFmtId="0" fontId="59" fillId="0" borderId="8" xfId="1" applyFont="1" applyBorder="1" applyAlignment="1">
      <alignment vertical="top" wrapText="1"/>
    </xf>
    <xf numFmtId="0" fontId="59" fillId="0" borderId="8" xfId="1" applyFont="1" applyFill="1" applyBorder="1" applyAlignment="1">
      <alignment vertical="top" wrapText="1"/>
    </xf>
    <xf numFmtId="0" fontId="59" fillId="0" borderId="8" xfId="0" applyFont="1" applyBorder="1" applyAlignment="1">
      <alignment wrapText="1"/>
    </xf>
    <xf numFmtId="0" fontId="61" fillId="0" borderId="8" xfId="0" applyFont="1" applyBorder="1" applyAlignment="1">
      <alignment horizontal="justify"/>
    </xf>
    <xf numFmtId="0" fontId="59" fillId="0" borderId="27" xfId="1" applyFont="1" applyBorder="1" applyAlignment="1">
      <alignment vertical="top" wrapText="1"/>
    </xf>
    <xf numFmtId="0" fontId="59" fillId="4" borderId="29" xfId="1" applyFont="1" applyFill="1" applyBorder="1" applyAlignment="1">
      <alignment vertical="top" wrapText="1"/>
    </xf>
    <xf numFmtId="0" fontId="59" fillId="0" borderId="0" xfId="1" applyFont="1" applyBorder="1" applyAlignment="1">
      <alignment vertical="top"/>
    </xf>
    <xf numFmtId="49" fontId="59" fillId="0" borderId="0" xfId="1" applyNumberFormat="1" applyFont="1" applyBorder="1" applyAlignment="1">
      <alignment vertical="top"/>
    </xf>
    <xf numFmtId="0" fontId="59" fillId="0" borderId="0" xfId="1" applyFont="1" applyAlignment="1">
      <alignment vertical="top"/>
    </xf>
    <xf numFmtId="0" fontId="24" fillId="0" borderId="13" xfId="1" applyFont="1" applyBorder="1" applyAlignment="1">
      <alignment vertical="top" wrapText="1"/>
    </xf>
    <xf numFmtId="0" fontId="59" fillId="0" borderId="24" xfId="1" applyFont="1" applyBorder="1" applyAlignment="1">
      <alignment vertical="top" wrapText="1"/>
    </xf>
    <xf numFmtId="0" fontId="24" fillId="0" borderId="24" xfId="1" applyFont="1" applyBorder="1" applyAlignment="1">
      <alignment horizontal="center" vertical="top" wrapText="1"/>
    </xf>
    <xf numFmtId="0" fontId="54" fillId="0" borderId="8" xfId="1" applyFont="1" applyBorder="1" applyAlignment="1">
      <alignment horizontal="center" vertical="top"/>
    </xf>
    <xf numFmtId="0" fontId="7" fillId="0" borderId="0" xfId="2" applyFont="1" applyFill="1"/>
    <xf numFmtId="0" fontId="7" fillId="0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textRotation="90" wrapText="1"/>
    </xf>
    <xf numFmtId="0" fontId="7" fillId="0" borderId="0" xfId="2" applyFont="1" applyAlignment="1">
      <alignment horizontal="center" textRotation="90"/>
    </xf>
    <xf numFmtId="0" fontId="7" fillId="0" borderId="0" xfId="2" applyFont="1"/>
    <xf numFmtId="164" fontId="2" fillId="8" borderId="11" xfId="2" applyNumberFormat="1" applyFont="1" applyFill="1" applyBorder="1" applyAlignment="1">
      <alignment horizontal="center" vertical="center" wrapText="1"/>
    </xf>
    <xf numFmtId="1" fontId="63" fillId="9" borderId="12" xfId="0" applyNumberFormat="1" applyFont="1" applyFill="1" applyBorder="1" applyAlignment="1">
      <alignment horizontal="center"/>
    </xf>
    <xf numFmtId="164" fontId="18" fillId="11" borderId="16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center" wrapText="1"/>
      <protection locked="0"/>
    </xf>
    <xf numFmtId="1" fontId="29" fillId="0" borderId="12" xfId="0" applyNumberFormat="1" applyFont="1" applyBorder="1" applyAlignment="1">
      <alignment horizontal="center"/>
    </xf>
    <xf numFmtId="164" fontId="68" fillId="0" borderId="0" xfId="2" applyNumberFormat="1" applyFont="1" applyFill="1" applyBorder="1" applyAlignment="1">
      <alignment horizontal="center"/>
    </xf>
    <xf numFmtId="1" fontId="68" fillId="0" borderId="0" xfId="2" applyNumberFormat="1" applyFont="1" applyFill="1" applyBorder="1" applyAlignment="1">
      <alignment horizontal="center"/>
    </xf>
    <xf numFmtId="0" fontId="68" fillId="0" borderId="0" xfId="2" applyFont="1" applyFill="1" applyBorder="1"/>
    <xf numFmtId="0" fontId="69" fillId="0" borderId="0" xfId="0" applyFont="1" applyBorder="1" applyAlignment="1">
      <alignment horizontal="center"/>
    </xf>
    <xf numFmtId="164" fontId="68" fillId="0" borderId="0" xfId="2" applyNumberFormat="1" applyFont="1" applyBorder="1" applyAlignment="1">
      <alignment horizontal="center" vertical="center" wrapText="1"/>
    </xf>
    <xf numFmtId="0" fontId="68" fillId="0" borderId="0" xfId="2" applyFont="1"/>
    <xf numFmtId="49" fontId="68" fillId="0" borderId="0" xfId="2" applyNumberFormat="1" applyFont="1" applyBorder="1" applyAlignment="1">
      <alignment horizontal="center"/>
    </xf>
    <xf numFmtId="0" fontId="68" fillId="0" borderId="0" xfId="2" applyFont="1" applyBorder="1" applyAlignment="1">
      <alignment horizontal="center"/>
    </xf>
    <xf numFmtId="0" fontId="70" fillId="0" borderId="0" xfId="2" applyFont="1"/>
    <xf numFmtId="49" fontId="70" fillId="0" borderId="0" xfId="2" applyNumberFormat="1" applyFont="1" applyAlignment="1">
      <alignment horizontal="center" vertical="top"/>
    </xf>
    <xf numFmtId="0" fontId="70" fillId="0" borderId="0" xfId="0" applyFont="1" applyFill="1" applyBorder="1" applyAlignment="1">
      <alignment wrapText="1"/>
    </xf>
    <xf numFmtId="164" fontId="68" fillId="0" borderId="0" xfId="2" applyNumberFormat="1" applyFont="1" applyFill="1" applyBorder="1" applyAlignment="1">
      <alignment horizontal="center" vertical="center" wrapText="1"/>
    </xf>
    <xf numFmtId="1" fontId="71" fillId="0" borderId="0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top"/>
    </xf>
    <xf numFmtId="164" fontId="11" fillId="11" borderId="8" xfId="0" applyNumberFormat="1" applyFont="1" applyFill="1" applyBorder="1" applyAlignment="1" applyProtection="1">
      <alignment horizontal="center" vertical="top"/>
    </xf>
    <xf numFmtId="0" fontId="0" fillId="0" borderId="0" xfId="0" applyAlignment="1">
      <alignment horizontal="center"/>
    </xf>
    <xf numFmtId="0" fontId="29" fillId="0" borderId="26" xfId="0" applyFont="1" applyBorder="1" applyAlignment="1">
      <alignment horizontal="center"/>
    </xf>
    <xf numFmtId="1" fontId="53" fillId="0" borderId="23" xfId="0" applyNumberFormat="1" applyFont="1" applyFill="1" applyBorder="1" applyAlignment="1">
      <alignment horizontal="center" vertical="top" wrapText="1"/>
    </xf>
    <xf numFmtId="164" fontId="2" fillId="11" borderId="5" xfId="2" applyNumberFormat="1" applyFont="1" applyFill="1" applyBorder="1" applyAlignment="1">
      <alignment horizontal="center" vertical="center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/>
      <protection locked="0"/>
    </xf>
    <xf numFmtId="164" fontId="11" fillId="11" borderId="5" xfId="2" applyNumberFormat="1" applyFont="1" applyFill="1" applyBorder="1" applyAlignment="1" applyProtection="1">
      <alignment horizontal="center"/>
      <protection locked="0"/>
    </xf>
    <xf numFmtId="164" fontId="11" fillId="11" borderId="8" xfId="2" applyNumberFormat="1" applyFont="1" applyFill="1" applyBorder="1" applyAlignment="1" applyProtection="1">
      <alignment horizontal="right" vertical="center" wrapText="1"/>
      <protection locked="0" hidden="1"/>
    </xf>
    <xf numFmtId="0" fontId="11" fillId="11" borderId="8" xfId="2" applyFont="1" applyFill="1" applyBorder="1" applyAlignment="1">
      <alignment horizontal="left" vertical="center" wrapText="1"/>
    </xf>
    <xf numFmtId="164" fontId="11" fillId="11" borderId="8" xfId="2" applyNumberFormat="1" applyFont="1" applyFill="1" applyBorder="1" applyAlignment="1" applyProtection="1">
      <alignment horizontal="right"/>
      <protection locked="0" hidden="1"/>
    </xf>
    <xf numFmtId="164" fontId="35" fillId="11" borderId="8" xfId="1" applyNumberFormat="1" applyFont="1" applyFill="1" applyBorder="1" applyAlignment="1">
      <alignment vertical="top"/>
    </xf>
    <xf numFmtId="164" fontId="11" fillId="11" borderId="8" xfId="1" applyNumberFormat="1" applyFont="1" applyFill="1" applyBorder="1" applyAlignment="1">
      <alignment horizontal="right" vertical="top"/>
    </xf>
    <xf numFmtId="164" fontId="11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protection locked="0"/>
    </xf>
    <xf numFmtId="164" fontId="17" fillId="11" borderId="5" xfId="2" applyNumberFormat="1" applyFont="1" applyFill="1" applyBorder="1" applyAlignment="1" applyProtection="1">
      <protection locked="0"/>
    </xf>
    <xf numFmtId="164" fontId="11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/>
    <xf numFmtId="164" fontId="17" fillId="11" borderId="5" xfId="2" applyNumberFormat="1" applyFont="1" applyFill="1" applyBorder="1" applyAlignment="1" applyProtection="1"/>
    <xf numFmtId="164" fontId="11" fillId="11" borderId="8" xfId="2" applyNumberFormat="1" applyFont="1" applyFill="1" applyBorder="1" applyAlignment="1" applyProtection="1">
      <alignment vertical="center" wrapText="1"/>
      <protection locked="0" hidden="1"/>
    </xf>
    <xf numFmtId="164" fontId="11" fillId="11" borderId="8" xfId="2" applyNumberFormat="1" applyFont="1" applyFill="1" applyBorder="1" applyAlignment="1" applyProtection="1">
      <protection locked="0" hidden="1"/>
    </xf>
    <xf numFmtId="164" fontId="11" fillId="11" borderId="8" xfId="2" applyNumberFormat="1" applyFont="1" applyFill="1" applyBorder="1" applyAlignment="1">
      <alignment vertical="center" wrapText="1"/>
    </xf>
    <xf numFmtId="164" fontId="11" fillId="11" borderId="8" xfId="2" applyNumberFormat="1" applyFont="1" applyFill="1" applyBorder="1" applyAlignment="1"/>
    <xf numFmtId="1" fontId="33" fillId="11" borderId="13" xfId="2" applyNumberFormat="1" applyFont="1" applyFill="1" applyBorder="1" applyAlignment="1">
      <alignment horizontal="center" vertical="center" wrapText="1"/>
    </xf>
    <xf numFmtId="164" fontId="7" fillId="11" borderId="24" xfId="2" applyNumberFormat="1" applyFont="1" applyFill="1" applyBorder="1" applyAlignment="1">
      <alignment horizontal="center" vertical="center" wrapText="1"/>
    </xf>
    <xf numFmtId="164" fontId="35" fillId="11" borderId="13" xfId="2" applyNumberFormat="1" applyFont="1" applyFill="1" applyBorder="1" applyAlignment="1">
      <alignment horizontal="center" vertical="center" wrapText="1"/>
    </xf>
    <xf numFmtId="164" fontId="7" fillId="11" borderId="11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/>
    </xf>
    <xf numFmtId="164" fontId="7" fillId="11" borderId="11" xfId="2" applyNumberFormat="1" applyFont="1" applyFill="1" applyBorder="1" applyAlignment="1">
      <alignment horizontal="center"/>
    </xf>
    <xf numFmtId="0" fontId="1" fillId="11" borderId="0" xfId="2" applyFill="1"/>
    <xf numFmtId="1" fontId="34" fillId="11" borderId="12" xfId="0" applyNumberFormat="1" applyFont="1" applyFill="1" applyBorder="1" applyAlignment="1">
      <alignment horizontal="center"/>
    </xf>
    <xf numFmtId="1" fontId="7" fillId="11" borderId="12" xfId="2" applyNumberFormat="1" applyFont="1" applyFill="1" applyBorder="1" applyAlignment="1">
      <alignment horizontal="center"/>
    </xf>
    <xf numFmtId="164" fontId="7" fillId="11" borderId="16" xfId="2" applyNumberFormat="1" applyFont="1" applyFill="1" applyBorder="1" applyAlignment="1">
      <alignment horizontal="center"/>
    </xf>
    <xf numFmtId="1" fontId="7" fillId="11" borderId="4" xfId="2" applyNumberFormat="1" applyFont="1" applyFill="1" applyBorder="1" applyAlignment="1">
      <alignment horizontal="center"/>
    </xf>
    <xf numFmtId="164" fontId="7" fillId="11" borderId="5" xfId="2" applyNumberFormat="1" applyFont="1" applyFill="1" applyBorder="1" applyAlignment="1">
      <alignment horizontal="center"/>
    </xf>
    <xf numFmtId="164" fontId="7" fillId="11" borderId="12" xfId="2" applyNumberFormat="1" applyFont="1" applyFill="1" applyBorder="1" applyAlignment="1">
      <alignment horizontal="center"/>
    </xf>
    <xf numFmtId="164" fontId="7" fillId="11" borderId="4" xfId="2" applyNumberFormat="1" applyFont="1" applyFill="1" applyBorder="1" applyAlignment="1">
      <alignment horizontal="center"/>
    </xf>
    <xf numFmtId="164" fontId="18" fillId="11" borderId="4" xfId="2" applyNumberFormat="1" applyFont="1" applyFill="1" applyBorder="1" applyAlignment="1">
      <alignment horizontal="center"/>
    </xf>
    <xf numFmtId="164" fontId="18" fillId="11" borderId="12" xfId="2" applyNumberFormat="1" applyFont="1" applyFill="1" applyBorder="1" applyAlignment="1">
      <alignment horizontal="center"/>
    </xf>
    <xf numFmtId="1" fontId="33" fillId="11" borderId="12" xfId="2" applyNumberFormat="1" applyFont="1" applyFill="1" applyBorder="1" applyAlignment="1">
      <alignment horizontal="center" vertical="center" wrapText="1"/>
    </xf>
    <xf numFmtId="164" fontId="7" fillId="11" borderId="4" xfId="2" quotePrefix="1" applyNumberFormat="1" applyFont="1" applyFill="1" applyBorder="1" applyAlignment="1">
      <alignment horizontal="center"/>
    </xf>
    <xf numFmtId="164" fontId="18" fillId="11" borderId="4" xfId="2" quotePrefix="1" applyNumberFormat="1" applyFont="1" applyFill="1" applyBorder="1" applyAlignment="1">
      <alignment horizontal="center"/>
    </xf>
    <xf numFmtId="164" fontId="33" fillId="11" borderId="16" xfId="2" applyNumberFormat="1" applyFont="1" applyFill="1" applyBorder="1" applyAlignment="1">
      <alignment horizontal="center"/>
    </xf>
    <xf numFmtId="164" fontId="7" fillId="11" borderId="27" xfId="2" applyNumberFormat="1" applyFont="1" applyFill="1" applyBorder="1" applyAlignment="1">
      <alignment horizontal="center" vertical="center" wrapText="1"/>
    </xf>
    <xf numFmtId="1" fontId="7" fillId="11" borderId="19" xfId="2" applyNumberFormat="1" applyFont="1" applyFill="1" applyBorder="1" applyAlignment="1">
      <alignment horizontal="center"/>
    </xf>
    <xf numFmtId="164" fontId="7" fillId="11" borderId="18" xfId="2" applyNumberFormat="1" applyFont="1" applyFill="1" applyBorder="1" applyAlignment="1">
      <alignment horizontal="center"/>
    </xf>
    <xf numFmtId="1" fontId="7" fillId="11" borderId="21" xfId="2" applyNumberFormat="1" applyFont="1" applyFill="1" applyBorder="1" applyAlignment="1">
      <alignment horizontal="center"/>
    </xf>
    <xf numFmtId="164" fontId="7" fillId="11" borderId="20" xfId="2" applyNumberFormat="1" applyFont="1" applyFill="1" applyBorder="1" applyAlignment="1">
      <alignment horizontal="center"/>
    </xf>
    <xf numFmtId="164" fontId="7" fillId="11" borderId="19" xfId="2" applyNumberFormat="1" applyFont="1" applyFill="1" applyBorder="1" applyAlignment="1">
      <alignment horizontal="center"/>
    </xf>
    <xf numFmtId="164" fontId="7" fillId="11" borderId="21" xfId="2" applyNumberFormat="1" applyFont="1" applyFill="1" applyBorder="1" applyAlignment="1">
      <alignment horizontal="center"/>
    </xf>
    <xf numFmtId="1" fontId="33" fillId="11" borderId="27" xfId="2" applyNumberFormat="1" applyFont="1" applyFill="1" applyBorder="1" applyAlignment="1">
      <alignment horizontal="center"/>
    </xf>
    <xf numFmtId="164" fontId="2" fillId="11" borderId="11" xfId="2" applyNumberFormat="1" applyFont="1" applyFill="1" applyBorder="1" applyAlignment="1">
      <alignment horizontal="center" vertical="center" wrapText="1"/>
    </xf>
    <xf numFmtId="164" fontId="35" fillId="11" borderId="4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 vertical="center" wrapText="1"/>
    </xf>
    <xf numFmtId="164" fontId="7" fillId="11" borderId="14" xfId="2" applyNumberFormat="1" applyFont="1" applyFill="1" applyBorder="1" applyAlignment="1">
      <alignment horizontal="center" vertical="center" wrapText="1"/>
    </xf>
    <xf numFmtId="164" fontId="7" fillId="11" borderId="14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/>
    </xf>
    <xf numFmtId="164" fontId="18" fillId="11" borderId="11" xfId="2" applyNumberFormat="1" applyFont="1" applyFill="1" applyBorder="1" applyAlignment="1">
      <alignment horizontal="center"/>
    </xf>
    <xf numFmtId="1" fontId="63" fillId="11" borderId="12" xfId="0" applyNumberFormat="1" applyFont="1" applyFill="1" applyBorder="1" applyAlignment="1">
      <alignment horizontal="center"/>
    </xf>
    <xf numFmtId="164" fontId="64" fillId="11" borderId="16" xfId="2" applyNumberFormat="1" applyFont="1" applyFill="1" applyBorder="1" applyAlignment="1">
      <alignment horizontal="center"/>
    </xf>
    <xf numFmtId="164" fontId="64" fillId="11" borderId="5" xfId="2" applyNumberFormat="1" applyFont="1" applyFill="1" applyBorder="1" applyAlignment="1">
      <alignment horizontal="center"/>
    </xf>
    <xf numFmtId="164" fontId="64" fillId="11" borderId="12" xfId="2" applyNumberFormat="1" applyFont="1" applyFill="1" applyBorder="1" applyAlignment="1">
      <alignment horizontal="center"/>
    </xf>
    <xf numFmtId="164" fontId="64" fillId="11" borderId="4" xfId="2" applyNumberFormat="1" applyFont="1" applyFill="1" applyBorder="1" applyAlignment="1">
      <alignment horizontal="center"/>
    </xf>
    <xf numFmtId="0" fontId="66" fillId="11" borderId="0" xfId="2" applyFont="1" applyFill="1"/>
    <xf numFmtId="164" fontId="35" fillId="11" borderId="12" xfId="2" applyNumberFormat="1" applyFont="1" applyFill="1" applyBorder="1" applyAlignment="1">
      <alignment horizontal="center" vertical="center" wrapText="1"/>
    </xf>
    <xf numFmtId="164" fontId="7" fillId="11" borderId="12" xfId="2" quotePrefix="1" applyNumberFormat="1" applyFont="1" applyFill="1" applyBorder="1" applyAlignment="1">
      <alignment horizontal="center"/>
    </xf>
    <xf numFmtId="0" fontId="1" fillId="11" borderId="0" xfId="2" applyFont="1" applyFill="1"/>
    <xf numFmtId="0" fontId="34" fillId="11" borderId="12" xfId="0" applyFont="1" applyFill="1" applyBorder="1" applyAlignment="1">
      <alignment horizontal="center" vertical="center"/>
    </xf>
    <xf numFmtId="164" fontId="18" fillId="11" borderId="5" xfId="2" applyNumberFormat="1" applyFont="1" applyFill="1" applyBorder="1" applyAlignment="1">
      <alignment horizontal="center"/>
    </xf>
    <xf numFmtId="164" fontId="17" fillId="11" borderId="8" xfId="1" applyNumberFormat="1" applyFont="1" applyFill="1" applyBorder="1" applyAlignment="1" applyProtection="1">
      <alignment horizontal="right" vertical="top"/>
    </xf>
    <xf numFmtId="0" fontId="1" fillId="11" borderId="32" xfId="2" applyFill="1" applyBorder="1" applyProtection="1">
      <protection locked="0" hidden="1"/>
    </xf>
    <xf numFmtId="164" fontId="18" fillId="11" borderId="8" xfId="1" applyNumberFormat="1" applyFont="1" applyFill="1" applyBorder="1" applyAlignment="1">
      <alignment vertical="top"/>
    </xf>
    <xf numFmtId="164" fontId="17" fillId="11" borderId="8" xfId="1" applyNumberFormat="1" applyFont="1" applyFill="1" applyBorder="1" applyAlignment="1">
      <alignment vertical="top"/>
    </xf>
    <xf numFmtId="164" fontId="1" fillId="11" borderId="32" xfId="2" applyNumberFormat="1" applyFill="1" applyBorder="1" applyAlignment="1" applyProtection="1">
      <alignment horizontal="right"/>
      <protection locked="0"/>
    </xf>
    <xf numFmtId="0" fontId="5" fillId="0" borderId="12" xfId="2" applyFont="1" applyFill="1" applyBorder="1" applyAlignment="1">
      <alignment horizontal="center"/>
    </xf>
    <xf numFmtId="0" fontId="51" fillId="9" borderId="8" xfId="0" applyFont="1" applyFill="1" applyBorder="1" applyAlignment="1">
      <alignment horizontal="center"/>
    </xf>
    <xf numFmtId="0" fontId="6" fillId="0" borderId="11" xfId="2" applyFont="1" applyBorder="1" applyAlignment="1">
      <alignment horizontal="left"/>
    </xf>
    <xf numFmtId="164" fontId="18" fillId="11" borderId="20" xfId="2" applyNumberFormat="1" applyFont="1" applyFill="1" applyBorder="1" applyAlignment="1">
      <alignment horizontal="center"/>
    </xf>
    <xf numFmtId="164" fontId="35" fillId="11" borderId="19" xfId="2" applyNumberFormat="1" applyFont="1" applyFill="1" applyBorder="1" applyAlignment="1">
      <alignment horizontal="center" vertical="center" wrapText="1"/>
    </xf>
    <xf numFmtId="164" fontId="7" fillId="11" borderId="13" xfId="2" quotePrefix="1" applyNumberFormat="1" applyFont="1" applyFill="1" applyBorder="1" applyAlignment="1">
      <alignment horizontal="center"/>
    </xf>
    <xf numFmtId="164" fontId="18" fillId="11" borderId="18" xfId="2" applyNumberFormat="1" applyFont="1" applyFill="1" applyBorder="1" applyAlignment="1">
      <alignment horizontal="center"/>
    </xf>
    <xf numFmtId="164" fontId="35" fillId="11" borderId="21" xfId="2" applyNumberFormat="1" applyFont="1" applyFill="1" applyBorder="1" applyAlignment="1">
      <alignment horizontal="center" vertical="center" wrapText="1"/>
    </xf>
    <xf numFmtId="164" fontId="7" fillId="11" borderId="19" xfId="2" quotePrefix="1" applyNumberFormat="1" applyFont="1" applyFill="1" applyBorder="1" applyAlignment="1">
      <alignment horizontal="center"/>
    </xf>
    <xf numFmtId="0" fontId="51" fillId="11" borderId="13" xfId="0" applyFont="1" applyFill="1" applyBorder="1" applyAlignment="1">
      <alignment horizontal="center"/>
    </xf>
    <xf numFmtId="0" fontId="51" fillId="11" borderId="12" xfId="0" applyFont="1" applyFill="1" applyBorder="1" applyAlignment="1">
      <alignment horizontal="center"/>
    </xf>
    <xf numFmtId="0" fontId="51" fillId="11" borderId="19" xfId="0" applyFont="1" applyFill="1" applyBorder="1" applyAlignment="1">
      <alignment horizontal="center"/>
    </xf>
    <xf numFmtId="0" fontId="2" fillId="11" borderId="18" xfId="0" applyFont="1" applyFill="1" applyBorder="1" applyAlignment="1">
      <alignment wrapText="1"/>
    </xf>
    <xf numFmtId="0" fontId="5" fillId="11" borderId="37" xfId="2" applyFont="1" applyFill="1" applyBorder="1" applyAlignment="1"/>
    <xf numFmtId="0" fontId="5" fillId="11" borderId="15" xfId="2" applyFont="1" applyFill="1" applyBorder="1" applyAlignment="1"/>
    <xf numFmtId="0" fontId="5" fillId="11" borderId="49" xfId="2" applyFont="1" applyFill="1" applyBorder="1" applyAlignment="1"/>
    <xf numFmtId="0" fontId="5" fillId="11" borderId="45" xfId="2" applyFont="1" applyFill="1" applyBorder="1" applyAlignment="1"/>
    <xf numFmtId="0" fontId="5" fillId="11" borderId="50" xfId="2" applyFont="1" applyFill="1" applyBorder="1" applyAlignment="1"/>
    <xf numFmtId="0" fontId="5" fillId="11" borderId="13" xfId="2" applyFont="1" applyFill="1" applyBorder="1" applyAlignment="1"/>
    <xf numFmtId="0" fontId="5" fillId="11" borderId="24" xfId="2" applyFont="1" applyFill="1" applyBorder="1" applyAlignment="1"/>
    <xf numFmtId="0" fontId="5" fillId="11" borderId="11" xfId="2" applyFont="1" applyFill="1" applyBorder="1" applyAlignment="1"/>
    <xf numFmtId="0" fontId="5" fillId="11" borderId="12" xfId="2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/>
    </xf>
    <xf numFmtId="0" fontId="6" fillId="11" borderId="16" xfId="2" applyFont="1" applyFill="1" applyBorder="1" applyAlignment="1">
      <alignment horizontal="center"/>
    </xf>
    <xf numFmtId="0" fontId="5" fillId="11" borderId="13" xfId="2" applyFont="1" applyFill="1" applyBorder="1" applyAlignment="1">
      <alignment horizontal="center"/>
    </xf>
    <xf numFmtId="0" fontId="6" fillId="11" borderId="11" xfId="2" applyFont="1" applyFill="1" applyBorder="1" applyAlignment="1">
      <alignment horizontal="center"/>
    </xf>
    <xf numFmtId="0" fontId="5" fillId="11" borderId="15" xfId="2" applyFont="1" applyFill="1" applyBorder="1" applyAlignment="1">
      <alignment horizontal="center"/>
    </xf>
    <xf numFmtId="0" fontId="5" fillId="11" borderId="14" xfId="2" applyFont="1" applyFill="1" applyBorder="1" applyAlignment="1">
      <alignment horizontal="center"/>
    </xf>
    <xf numFmtId="0" fontId="6" fillId="11" borderId="10" xfId="2" applyFont="1" applyFill="1" applyBorder="1" applyAlignment="1">
      <alignment horizontal="center"/>
    </xf>
    <xf numFmtId="164" fontId="30" fillId="11" borderId="8" xfId="2" applyNumberFormat="1" applyFont="1" applyFill="1" applyBorder="1" applyAlignment="1">
      <alignment horizontal="center"/>
    </xf>
    <xf numFmtId="1" fontId="30" fillId="11" borderId="16" xfId="2" applyNumberFormat="1" applyFont="1" applyFill="1" applyBorder="1" applyAlignment="1">
      <alignment horizontal="center"/>
    </xf>
    <xf numFmtId="0" fontId="6" fillId="11" borderId="10" xfId="2" applyFont="1" applyFill="1" applyBorder="1" applyAlignment="1">
      <alignment horizontal="left"/>
    </xf>
    <xf numFmtId="0" fontId="5" fillId="11" borderId="13" xfId="2" applyFont="1" applyFill="1" applyBorder="1" applyAlignment="1">
      <alignment horizontal="left"/>
    </xf>
    <xf numFmtId="0" fontId="6" fillId="11" borderId="11" xfId="2" applyFont="1" applyFill="1" applyBorder="1" applyAlignment="1">
      <alignment horizontal="left"/>
    </xf>
    <xf numFmtId="0" fontId="31" fillId="11" borderId="13" xfId="2" applyFont="1" applyFill="1" applyBorder="1" applyAlignment="1">
      <alignment horizontal="left"/>
    </xf>
    <xf numFmtId="0" fontId="32" fillId="11" borderId="13" xfId="2" applyFont="1" applyFill="1" applyBorder="1" applyAlignment="1">
      <alignment horizontal="left"/>
    </xf>
    <xf numFmtId="0" fontId="5" fillId="11" borderId="16" xfId="2" applyFont="1" applyFill="1" applyBorder="1" applyAlignment="1">
      <alignment horizontal="center" vertical="top" wrapText="1"/>
    </xf>
    <xf numFmtId="0" fontId="48" fillId="11" borderId="16" xfId="2" applyFont="1" applyFill="1" applyBorder="1" applyAlignment="1">
      <alignment horizontal="center" vertical="top" wrapText="1"/>
    </xf>
    <xf numFmtId="0" fontId="45" fillId="11" borderId="18" xfId="0" applyFont="1" applyFill="1" applyBorder="1" applyAlignment="1">
      <alignment horizontal="center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45" fillId="11" borderId="44" xfId="0" applyFont="1" applyFill="1" applyBorder="1" applyAlignment="1">
      <alignment horizontal="center" vertical="top" wrapText="1"/>
    </xf>
    <xf numFmtId="164" fontId="18" fillId="11" borderId="13" xfId="2" applyNumberFormat="1" applyFont="1" applyFill="1" applyBorder="1" applyAlignment="1">
      <alignment horizontal="center"/>
    </xf>
    <xf numFmtId="165" fontId="5" fillId="11" borderId="59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65" fontId="5" fillId="11" borderId="60" xfId="2" applyNumberFormat="1" applyFont="1" applyFill="1" applyBorder="1" applyAlignment="1">
      <alignment horizontal="center"/>
    </xf>
    <xf numFmtId="165" fontId="5" fillId="0" borderId="0" xfId="2" applyNumberFormat="1" applyFont="1" applyBorder="1" applyAlignment="1"/>
    <xf numFmtId="165" fontId="5" fillId="0" borderId="69" xfId="2" applyNumberFormat="1" applyFont="1" applyBorder="1" applyAlignment="1">
      <alignment horizontal="center"/>
    </xf>
    <xf numFmtId="165" fontId="5" fillId="0" borderId="70" xfId="2" applyNumberFormat="1" applyFont="1" applyBorder="1" applyAlignment="1">
      <alignment horizontal="center"/>
    </xf>
    <xf numFmtId="165" fontId="5" fillId="0" borderId="71" xfId="2" applyNumberFormat="1" applyFont="1" applyBorder="1" applyAlignment="1">
      <alignment horizontal="center"/>
    </xf>
    <xf numFmtId="164" fontId="7" fillId="11" borderId="8" xfId="2" applyNumberFormat="1" applyFont="1" applyFill="1" applyBorder="1" applyAlignment="1">
      <alignment horizontal="center" vertical="center" wrapText="1"/>
    </xf>
    <xf numFmtId="164" fontId="2" fillId="8" borderId="8" xfId="2" applyNumberFormat="1" applyFont="1" applyFill="1" applyBorder="1" applyAlignment="1">
      <alignment horizontal="center" vertical="center" wrapText="1"/>
    </xf>
    <xf numFmtId="164" fontId="2" fillId="8" borderId="24" xfId="2" applyNumberFormat="1" applyFont="1" applyFill="1" applyBorder="1" applyAlignment="1">
      <alignment horizontal="center" vertical="center" wrapText="1"/>
    </xf>
    <xf numFmtId="0" fontId="1" fillId="11" borderId="11" xfId="2" applyFill="1" applyBorder="1"/>
    <xf numFmtId="0" fontId="4" fillId="11" borderId="12" xfId="2" applyFont="1" applyFill="1" applyBorder="1" applyAlignment="1">
      <alignment horizontal="right" vertical="top"/>
    </xf>
    <xf numFmtId="0" fontId="1" fillId="11" borderId="16" xfId="2" applyFill="1" applyBorder="1"/>
    <xf numFmtId="0" fontId="4" fillId="11" borderId="12" xfId="2" applyFont="1" applyFill="1" applyBorder="1"/>
    <xf numFmtId="0" fontId="4" fillId="11" borderId="19" xfId="2" applyFont="1" applyFill="1" applyBorder="1" applyAlignment="1">
      <alignment horizontal="right" vertical="top"/>
    </xf>
    <xf numFmtId="164" fontId="2" fillId="8" borderId="27" xfId="2" applyNumberFormat="1" applyFont="1" applyFill="1" applyBorder="1" applyAlignment="1">
      <alignment horizontal="center" vertical="center" wrapText="1"/>
    </xf>
    <xf numFmtId="0" fontId="1" fillId="11" borderId="18" xfId="2" applyFill="1" applyBorder="1"/>
    <xf numFmtId="165" fontId="5" fillId="0" borderId="59" xfId="2" applyNumberFormat="1" applyFont="1" applyBorder="1" applyAlignment="1"/>
    <xf numFmtId="165" fontId="5" fillId="7" borderId="60" xfId="2" applyNumberFormat="1" applyFont="1" applyFill="1" applyBorder="1" applyAlignment="1">
      <alignment horizontal="center"/>
    </xf>
    <xf numFmtId="165" fontId="5" fillId="0" borderId="33" xfId="2" applyNumberFormat="1" applyFont="1" applyFill="1" applyBorder="1" applyAlignment="1">
      <alignment horizontal="center"/>
    </xf>
    <xf numFmtId="165" fontId="5" fillId="0" borderId="0" xfId="2" applyNumberFormat="1" applyFont="1" applyFill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65" fontId="5" fillId="0" borderId="54" xfId="2" applyNumberFormat="1" applyFont="1" applyBorder="1" applyAlignment="1"/>
    <xf numFmtId="165" fontId="5" fillId="0" borderId="39" xfId="2" applyNumberFormat="1" applyFont="1" applyBorder="1" applyAlignment="1"/>
    <xf numFmtId="165" fontId="5" fillId="11" borderId="33" xfId="2" applyNumberFormat="1" applyFont="1" applyFill="1" applyBorder="1" applyAlignment="1">
      <alignment horizontal="center"/>
    </xf>
    <xf numFmtId="165" fontId="5" fillId="11" borderId="9" xfId="2" applyNumberFormat="1" applyFont="1" applyFill="1" applyBorder="1" applyAlignment="1">
      <alignment horizontal="center"/>
    </xf>
    <xf numFmtId="165" fontId="5" fillId="11" borderId="69" xfId="2" applyNumberFormat="1" applyFont="1" applyFill="1" applyBorder="1" applyAlignment="1">
      <alignment horizontal="center"/>
    </xf>
    <xf numFmtId="165" fontId="5" fillId="11" borderId="70" xfId="2" applyNumberFormat="1" applyFont="1" applyFill="1" applyBorder="1" applyAlignment="1">
      <alignment horizontal="center"/>
    </xf>
    <xf numFmtId="165" fontId="5" fillId="11" borderId="40" xfId="2" applyNumberFormat="1" applyFont="1" applyFill="1" applyBorder="1" applyAlignment="1">
      <alignment horizontal="center"/>
    </xf>
    <xf numFmtId="164" fontId="7" fillId="11" borderId="16" xfId="2" quotePrefix="1" applyNumberFormat="1" applyFont="1" applyFill="1" applyBorder="1" applyAlignment="1">
      <alignment horizontal="center"/>
    </xf>
    <xf numFmtId="164" fontId="7" fillId="11" borderId="18" xfId="2" quotePrefix="1" applyNumberFormat="1" applyFont="1" applyFill="1" applyBorder="1" applyAlignment="1">
      <alignment horizontal="center"/>
    </xf>
    <xf numFmtId="0" fontId="4" fillId="11" borderId="13" xfId="2" applyFont="1" applyFill="1" applyBorder="1" applyAlignment="1"/>
    <xf numFmtId="0" fontId="4" fillId="11" borderId="12" xfId="2" applyFont="1" applyFill="1" applyBorder="1" applyAlignment="1"/>
    <xf numFmtId="0" fontId="4" fillId="11" borderId="19" xfId="2" applyFont="1" applyFill="1" applyBorder="1"/>
    <xf numFmtId="0" fontId="57" fillId="0" borderId="16" xfId="0" applyFont="1" applyBorder="1" applyAlignment="1">
      <alignment vertical="center"/>
    </xf>
    <xf numFmtId="0" fontId="57" fillId="0" borderId="18" xfId="0" applyFont="1" applyBorder="1" applyAlignment="1">
      <alignment vertical="center"/>
    </xf>
    <xf numFmtId="164" fontId="35" fillId="11" borderId="14" xfId="2" applyNumberFormat="1" applyFont="1" applyFill="1" applyBorder="1" applyAlignment="1">
      <alignment horizontal="center" vertical="center" wrapText="1"/>
    </xf>
    <xf numFmtId="164" fontId="2" fillId="11" borderId="14" xfId="2" applyNumberFormat="1" applyFont="1" applyFill="1" applyBorder="1" applyAlignment="1">
      <alignment horizontal="center" vertical="center" wrapText="1"/>
    </xf>
    <xf numFmtId="164" fontId="2" fillId="11" borderId="16" xfId="2" applyNumberFormat="1" applyFont="1" applyFill="1" applyBorder="1" applyAlignment="1">
      <alignment horizontal="center" vertical="center" wrapText="1"/>
    </xf>
    <xf numFmtId="164" fontId="2" fillId="11" borderId="18" xfId="2" applyNumberFormat="1" applyFont="1" applyFill="1" applyBorder="1" applyAlignment="1">
      <alignment horizontal="center" vertical="center" wrapText="1"/>
    </xf>
    <xf numFmtId="164" fontId="7" fillId="11" borderId="16" xfId="2" applyNumberFormat="1" applyFont="1" applyFill="1" applyBorder="1" applyAlignment="1">
      <alignment horizontal="center" vertical="center" wrapText="1"/>
    </xf>
    <xf numFmtId="164" fontId="7" fillId="11" borderId="18" xfId="2" applyNumberFormat="1" applyFont="1" applyFill="1" applyBorder="1" applyAlignment="1">
      <alignment horizontal="center" vertical="center" wrapText="1"/>
    </xf>
    <xf numFmtId="0" fontId="50" fillId="11" borderId="19" xfId="0" applyFont="1" applyFill="1" applyBorder="1" applyAlignment="1">
      <alignment horizontal="center" vertical="center"/>
    </xf>
    <xf numFmtId="164" fontId="64" fillId="11" borderId="5" xfId="2" quotePrefix="1" applyNumberFormat="1" applyFont="1" applyFill="1" applyBorder="1" applyAlignment="1">
      <alignment horizontal="center"/>
    </xf>
    <xf numFmtId="164" fontId="7" fillId="11" borderId="5" xfId="2" quotePrefix="1" applyNumberFormat="1" applyFont="1" applyFill="1" applyBorder="1" applyAlignment="1">
      <alignment horizontal="center"/>
    </xf>
    <xf numFmtId="164" fontId="7" fillId="11" borderId="14" xfId="2" quotePrefix="1" applyNumberFormat="1" applyFont="1" applyFill="1" applyBorder="1" applyAlignment="1">
      <alignment horizontal="center"/>
    </xf>
    <xf numFmtId="164" fontId="7" fillId="11" borderId="11" xfId="2" quotePrefix="1" applyNumberFormat="1" applyFont="1" applyFill="1" applyBorder="1" applyAlignment="1">
      <alignment horizontal="center"/>
    </xf>
    <xf numFmtId="1" fontId="21" fillId="11" borderId="12" xfId="2" applyNumberFormat="1" applyFont="1" applyFill="1" applyBorder="1" applyAlignment="1">
      <alignment horizontal="center"/>
    </xf>
    <xf numFmtId="1" fontId="21" fillId="11" borderId="19" xfId="2" applyNumberFormat="1" applyFont="1" applyFill="1" applyBorder="1" applyAlignment="1">
      <alignment horizontal="center"/>
    </xf>
    <xf numFmtId="164" fontId="64" fillId="11" borderId="16" xfId="2" quotePrefix="1" applyNumberFormat="1" applyFont="1" applyFill="1" applyBorder="1" applyAlignment="1">
      <alignment horizontal="center"/>
    </xf>
    <xf numFmtId="1" fontId="33" fillId="11" borderId="12" xfId="2" applyNumberFormat="1" applyFont="1" applyFill="1" applyBorder="1" applyAlignment="1">
      <alignment horizontal="center"/>
    </xf>
    <xf numFmtId="1" fontId="33" fillId="11" borderId="19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 vertical="center" wrapText="1"/>
    </xf>
    <xf numFmtId="164" fontId="2" fillId="11" borderId="10" xfId="2" applyNumberFormat="1" applyFont="1" applyFill="1" applyBorder="1" applyAlignment="1">
      <alignment horizontal="center" vertical="center" wrapText="1"/>
    </xf>
    <xf numFmtId="164" fontId="2" fillId="11" borderId="20" xfId="2" applyNumberFormat="1" applyFont="1" applyFill="1" applyBorder="1" applyAlignment="1">
      <alignment horizontal="center" vertical="center" wrapText="1"/>
    </xf>
    <xf numFmtId="164" fontId="35" fillId="11" borderId="10" xfId="2" applyNumberFormat="1" applyFont="1" applyFill="1" applyBorder="1" applyAlignment="1">
      <alignment horizontal="center" vertical="center" wrapText="1"/>
    </xf>
    <xf numFmtId="1" fontId="7" fillId="11" borderId="5" xfId="2" applyNumberFormat="1" applyFont="1" applyFill="1" applyBorder="1" applyAlignment="1">
      <alignment horizontal="center"/>
    </xf>
    <xf numFmtId="1" fontId="7" fillId="11" borderId="20" xfId="2" applyNumberFormat="1" applyFont="1" applyFill="1" applyBorder="1" applyAlignment="1">
      <alignment horizontal="center"/>
    </xf>
    <xf numFmtId="164" fontId="65" fillId="11" borderId="5" xfId="2" applyNumberFormat="1" applyFont="1" applyFill="1" applyBorder="1" applyAlignment="1">
      <alignment horizontal="center" vertical="center" wrapText="1"/>
    </xf>
    <xf numFmtId="164" fontId="35" fillId="11" borderId="5" xfId="2" applyNumberFormat="1" applyFont="1" applyFill="1" applyBorder="1" applyAlignment="1">
      <alignment horizontal="center" vertical="center" wrapText="1"/>
    </xf>
    <xf numFmtId="0" fontId="21" fillId="11" borderId="4" xfId="2" applyFont="1" applyFill="1" applyBorder="1" applyAlignment="1">
      <alignment horizontal="center" vertical="top"/>
    </xf>
    <xf numFmtId="0" fontId="21" fillId="11" borderId="21" xfId="2" applyFont="1" applyFill="1" applyBorder="1" applyAlignment="1">
      <alignment horizontal="center" vertical="top"/>
    </xf>
    <xf numFmtId="1" fontId="21" fillId="11" borderId="4" xfId="2" applyNumberFormat="1" applyFont="1" applyFill="1" applyBorder="1" applyAlignment="1">
      <alignment horizontal="center" vertical="center" wrapText="1"/>
    </xf>
    <xf numFmtId="164" fontId="35" fillId="11" borderId="11" xfId="2" applyNumberFormat="1" applyFont="1" applyFill="1" applyBorder="1" applyAlignment="1">
      <alignment horizontal="center" vertical="center" wrapText="1"/>
    </xf>
    <xf numFmtId="1" fontId="7" fillId="11" borderId="16" xfId="2" applyNumberFormat="1" applyFont="1" applyFill="1" applyBorder="1" applyAlignment="1">
      <alignment horizontal="center"/>
    </xf>
    <xf numFmtId="1" fontId="7" fillId="11" borderId="18" xfId="2" applyNumberFormat="1" applyFont="1" applyFill="1" applyBorder="1" applyAlignment="1">
      <alignment horizontal="center"/>
    </xf>
    <xf numFmtId="1" fontId="64" fillId="11" borderId="16" xfId="2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vertical="center" wrapText="1"/>
    </xf>
    <xf numFmtId="164" fontId="18" fillId="11" borderId="5" xfId="0" applyNumberFormat="1" applyFont="1" applyFill="1" applyBorder="1" applyAlignment="1">
      <alignment vertical="top"/>
    </xf>
    <xf numFmtId="164" fontId="18" fillId="11" borderId="20" xfId="0" applyNumberFormat="1" applyFont="1" applyFill="1" applyBorder="1" applyAlignment="1">
      <alignment vertical="top"/>
    </xf>
    <xf numFmtId="1" fontId="64" fillId="11" borderId="5" xfId="2" applyNumberFormat="1" applyFont="1" applyFill="1" applyBorder="1" applyAlignment="1">
      <alignment horizontal="center"/>
    </xf>
    <xf numFmtId="1" fontId="34" fillId="9" borderId="21" xfId="0" applyNumberFormat="1" applyFont="1" applyFill="1" applyBorder="1" applyAlignment="1">
      <alignment horizontal="center"/>
    </xf>
    <xf numFmtId="164" fontId="2" fillId="11" borderId="13" xfId="2" applyNumberFormat="1" applyFont="1" applyFill="1" applyBorder="1" applyAlignment="1">
      <alignment horizontal="center" vertical="center" wrapText="1"/>
    </xf>
    <xf numFmtId="164" fontId="2" fillId="8" borderId="10" xfId="2" applyNumberFormat="1" applyFont="1" applyFill="1" applyBorder="1" applyAlignment="1">
      <alignment horizontal="center" vertical="center" wrapText="1"/>
    </xf>
    <xf numFmtId="164" fontId="2" fillId="8" borderId="5" xfId="2" applyNumberFormat="1" applyFont="1" applyFill="1" applyBorder="1" applyAlignment="1">
      <alignment horizontal="center" vertical="center" wrapText="1"/>
    </xf>
    <xf numFmtId="164" fontId="2" fillId="8" borderId="20" xfId="2" applyNumberFormat="1" applyFont="1" applyFill="1" applyBorder="1" applyAlignment="1">
      <alignment horizontal="center" vertical="center" wrapText="1"/>
    </xf>
    <xf numFmtId="1" fontId="43" fillId="11" borderId="19" xfId="2" applyNumberFormat="1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51" fillId="9" borderId="13" xfId="0" applyFont="1" applyFill="1" applyBorder="1" applyAlignment="1">
      <alignment horizontal="center"/>
    </xf>
    <xf numFmtId="0" fontId="51" fillId="9" borderId="12" xfId="0" applyFont="1" applyFill="1" applyBorder="1" applyAlignment="1">
      <alignment horizontal="center"/>
    </xf>
    <xf numFmtId="164" fontId="7" fillId="11" borderId="20" xfId="2" quotePrefix="1" applyNumberFormat="1" applyFont="1" applyFill="1" applyBorder="1" applyAlignment="1">
      <alignment horizontal="center"/>
    </xf>
    <xf numFmtId="164" fontId="7" fillId="11" borderId="21" xfId="2" quotePrefix="1" applyNumberFormat="1" applyFont="1" applyFill="1" applyBorder="1" applyAlignment="1">
      <alignment horizontal="center"/>
    </xf>
    <xf numFmtId="164" fontId="18" fillId="11" borderId="14" xfId="2" quotePrefix="1" applyNumberFormat="1" applyFont="1" applyFill="1" applyBorder="1" applyAlignment="1">
      <alignment horizontal="center"/>
    </xf>
    <xf numFmtId="164" fontId="18" fillId="11" borderId="12" xfId="2" quotePrefix="1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horizontal="center"/>
    </xf>
    <xf numFmtId="164" fontId="33" fillId="11" borderId="5" xfId="2" applyNumberFormat="1" applyFont="1" applyFill="1" applyBorder="1" applyAlignment="1">
      <alignment horizontal="center"/>
    </xf>
    <xf numFmtId="165" fontId="5" fillId="0" borderId="39" xfId="2" applyNumberFormat="1" applyFont="1" applyBorder="1" applyAlignment="1">
      <alignment horizontal="center"/>
    </xf>
    <xf numFmtId="165" fontId="5" fillId="11" borderId="72" xfId="2" applyNumberFormat="1" applyFont="1" applyFill="1" applyBorder="1" applyAlignment="1">
      <alignment horizontal="center"/>
    </xf>
    <xf numFmtId="0" fontId="66" fillId="11" borderId="16" xfId="2" applyFont="1" applyFill="1" applyBorder="1"/>
    <xf numFmtId="0" fontId="1" fillId="11" borderId="16" xfId="2" applyFont="1" applyFill="1" applyBorder="1"/>
    <xf numFmtId="164" fontId="18" fillId="11" borderId="13" xfId="2" quotePrefix="1" applyNumberFormat="1" applyFont="1" applyFill="1" applyBorder="1" applyAlignment="1">
      <alignment horizontal="center"/>
    </xf>
    <xf numFmtId="1" fontId="43" fillId="11" borderId="4" xfId="2" applyNumberFormat="1" applyFont="1" applyFill="1" applyBorder="1" applyAlignment="1">
      <alignment horizontal="center"/>
    </xf>
    <xf numFmtId="1" fontId="47" fillId="11" borderId="21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10" fillId="11" borderId="18" xfId="0" applyFont="1" applyFill="1" applyBorder="1" applyAlignment="1">
      <alignment horizontal="center"/>
    </xf>
    <xf numFmtId="165" fontId="5" fillId="0" borderId="59" xfId="2" applyNumberFormat="1" applyFont="1" applyBorder="1" applyAlignment="1">
      <alignment horizontal="right"/>
    </xf>
    <xf numFmtId="1" fontId="62" fillId="11" borderId="27" xfId="0" applyNumberFormat="1" applyFont="1" applyFill="1" applyBorder="1" applyAlignment="1">
      <alignment vertical="top"/>
    </xf>
    <xf numFmtId="1" fontId="62" fillId="11" borderId="27" xfId="2" applyNumberFormat="1" applyFont="1" applyFill="1" applyBorder="1" applyAlignment="1">
      <alignment horizontal="center"/>
    </xf>
    <xf numFmtId="1" fontId="18" fillId="11" borderId="66" xfId="2" applyNumberFormat="1" applyFont="1" applyFill="1" applyBorder="1" applyAlignment="1">
      <alignment horizontal="center" vertical="center" wrapText="1"/>
    </xf>
    <xf numFmtId="1" fontId="18" fillId="11" borderId="12" xfId="2" applyNumberFormat="1" applyFont="1" applyFill="1" applyBorder="1" applyAlignment="1">
      <alignment horizontal="center" vertical="center" wrapText="1"/>
    </xf>
    <xf numFmtId="0" fontId="18" fillId="11" borderId="4" xfId="2" applyFont="1" applyFill="1" applyBorder="1" applyAlignment="1">
      <alignment horizontal="center"/>
    </xf>
    <xf numFmtId="0" fontId="18" fillId="11" borderId="4" xfId="2" applyFont="1" applyFill="1" applyBorder="1" applyAlignment="1">
      <alignment horizontal="center" vertical="top"/>
    </xf>
    <xf numFmtId="164" fontId="35" fillId="11" borderId="66" xfId="2" applyNumberFormat="1" applyFont="1" applyFill="1" applyBorder="1" applyAlignment="1">
      <alignment horizontal="center" vertical="center" wrapText="1"/>
    </xf>
    <xf numFmtId="0" fontId="73" fillId="11" borderId="4" xfId="0" applyFont="1" applyFill="1" applyBorder="1" applyAlignment="1">
      <alignment horizontal="center"/>
    </xf>
    <xf numFmtId="1" fontId="50" fillId="11" borderId="4" xfId="0" applyNumberFormat="1" applyFont="1" applyFill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0" fontId="5" fillId="11" borderId="13" xfId="2" applyFont="1" applyFill="1" applyBorder="1" applyAlignment="1">
      <alignment horizontal="center"/>
    </xf>
    <xf numFmtId="49" fontId="24" fillId="0" borderId="25" xfId="1" applyNumberFormat="1" applyFont="1" applyBorder="1" applyAlignment="1">
      <alignment vertical="top"/>
    </xf>
    <xf numFmtId="0" fontId="28" fillId="0" borderId="26" xfId="1" applyFont="1" applyBorder="1" applyAlignment="1">
      <alignment vertical="top"/>
    </xf>
    <xf numFmtId="0" fontId="59" fillId="0" borderId="26" xfId="1" applyFont="1" applyBorder="1" applyAlignment="1">
      <alignment vertical="top" wrapText="1"/>
    </xf>
    <xf numFmtId="0" fontId="54" fillId="0" borderId="26" xfId="1" applyFont="1" applyBorder="1" applyAlignment="1">
      <alignment horizontal="center" vertical="top"/>
    </xf>
    <xf numFmtId="0" fontId="24" fillId="0" borderId="17" xfId="1" applyFont="1" applyBorder="1" applyAlignment="1">
      <alignment vertical="top" wrapText="1"/>
    </xf>
    <xf numFmtId="49" fontId="24" fillId="0" borderId="19" xfId="1" applyNumberFormat="1" applyFont="1" applyBorder="1" applyAlignment="1">
      <alignment vertical="top"/>
    </xf>
    <xf numFmtId="0" fontId="54" fillId="0" borderId="27" xfId="1" applyFont="1" applyBorder="1" applyAlignment="1">
      <alignment horizontal="center" vertical="top"/>
    </xf>
    <xf numFmtId="164" fontId="2" fillId="11" borderId="5" xfId="2" applyNumberFormat="1" applyFont="1" applyFill="1" applyBorder="1" applyAlignment="1">
      <alignment horizontal="center"/>
    </xf>
    <xf numFmtId="0" fontId="73" fillId="11" borderId="12" xfId="0" applyFont="1" applyFill="1" applyBorder="1" applyAlignment="1">
      <alignment horizontal="center"/>
    </xf>
    <xf numFmtId="1" fontId="50" fillId="11" borderId="19" xfId="0" applyNumberFormat="1" applyFont="1" applyFill="1" applyBorder="1" applyAlignment="1">
      <alignment horizontal="center"/>
    </xf>
    <xf numFmtId="164" fontId="2" fillId="11" borderId="16" xfId="2" applyNumberFormat="1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 vertical="top" wrapText="1"/>
    </xf>
    <xf numFmtId="0" fontId="75" fillId="11" borderId="20" xfId="0" applyFont="1" applyFill="1" applyBorder="1" applyAlignment="1">
      <alignment horizontal="center" vertical="top" wrapText="1"/>
    </xf>
    <xf numFmtId="1" fontId="18" fillId="10" borderId="11" xfId="2" applyNumberFormat="1" applyFont="1" applyFill="1" applyBorder="1" applyAlignment="1">
      <alignment horizontal="center" vertical="center" wrapText="1"/>
    </xf>
    <xf numFmtId="1" fontId="18" fillId="10" borderId="16" xfId="2" applyNumberFormat="1" applyFont="1" applyFill="1" applyBorder="1" applyAlignment="1">
      <alignment horizontal="center"/>
    </xf>
    <xf numFmtId="1" fontId="18" fillId="10" borderId="18" xfId="2" applyNumberFormat="1" applyFont="1" applyFill="1" applyBorder="1" applyAlignment="1">
      <alignment horizontal="center"/>
    </xf>
    <xf numFmtId="1" fontId="62" fillId="9" borderId="8" xfId="0" applyNumberFormat="1" applyFont="1" applyFill="1" applyBorder="1" applyAlignment="1">
      <alignment vertical="top"/>
    </xf>
    <xf numFmtId="0" fontId="25" fillId="0" borderId="23" xfId="0" applyFont="1" applyBorder="1" applyAlignment="1">
      <alignment horizontal="center" vertical="top" wrapText="1"/>
    </xf>
    <xf numFmtId="1" fontId="36" fillId="0" borderId="26" xfId="0" applyNumberFormat="1" applyFont="1" applyFill="1" applyBorder="1" applyAlignment="1">
      <alignment horizontal="center"/>
    </xf>
    <xf numFmtId="1" fontId="36" fillId="0" borderId="34" xfId="0" applyNumberFormat="1" applyFont="1" applyFill="1" applyBorder="1"/>
    <xf numFmtId="1" fontId="36" fillId="11" borderId="34" xfId="0" applyNumberFormat="1" applyFont="1" applyFill="1" applyBorder="1"/>
    <xf numFmtId="1" fontId="29" fillId="0" borderId="19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7" fillId="0" borderId="23" xfId="0" applyFont="1" applyFill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 vertical="top" wrapText="1"/>
    </xf>
    <xf numFmtId="0" fontId="37" fillId="0" borderId="23" xfId="0" applyFont="1" applyBorder="1" applyAlignment="1">
      <alignment horizontal="left" vertical="top" wrapText="1"/>
    </xf>
    <xf numFmtId="1" fontId="53" fillId="0" borderId="23" xfId="0" applyNumberFormat="1" applyFont="1" applyFill="1" applyBorder="1" applyAlignment="1">
      <alignment horizontal="left" vertical="top" wrapText="1"/>
    </xf>
    <xf numFmtId="0" fontId="15" fillId="0" borderId="52" xfId="0" applyFont="1" applyBorder="1" applyAlignment="1">
      <alignment horizontal="left" vertical="top"/>
    </xf>
    <xf numFmtId="1" fontId="25" fillId="6" borderId="23" xfId="0" applyNumberFormat="1" applyFont="1" applyFill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top"/>
    </xf>
    <xf numFmtId="164" fontId="18" fillId="11" borderId="10" xfId="2" applyNumberFormat="1" applyFont="1" applyFill="1" applyBorder="1" applyAlignment="1">
      <alignment horizontal="center" vertical="center" wrapText="1"/>
    </xf>
    <xf numFmtId="164" fontId="18" fillId="11" borderId="16" xfId="2" quotePrefix="1" applyNumberFormat="1" applyFont="1" applyFill="1" applyBorder="1" applyAlignment="1">
      <alignment horizontal="center"/>
    </xf>
    <xf numFmtId="164" fontId="18" fillId="11" borderId="5" xfId="2" quotePrefix="1" applyNumberFormat="1" applyFont="1" applyFill="1" applyBorder="1" applyAlignment="1">
      <alignment horizontal="center"/>
    </xf>
    <xf numFmtId="14" fontId="0" fillId="0" borderId="0" xfId="0" applyNumberFormat="1"/>
    <xf numFmtId="1" fontId="36" fillId="12" borderId="5" xfId="0" applyNumberFormat="1" applyFont="1" applyFill="1" applyBorder="1"/>
    <xf numFmtId="0" fontId="0" fillId="11" borderId="38" xfId="0" applyFill="1" applyBorder="1"/>
    <xf numFmtId="0" fontId="4" fillId="11" borderId="37" xfId="2" applyFont="1" applyFill="1" applyBorder="1"/>
    <xf numFmtId="0" fontId="4" fillId="11" borderId="36" xfId="2" applyFont="1" applyFill="1" applyBorder="1" applyAlignment="1">
      <alignment horizontal="right" vertical="top"/>
    </xf>
    <xf numFmtId="0" fontId="4" fillId="11" borderId="36" xfId="2" applyFont="1" applyFill="1" applyBorder="1"/>
    <xf numFmtId="0" fontId="51" fillId="9" borderId="1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7" fillId="0" borderId="8" xfId="0" applyFont="1" applyBorder="1" applyAlignment="1">
      <alignment vertical="center"/>
    </xf>
    <xf numFmtId="0" fontId="72" fillId="11" borderId="38" xfId="0" applyFont="1" applyFill="1" applyBorder="1"/>
    <xf numFmtId="0" fontId="0" fillId="11" borderId="42" xfId="0" applyFill="1" applyBorder="1"/>
    <xf numFmtId="0" fontId="57" fillId="11" borderId="16" xfId="0" applyFont="1" applyFill="1" applyBorder="1" applyAlignment="1">
      <alignment vertical="center"/>
    </xf>
    <xf numFmtId="0" fontId="2" fillId="11" borderId="17" xfId="0" applyFont="1" applyFill="1" applyBorder="1" applyAlignment="1">
      <alignment wrapText="1"/>
    </xf>
    <xf numFmtId="0" fontId="42" fillId="0" borderId="8" xfId="0" applyFont="1" applyBorder="1" applyAlignment="1">
      <alignment vertical="center"/>
    </xf>
    <xf numFmtId="164" fontId="7" fillId="11" borderId="41" xfId="2" applyNumberFormat="1" applyFont="1" applyFill="1" applyBorder="1" applyAlignment="1">
      <alignment horizontal="center" vertical="center" wrapText="1"/>
    </xf>
    <xf numFmtId="1" fontId="33" fillId="9" borderId="4" xfId="2" applyNumberFormat="1" applyFont="1" applyFill="1" applyBorder="1" applyAlignment="1">
      <alignment horizontal="center" vertical="center" wrapText="1"/>
    </xf>
    <xf numFmtId="0" fontId="57" fillId="0" borderId="30" xfId="0" applyFont="1" applyBorder="1" applyAlignment="1">
      <alignment vertical="center"/>
    </xf>
    <xf numFmtId="1" fontId="63" fillId="9" borderId="4" xfId="0" applyNumberFormat="1" applyFont="1" applyFill="1" applyBorder="1" applyAlignment="1">
      <alignment horizontal="center"/>
    </xf>
    <xf numFmtId="165" fontId="5" fillId="0" borderId="0" xfId="2" applyNumberFormat="1" applyFont="1" applyBorder="1" applyAlignment="1">
      <alignment horizontal="right"/>
    </xf>
    <xf numFmtId="165" fontId="5" fillId="0" borderId="43" xfId="2" applyNumberFormat="1" applyFont="1" applyBorder="1" applyAlignment="1">
      <alignment horizontal="center"/>
    </xf>
    <xf numFmtId="165" fontId="5" fillId="0" borderId="60" xfId="2" applyNumberFormat="1" applyFont="1" applyBorder="1" applyAlignment="1"/>
    <xf numFmtId="164" fontId="35" fillId="11" borderId="8" xfId="2" applyNumberFormat="1" applyFont="1" applyFill="1" applyBorder="1" applyAlignment="1">
      <alignment horizontal="center" vertical="center" wrapText="1"/>
    </xf>
    <xf numFmtId="1" fontId="2" fillId="11" borderId="4" xfId="2" applyNumberFormat="1" applyFont="1" applyFill="1" applyBorder="1" applyAlignment="1">
      <alignment horizontal="center" vertical="center" wrapText="1"/>
    </xf>
    <xf numFmtId="164" fontId="18" fillId="11" borderId="73" xfId="2" applyNumberFormat="1" applyFont="1" applyFill="1" applyBorder="1" applyAlignment="1">
      <alignment horizontal="right" vertical="center" wrapText="1"/>
    </xf>
    <xf numFmtId="164" fontId="18" fillId="11" borderId="16" xfId="2" applyNumberFormat="1" applyFont="1" applyFill="1" applyBorder="1" applyAlignment="1">
      <alignment horizontal="right" vertical="center" wrapText="1"/>
    </xf>
    <xf numFmtId="0" fontId="4" fillId="0" borderId="0" xfId="2" applyFont="1" applyAlignment="1">
      <alignment textRotation="90"/>
    </xf>
    <xf numFmtId="0" fontId="4" fillId="0" borderId="0" xfId="2" applyFont="1" applyAlignment="1">
      <alignment horizontal="left" vertical="center" textRotation="90"/>
    </xf>
    <xf numFmtId="1" fontId="0" fillId="0" borderId="0" xfId="0" applyNumberFormat="1" applyFill="1"/>
    <xf numFmtId="1" fontId="38" fillId="0" borderId="0" xfId="0" applyNumberFormat="1" applyFont="1" applyFill="1"/>
    <xf numFmtId="1" fontId="0" fillId="0" borderId="0" xfId="0" applyNumberFormat="1"/>
    <xf numFmtId="14" fontId="0" fillId="0" borderId="0" xfId="0" applyNumberFormat="1" applyFill="1"/>
    <xf numFmtId="0" fontId="51" fillId="11" borderId="14" xfId="0" applyFont="1" applyFill="1" applyBorder="1" applyAlignment="1">
      <alignment horizontal="center"/>
    </xf>
    <xf numFmtId="0" fontId="51" fillId="11" borderId="4" xfId="0" applyFont="1" applyFill="1" applyBorder="1" applyAlignment="1">
      <alignment horizontal="center"/>
    </xf>
    <xf numFmtId="0" fontId="34" fillId="11" borderId="4" xfId="0" applyFont="1" applyFill="1" applyBorder="1" applyAlignment="1">
      <alignment horizontal="center" vertical="center"/>
    </xf>
    <xf numFmtId="1" fontId="21" fillId="11" borderId="4" xfId="2" applyNumberFormat="1" applyFont="1" applyFill="1" applyBorder="1" applyAlignment="1">
      <alignment horizontal="center"/>
    </xf>
    <xf numFmtId="164" fontId="35" fillId="11" borderId="15" xfId="2" applyNumberFormat="1" applyFont="1" applyFill="1" applyBorder="1" applyAlignment="1">
      <alignment horizontal="center" vertical="center" wrapText="1"/>
    </xf>
    <xf numFmtId="164" fontId="35" fillId="11" borderId="34" xfId="2" applyNumberFormat="1" applyFont="1" applyFill="1" applyBorder="1" applyAlignment="1">
      <alignment horizontal="center" vertical="center" wrapText="1"/>
    </xf>
    <xf numFmtId="164" fontId="35" fillId="11" borderId="74" xfId="2" applyNumberFormat="1" applyFont="1" applyFill="1" applyBorder="1" applyAlignment="1">
      <alignment horizontal="center" vertical="center" wrapText="1"/>
    </xf>
    <xf numFmtId="1" fontId="33" fillId="11" borderId="37" xfId="2" applyNumberFormat="1" applyFont="1" applyFill="1" applyBorder="1" applyAlignment="1">
      <alignment horizontal="center" vertical="center" wrapText="1"/>
    </xf>
    <xf numFmtId="1" fontId="63" fillId="11" borderId="36" xfId="0" applyNumberFormat="1" applyFont="1" applyFill="1" applyBorder="1" applyAlignment="1">
      <alignment horizontal="center"/>
    </xf>
    <xf numFmtId="1" fontId="33" fillId="11" borderId="36" xfId="2" applyNumberFormat="1" applyFont="1" applyFill="1" applyBorder="1" applyAlignment="1">
      <alignment horizontal="center" vertical="center" wrapText="1"/>
    </xf>
    <xf numFmtId="1" fontId="34" fillId="11" borderId="36" xfId="0" applyNumberFormat="1" applyFont="1" applyFill="1" applyBorder="1" applyAlignment="1">
      <alignment horizontal="center"/>
    </xf>
    <xf numFmtId="0" fontId="73" fillId="11" borderId="34" xfId="0" applyFont="1" applyFill="1" applyBorder="1" applyAlignment="1">
      <alignment horizontal="center"/>
    </xf>
    <xf numFmtId="1" fontId="50" fillId="11" borderId="74" xfId="0" applyNumberFormat="1" applyFont="1" applyFill="1" applyBorder="1" applyAlignment="1">
      <alignment horizontal="center"/>
    </xf>
    <xf numFmtId="1" fontId="2" fillId="11" borderId="15" xfId="2" applyNumberFormat="1" applyFont="1" applyFill="1" applyBorder="1" applyAlignment="1">
      <alignment horizontal="center" vertical="center" wrapText="1"/>
    </xf>
    <xf numFmtId="1" fontId="50" fillId="11" borderId="34" xfId="0" applyNumberFormat="1" applyFont="1" applyFill="1" applyBorder="1" applyAlignment="1">
      <alignment horizontal="center"/>
    </xf>
    <xf numFmtId="0" fontId="73" fillId="0" borderId="15" xfId="0" applyFont="1" applyFill="1" applyBorder="1" applyAlignment="1">
      <alignment horizontal="center"/>
    </xf>
    <xf numFmtId="0" fontId="73" fillId="0" borderId="34" xfId="0" applyFont="1" applyFill="1" applyBorder="1" applyAlignment="1">
      <alignment horizontal="center"/>
    </xf>
    <xf numFmtId="164" fontId="7" fillId="11" borderId="15" xfId="2" applyNumberFormat="1" applyFont="1" applyFill="1" applyBorder="1" applyAlignment="1">
      <alignment horizontal="center" vertical="center"/>
    </xf>
    <xf numFmtId="164" fontId="7" fillId="11" borderId="34" xfId="2" applyNumberFormat="1" applyFont="1" applyFill="1" applyBorder="1" applyAlignment="1">
      <alignment horizontal="center"/>
    </xf>
    <xf numFmtId="164" fontId="7" fillId="11" borderId="74" xfId="2" applyNumberFormat="1" applyFont="1" applyFill="1" applyBorder="1" applyAlignment="1">
      <alignment horizontal="center"/>
    </xf>
    <xf numFmtId="164" fontId="7" fillId="11" borderId="37" xfId="2" applyNumberFormat="1" applyFont="1" applyFill="1" applyBorder="1" applyAlignment="1">
      <alignment horizontal="center"/>
    </xf>
    <xf numFmtId="164" fontId="7" fillId="11" borderId="36" xfId="2" applyNumberFormat="1" applyFont="1" applyFill="1" applyBorder="1" applyAlignment="1">
      <alignment horizontal="center"/>
    </xf>
    <xf numFmtId="164" fontId="7" fillId="11" borderId="51" xfId="2" applyNumberFormat="1" applyFont="1" applyFill="1" applyBorder="1" applyAlignment="1">
      <alignment horizontal="center"/>
    </xf>
    <xf numFmtId="1" fontId="33" fillId="11" borderId="15" xfId="2" applyNumberFormat="1" applyFont="1" applyFill="1" applyBorder="1" applyAlignment="1">
      <alignment horizontal="center" vertical="center" wrapText="1"/>
    </xf>
    <xf numFmtId="1" fontId="63" fillId="11" borderId="34" xfId="0" applyNumberFormat="1" applyFont="1" applyFill="1" applyBorder="1" applyAlignment="1">
      <alignment horizontal="center"/>
    </xf>
    <xf numFmtId="1" fontId="33" fillId="11" borderId="34" xfId="2" applyNumberFormat="1" applyFont="1" applyFill="1" applyBorder="1" applyAlignment="1">
      <alignment horizontal="center" vertical="center" wrapText="1"/>
    </xf>
    <xf numFmtId="1" fontId="34" fillId="11" borderId="34" xfId="0" applyNumberFormat="1" applyFont="1" applyFill="1" applyBorder="1" applyAlignment="1">
      <alignment horizontal="center"/>
    </xf>
    <xf numFmtId="1" fontId="33" fillId="11" borderId="34" xfId="2" applyNumberFormat="1" applyFont="1" applyFill="1" applyBorder="1" applyAlignment="1">
      <alignment horizontal="center"/>
    </xf>
    <xf numFmtId="1" fontId="33" fillId="11" borderId="74" xfId="2" applyNumberFormat="1" applyFont="1" applyFill="1" applyBorder="1" applyAlignment="1">
      <alignment horizontal="center"/>
    </xf>
    <xf numFmtId="0" fontId="73" fillId="11" borderId="36" xfId="0" applyFont="1" applyFill="1" applyBorder="1" applyAlignment="1">
      <alignment horizontal="center"/>
    </xf>
    <xf numFmtId="0" fontId="50" fillId="11" borderId="36" xfId="0" applyFont="1" applyFill="1" applyBorder="1" applyAlignment="1">
      <alignment horizontal="center" vertical="center"/>
    </xf>
    <xf numFmtId="1" fontId="18" fillId="11" borderId="36" xfId="2" applyNumberFormat="1" applyFont="1" applyFill="1" applyBorder="1" applyAlignment="1">
      <alignment horizontal="center"/>
    </xf>
    <xf numFmtId="1" fontId="18" fillId="11" borderId="51" xfId="2" applyNumberFormat="1" applyFont="1" applyFill="1" applyBorder="1" applyAlignment="1">
      <alignment horizontal="center"/>
    </xf>
    <xf numFmtId="1" fontId="33" fillId="11" borderId="36" xfId="2" applyNumberFormat="1" applyFont="1" applyFill="1" applyBorder="1" applyAlignment="1">
      <alignment horizontal="center"/>
    </xf>
    <xf numFmtId="1" fontId="33" fillId="11" borderId="51" xfId="2" applyNumberFormat="1" applyFont="1" applyFill="1" applyBorder="1" applyAlignment="1">
      <alignment horizontal="center"/>
    </xf>
    <xf numFmtId="0" fontId="51" fillId="11" borderId="37" xfId="0" applyFont="1" applyFill="1" applyBorder="1" applyAlignment="1">
      <alignment horizontal="center"/>
    </xf>
    <xf numFmtId="0" fontId="51" fillId="11" borderId="36" xfId="0" applyFont="1" applyFill="1" applyBorder="1" applyAlignment="1">
      <alignment horizontal="center"/>
    </xf>
    <xf numFmtId="0" fontId="34" fillId="11" borderId="36" xfId="0" applyFont="1" applyFill="1" applyBorder="1" applyAlignment="1">
      <alignment horizontal="center" vertical="center"/>
    </xf>
    <xf numFmtId="1" fontId="21" fillId="11" borderId="36" xfId="2" applyNumberFormat="1" applyFont="1" applyFill="1" applyBorder="1" applyAlignment="1">
      <alignment horizontal="center"/>
    </xf>
    <xf numFmtId="164" fontId="18" fillId="11" borderId="37" xfId="2" applyNumberFormat="1" applyFont="1" applyFill="1" applyBorder="1" applyAlignment="1">
      <alignment horizontal="center"/>
    </xf>
    <xf numFmtId="164" fontId="18" fillId="11" borderId="36" xfId="2" applyNumberFormat="1" applyFont="1" applyFill="1" applyBorder="1" applyAlignment="1">
      <alignment horizontal="center"/>
    </xf>
    <xf numFmtId="0" fontId="57" fillId="0" borderId="8" xfId="0" applyFont="1" applyBorder="1" applyAlignment="1">
      <alignment vertical="center" wrapText="1"/>
    </xf>
    <xf numFmtId="0" fontId="1" fillId="0" borderId="0" xfId="2" applyAlignment="1">
      <alignment horizontal="left" vertical="top" wrapText="1"/>
    </xf>
    <xf numFmtId="0" fontId="5" fillId="0" borderId="39" xfId="2" applyFont="1" applyBorder="1" applyAlignment="1">
      <alignment horizontal="left" vertical="top" wrapText="1"/>
    </xf>
    <xf numFmtId="0" fontId="5" fillId="0" borderId="61" xfId="2" applyFont="1" applyBorder="1" applyAlignment="1">
      <alignment horizontal="left" vertical="top" wrapText="1"/>
    </xf>
    <xf numFmtId="0" fontId="4" fillId="0" borderId="61" xfId="2" applyFont="1" applyBorder="1" applyAlignment="1">
      <alignment horizontal="left" vertical="top" wrapText="1"/>
    </xf>
    <xf numFmtId="0" fontId="57" fillId="0" borderId="8" xfId="0" applyFont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4" fillId="0" borderId="0" xfId="2" applyFont="1" applyFill="1" applyAlignment="1">
      <alignment horizontal="left" vertical="top" wrapText="1"/>
    </xf>
    <xf numFmtId="0" fontId="4" fillId="0" borderId="35" xfId="2" applyFont="1" applyFill="1" applyBorder="1" applyAlignment="1" applyProtection="1">
      <alignment horizontal="left" vertical="top" wrapText="1"/>
    </xf>
    <xf numFmtId="0" fontId="1" fillId="0" borderId="0" xfId="2" applyFill="1" applyBorder="1" applyAlignment="1" applyProtection="1">
      <alignment horizontal="left" vertical="top" wrapText="1"/>
    </xf>
    <xf numFmtId="0" fontId="1" fillId="0" borderId="0" xfId="2" applyFill="1" applyAlignment="1" applyProtection="1">
      <alignment horizontal="left" vertical="top" wrapText="1"/>
    </xf>
    <xf numFmtId="0" fontId="1" fillId="0" borderId="0" xfId="2" applyFill="1" applyAlignment="1">
      <alignment horizontal="left" vertical="top" wrapText="1"/>
    </xf>
    <xf numFmtId="0" fontId="4" fillId="11" borderId="8" xfId="2" applyFont="1" applyFill="1" applyBorder="1"/>
    <xf numFmtId="0" fontId="4" fillId="11" borderId="8" xfId="2" applyFont="1" applyFill="1" applyBorder="1" applyAlignment="1"/>
    <xf numFmtId="1" fontId="62" fillId="9" borderId="27" xfId="2" applyNumberFormat="1" applyFont="1" applyFill="1" applyBorder="1" applyAlignment="1">
      <alignment horizontal="center" vertical="top"/>
    </xf>
    <xf numFmtId="0" fontId="51" fillId="9" borderId="27" xfId="0" applyFont="1" applyFill="1" applyBorder="1" applyAlignment="1">
      <alignment horizontal="center"/>
    </xf>
    <xf numFmtId="0" fontId="57" fillId="11" borderId="8" xfId="0" applyFont="1" applyFill="1" applyBorder="1" applyAlignment="1">
      <alignment vertical="center"/>
    </xf>
    <xf numFmtId="0" fontId="57" fillId="11" borderId="8" xfId="0" applyFont="1" applyFill="1" applyBorder="1" applyAlignment="1">
      <alignment vertical="top" wrapText="1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165" fontId="5" fillId="11" borderId="59" xfId="2" applyNumberFormat="1" applyFont="1" applyFill="1" applyBorder="1" applyAlignment="1">
      <alignment horizontal="center"/>
    </xf>
    <xf numFmtId="165" fontId="5" fillId="0" borderId="33" xfId="2" applyNumberFormat="1" applyFont="1" applyBorder="1" applyAlignment="1">
      <alignment horizontal="center"/>
    </xf>
    <xf numFmtId="0" fontId="57" fillId="10" borderId="16" xfId="0" applyFont="1" applyFill="1" applyBorder="1" applyAlignment="1">
      <alignment vertical="center"/>
    </xf>
    <xf numFmtId="0" fontId="57" fillId="11" borderId="11" xfId="0" applyFont="1" applyFill="1" applyBorder="1" applyAlignment="1">
      <alignment vertical="center"/>
    </xf>
    <xf numFmtId="164" fontId="2" fillId="0" borderId="21" xfId="2" applyNumberFormat="1" applyFont="1" applyFill="1" applyBorder="1" applyAlignment="1">
      <alignment horizontal="center" vertical="center" wrapText="1"/>
    </xf>
    <xf numFmtId="0" fontId="42" fillId="10" borderId="8" xfId="0" applyFont="1" applyFill="1" applyBorder="1" applyAlignment="1">
      <alignment vertical="center"/>
    </xf>
    <xf numFmtId="0" fontId="18" fillId="11" borderId="14" xfId="2" applyFont="1" applyFill="1" applyBorder="1" applyAlignment="1">
      <alignment horizontal="center" vertical="top"/>
    </xf>
    <xf numFmtId="1" fontId="18" fillId="11" borderId="4" xfId="2" applyNumberFormat="1" applyFont="1" applyFill="1" applyBorder="1" applyAlignment="1">
      <alignment horizontal="center" vertical="center" wrapText="1"/>
    </xf>
    <xf numFmtId="0" fontId="18" fillId="11" borderId="13" xfId="2" applyFont="1" applyFill="1" applyBorder="1" applyAlignment="1">
      <alignment horizontal="center" vertical="top"/>
    </xf>
    <xf numFmtId="0" fontId="18" fillId="11" borderId="12" xfId="2" applyFont="1" applyFill="1" applyBorder="1" applyAlignment="1">
      <alignment horizontal="center" vertical="top"/>
    </xf>
    <xf numFmtId="0" fontId="18" fillId="11" borderId="19" xfId="2" applyFont="1" applyFill="1" applyBorder="1" applyAlignment="1">
      <alignment horizontal="center" vertical="top"/>
    </xf>
    <xf numFmtId="0" fontId="73" fillId="13" borderId="4" xfId="0" applyFont="1" applyFill="1" applyBorder="1" applyAlignment="1">
      <alignment horizontal="center"/>
    </xf>
    <xf numFmtId="1" fontId="7" fillId="13" borderId="5" xfId="2" applyNumberFormat="1" applyFont="1" applyFill="1" applyBorder="1" applyAlignment="1">
      <alignment horizontal="center"/>
    </xf>
    <xf numFmtId="1" fontId="50" fillId="13" borderId="21" xfId="0" applyNumberFormat="1" applyFont="1" applyFill="1" applyBorder="1" applyAlignment="1">
      <alignment horizontal="center"/>
    </xf>
    <xf numFmtId="1" fontId="7" fillId="13" borderId="20" xfId="2" applyNumberFormat="1" applyFont="1" applyFill="1" applyBorder="1" applyAlignment="1">
      <alignment horizontal="center"/>
    </xf>
    <xf numFmtId="0" fontId="73" fillId="14" borderId="4" xfId="0" applyFont="1" applyFill="1" applyBorder="1" applyAlignment="1">
      <alignment horizontal="center"/>
    </xf>
    <xf numFmtId="1" fontId="62" fillId="14" borderId="8" xfId="0" applyNumberFormat="1" applyFont="1" applyFill="1" applyBorder="1" applyAlignment="1">
      <alignment vertical="top"/>
    </xf>
    <xf numFmtId="1" fontId="50" fillId="14" borderId="21" xfId="0" applyNumberFormat="1" applyFont="1" applyFill="1" applyBorder="1" applyAlignment="1">
      <alignment horizontal="center"/>
    </xf>
    <xf numFmtId="1" fontId="62" fillId="14" borderId="27" xfId="0" applyNumberFormat="1" applyFont="1" applyFill="1" applyBorder="1" applyAlignment="1">
      <alignment vertical="top"/>
    </xf>
    <xf numFmtId="0" fontId="5" fillId="0" borderId="0" xfId="2" applyFont="1" applyAlignment="1">
      <alignment textRotation="90"/>
    </xf>
    <xf numFmtId="0" fontId="79" fillId="0" borderId="8" xfId="0" applyFont="1" applyBorder="1" applyAlignment="1">
      <alignment vertical="center" textRotation="90"/>
    </xf>
    <xf numFmtId="0" fontId="17" fillId="11" borderId="24" xfId="2" applyFont="1" applyFill="1" applyBorder="1" applyAlignment="1" applyProtection="1">
      <alignment horizontal="center" vertical="center"/>
      <protection locked="0" hidden="1"/>
    </xf>
    <xf numFmtId="0" fontId="80" fillId="0" borderId="8" xfId="0" applyFont="1" applyBorder="1" applyAlignment="1">
      <alignment vertical="center" wrapText="1"/>
    </xf>
    <xf numFmtId="0" fontId="11" fillId="0" borderId="0" xfId="2" applyFont="1" applyAlignment="1">
      <alignment horizontal="left" vertical="center" textRotation="90"/>
    </xf>
    <xf numFmtId="0" fontId="11" fillId="0" borderId="0" xfId="2" applyFont="1" applyAlignment="1">
      <alignment textRotation="90"/>
    </xf>
    <xf numFmtId="0" fontId="11" fillId="0" borderId="0" xfId="2" applyFont="1" applyAlignment="1">
      <alignment horizontal="center" vertical="center" textRotation="90"/>
    </xf>
    <xf numFmtId="0" fontId="11" fillId="0" borderId="0" xfId="2" applyFont="1" applyAlignment="1">
      <alignment horizontal="center" textRotation="90"/>
    </xf>
    <xf numFmtId="164" fontId="2" fillId="11" borderId="4" xfId="2" applyNumberFormat="1" applyFont="1" applyFill="1" applyBorder="1" applyAlignment="1">
      <alignment horizontal="center" vertical="center" wrapText="1"/>
    </xf>
    <xf numFmtId="0" fontId="50" fillId="11" borderId="4" xfId="0" applyFont="1" applyFill="1" applyBorder="1" applyAlignment="1">
      <alignment horizontal="center" vertical="center"/>
    </xf>
    <xf numFmtId="1" fontId="18" fillId="11" borderId="4" xfId="2" applyNumberFormat="1" applyFont="1" applyFill="1" applyBorder="1" applyAlignment="1">
      <alignment horizontal="center"/>
    </xf>
    <xf numFmtId="1" fontId="18" fillId="11" borderId="19" xfId="2" applyNumberFormat="1" applyFont="1" applyFill="1" applyBorder="1" applyAlignment="1">
      <alignment horizontal="center"/>
    </xf>
    <xf numFmtId="1" fontId="2" fillId="11" borderId="14" xfId="2" applyNumberFormat="1" applyFont="1" applyFill="1" applyBorder="1" applyAlignment="1">
      <alignment horizontal="center" vertical="center" wrapText="1"/>
    </xf>
    <xf numFmtId="1" fontId="18" fillId="11" borderId="21" xfId="2" applyNumberFormat="1" applyFont="1" applyFill="1" applyBorder="1" applyAlignment="1">
      <alignment horizontal="center"/>
    </xf>
    <xf numFmtId="1" fontId="7" fillId="11" borderId="13" xfId="2" applyNumberFormat="1" applyFont="1" applyFill="1" applyBorder="1" applyAlignment="1">
      <alignment horizontal="center" vertical="center" wrapText="1"/>
    </xf>
    <xf numFmtId="1" fontId="10" fillId="11" borderId="12" xfId="0" applyNumberFormat="1" applyFont="1" applyFill="1" applyBorder="1" applyAlignment="1">
      <alignment horizontal="center"/>
    </xf>
    <xf numFmtId="1" fontId="7" fillId="11" borderId="12" xfId="2" applyNumberFormat="1" applyFont="1" applyFill="1" applyBorder="1" applyAlignment="1">
      <alignment horizontal="center" vertical="center" wrapText="1"/>
    </xf>
    <xf numFmtId="164" fontId="11" fillId="10" borderId="8" xfId="2" applyNumberFormat="1" applyFont="1" applyFill="1" applyBorder="1" applyAlignment="1" applyProtection="1">
      <alignment horizontal="right"/>
      <protection locked="0" hidden="1"/>
    </xf>
    <xf numFmtId="0" fontId="4" fillId="11" borderId="47" xfId="2" applyFont="1" applyFill="1" applyBorder="1" applyAlignment="1">
      <alignment horizontal="right" vertical="top"/>
    </xf>
    <xf numFmtId="0" fontId="2" fillId="11" borderId="71" xfId="0" applyFont="1" applyFill="1" applyBorder="1" applyAlignment="1">
      <alignment wrapText="1"/>
    </xf>
    <xf numFmtId="0" fontId="50" fillId="11" borderId="47" xfId="0" applyFont="1" applyFill="1" applyBorder="1" applyAlignment="1">
      <alignment horizontal="center" vertical="center"/>
    </xf>
    <xf numFmtId="164" fontId="7" fillId="11" borderId="6" xfId="2" applyNumberFormat="1" applyFont="1" applyFill="1" applyBorder="1" applyAlignment="1">
      <alignment horizontal="center"/>
    </xf>
    <xf numFmtId="1" fontId="7" fillId="11" borderId="7" xfId="2" applyNumberFormat="1" applyFont="1" applyFill="1" applyBorder="1" applyAlignment="1">
      <alignment horizontal="center"/>
    </xf>
    <xf numFmtId="164" fontId="7" fillId="11" borderId="47" xfId="2" applyNumberFormat="1" applyFont="1" applyFill="1" applyBorder="1" applyAlignment="1">
      <alignment horizontal="center"/>
    </xf>
    <xf numFmtId="1" fontId="7" fillId="11" borderId="44" xfId="2" applyNumberFormat="1" applyFont="1" applyFill="1" applyBorder="1" applyAlignment="1">
      <alignment horizontal="center"/>
    </xf>
    <xf numFmtId="0" fontId="21" fillId="11" borderId="6" xfId="2" applyFont="1" applyFill="1" applyBorder="1" applyAlignment="1">
      <alignment horizontal="center" vertical="top"/>
    </xf>
    <xf numFmtId="1" fontId="18" fillId="11" borderId="32" xfId="0" applyNumberFormat="1" applyFont="1" applyFill="1" applyBorder="1" applyAlignment="1">
      <alignment vertical="top"/>
    </xf>
    <xf numFmtId="164" fontId="7" fillId="11" borderId="44" xfId="2" applyNumberFormat="1" applyFont="1" applyFill="1" applyBorder="1" applyAlignment="1">
      <alignment horizontal="center"/>
    </xf>
    <xf numFmtId="1" fontId="50" fillId="0" borderId="75" xfId="0" applyNumberFormat="1" applyFont="1" applyFill="1" applyBorder="1" applyAlignment="1">
      <alignment horizontal="center"/>
    </xf>
    <xf numFmtId="0" fontId="51" fillId="9" borderId="32" xfId="0" applyFont="1" applyFill="1" applyBorder="1" applyAlignment="1">
      <alignment horizontal="center"/>
    </xf>
    <xf numFmtId="164" fontId="2" fillId="8" borderId="32" xfId="2" applyNumberFormat="1" applyFont="1" applyFill="1" applyBorder="1" applyAlignment="1">
      <alignment horizontal="center" vertical="center" wrapText="1"/>
    </xf>
    <xf numFmtId="1" fontId="21" fillId="11" borderId="47" xfId="2" applyNumberFormat="1" applyFont="1" applyFill="1" applyBorder="1" applyAlignment="1">
      <alignment horizontal="center"/>
    </xf>
    <xf numFmtId="0" fontId="51" fillId="9" borderId="47" xfId="0" applyFont="1" applyFill="1" applyBorder="1" applyAlignment="1">
      <alignment horizontal="center"/>
    </xf>
    <xf numFmtId="164" fontId="18" fillId="11" borderId="44" xfId="2" applyNumberFormat="1" applyFont="1" applyFill="1" applyBorder="1" applyAlignment="1">
      <alignment horizontal="center"/>
    </xf>
    <xf numFmtId="164" fontId="7" fillId="11" borderId="7" xfId="2" applyNumberFormat="1" applyFont="1" applyFill="1" applyBorder="1" applyAlignment="1">
      <alignment horizontal="center"/>
    </xf>
    <xf numFmtId="164" fontId="7" fillId="11" borderId="44" xfId="2" quotePrefix="1" applyNumberFormat="1" applyFont="1" applyFill="1" applyBorder="1" applyAlignment="1">
      <alignment horizontal="center"/>
    </xf>
    <xf numFmtId="1" fontId="21" fillId="11" borderId="76" xfId="2" applyNumberFormat="1" applyFont="1" applyFill="1" applyBorder="1" applyAlignment="1">
      <alignment horizontal="center"/>
    </xf>
    <xf numFmtId="164" fontId="7" fillId="11" borderId="32" xfId="2" applyNumberFormat="1" applyFont="1" applyFill="1" applyBorder="1" applyAlignment="1">
      <alignment horizontal="center"/>
    </xf>
    <xf numFmtId="164" fontId="7" fillId="11" borderId="7" xfId="2" quotePrefix="1" applyNumberFormat="1" applyFont="1" applyFill="1" applyBorder="1" applyAlignment="1">
      <alignment horizontal="center"/>
    </xf>
    <xf numFmtId="0" fontId="1" fillId="11" borderId="44" xfId="2" applyFill="1" applyBorder="1"/>
    <xf numFmtId="0" fontId="4" fillId="11" borderId="8" xfId="2" applyFont="1" applyFill="1" applyBorder="1" applyAlignment="1">
      <alignment horizontal="right" vertical="top"/>
    </xf>
    <xf numFmtId="0" fontId="2" fillId="11" borderId="8" xfId="0" applyFont="1" applyFill="1" applyBorder="1" applyAlignment="1">
      <alignment wrapText="1"/>
    </xf>
    <xf numFmtId="0" fontId="50" fillId="11" borderId="8" xfId="0" applyFont="1" applyFill="1" applyBorder="1" applyAlignment="1">
      <alignment horizontal="center" vertical="center"/>
    </xf>
    <xf numFmtId="164" fontId="7" fillId="11" borderId="8" xfId="2" applyNumberFormat="1" applyFont="1" applyFill="1" applyBorder="1" applyAlignment="1">
      <alignment horizontal="center"/>
    </xf>
    <xf numFmtId="1" fontId="7" fillId="11" borderId="8" xfId="2" applyNumberFormat="1" applyFont="1" applyFill="1" applyBorder="1" applyAlignment="1">
      <alignment horizontal="center"/>
    </xf>
    <xf numFmtId="0" fontId="21" fillId="11" borderId="8" xfId="2" applyFont="1" applyFill="1" applyBorder="1" applyAlignment="1">
      <alignment horizontal="center" vertical="top"/>
    </xf>
    <xf numFmtId="1" fontId="18" fillId="11" borderId="8" xfId="0" applyNumberFormat="1" applyFont="1" applyFill="1" applyBorder="1" applyAlignment="1">
      <alignment vertical="top"/>
    </xf>
    <xf numFmtId="1" fontId="50" fillId="0" borderId="8" xfId="0" applyNumberFormat="1" applyFont="1" applyFill="1" applyBorder="1" applyAlignment="1">
      <alignment horizontal="center"/>
    </xf>
    <xf numFmtId="1" fontId="21" fillId="11" borderId="8" xfId="2" applyNumberFormat="1" applyFont="1" applyFill="1" applyBorder="1" applyAlignment="1">
      <alignment horizontal="center"/>
    </xf>
    <xf numFmtId="164" fontId="18" fillId="11" borderId="8" xfId="2" applyNumberFormat="1" applyFont="1" applyFill="1" applyBorder="1" applyAlignment="1">
      <alignment horizontal="center"/>
    </xf>
    <xf numFmtId="164" fontId="7" fillId="11" borderId="8" xfId="2" quotePrefix="1" applyNumberFormat="1" applyFont="1" applyFill="1" applyBorder="1" applyAlignment="1">
      <alignment horizontal="center"/>
    </xf>
    <xf numFmtId="0" fontId="1" fillId="11" borderId="8" xfId="2" applyFill="1" applyBorder="1"/>
    <xf numFmtId="0" fontId="51" fillId="11" borderId="8" xfId="0" applyFont="1" applyFill="1" applyBorder="1" applyAlignment="1">
      <alignment horizontal="center"/>
    </xf>
    <xf numFmtId="1" fontId="2" fillId="11" borderId="55" xfId="2" applyNumberFormat="1" applyFont="1" applyFill="1" applyBorder="1" applyAlignment="1">
      <alignment horizontal="center" vertical="center" wrapText="1"/>
    </xf>
    <xf numFmtId="1" fontId="50" fillId="11" borderId="38" xfId="0" applyNumberFormat="1" applyFont="1" applyFill="1" applyBorder="1" applyAlignment="1">
      <alignment horizontal="center"/>
    </xf>
    <xf numFmtId="1" fontId="2" fillId="11" borderId="38" xfId="2" applyNumberFormat="1" applyFont="1" applyFill="1" applyBorder="1" applyAlignment="1">
      <alignment horizontal="center" vertical="center" wrapText="1"/>
    </xf>
    <xf numFmtId="164" fontId="7" fillId="11" borderId="38" xfId="2" applyNumberFormat="1" applyFont="1" applyFill="1" applyBorder="1" applyAlignment="1">
      <alignment horizontal="center"/>
    </xf>
    <xf numFmtId="1" fontId="46" fillId="11" borderId="38" xfId="2" applyNumberFormat="1" applyFont="1" applyFill="1" applyBorder="1" applyAlignment="1">
      <alignment horizontal="center" vertical="center" wrapText="1"/>
    </xf>
    <xf numFmtId="1" fontId="47" fillId="11" borderId="53" xfId="0" applyNumberFormat="1" applyFont="1" applyFill="1" applyBorder="1" applyAlignment="1">
      <alignment horizontal="center"/>
    </xf>
    <xf numFmtId="0" fontId="84" fillId="11" borderId="12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 vertical="center"/>
    </xf>
    <xf numFmtId="1" fontId="35" fillId="11" borderId="12" xfId="2" applyNumberFormat="1" applyFont="1" applyFill="1" applyBorder="1" applyAlignment="1">
      <alignment horizontal="center"/>
    </xf>
    <xf numFmtId="1" fontId="35" fillId="11" borderId="19" xfId="2" applyNumberFormat="1" applyFont="1" applyFill="1" applyBorder="1" applyAlignment="1">
      <alignment horizontal="center"/>
    </xf>
    <xf numFmtId="1" fontId="7" fillId="11" borderId="14" xfId="2" applyNumberFormat="1" applyFont="1" applyFill="1" applyBorder="1" applyAlignment="1">
      <alignment horizontal="center" vertical="center" wrapText="1"/>
    </xf>
    <xf numFmtId="1" fontId="10" fillId="11" borderId="4" xfId="0" applyNumberFormat="1" applyFont="1" applyFill="1" applyBorder="1" applyAlignment="1">
      <alignment horizontal="center"/>
    </xf>
    <xf numFmtId="1" fontId="7" fillId="11" borderId="4" xfId="2" applyNumberFormat="1" applyFont="1" applyFill="1" applyBorder="1" applyAlignment="1">
      <alignment horizontal="center" vertical="center" wrapText="1"/>
    </xf>
    <xf numFmtId="1" fontId="7" fillId="11" borderId="37" xfId="2" applyNumberFormat="1" applyFont="1" applyFill="1" applyBorder="1" applyAlignment="1">
      <alignment horizontal="center" vertical="center" wrapText="1"/>
    </xf>
    <xf numFmtId="1" fontId="10" fillId="11" borderId="36" xfId="0" applyNumberFormat="1" applyFont="1" applyFill="1" applyBorder="1" applyAlignment="1">
      <alignment horizontal="center"/>
    </xf>
    <xf numFmtId="1" fontId="7" fillId="11" borderId="36" xfId="2" applyNumberFormat="1" applyFont="1" applyFill="1" applyBorder="1" applyAlignment="1">
      <alignment horizontal="center" vertical="center" wrapText="1"/>
    </xf>
    <xf numFmtId="1" fontId="85" fillId="11" borderId="51" xfId="0" applyNumberFormat="1" applyFont="1" applyFill="1" applyBorder="1" applyAlignment="1">
      <alignment horizontal="center"/>
    </xf>
    <xf numFmtId="164" fontId="62" fillId="11" borderId="5" xfId="2" applyNumberFormat="1" applyFont="1" applyFill="1" applyBorder="1" applyAlignment="1">
      <alignment horizontal="center"/>
    </xf>
    <xf numFmtId="0" fontId="5" fillId="10" borderId="13" xfId="2" applyFont="1" applyFill="1" applyBorder="1" applyAlignment="1">
      <alignment horizontal="left"/>
    </xf>
    <xf numFmtId="0" fontId="6" fillId="10" borderId="11" xfId="2" applyFont="1" applyFill="1" applyBorder="1" applyAlignment="1">
      <alignment horizontal="left"/>
    </xf>
    <xf numFmtId="165" fontId="5" fillId="10" borderId="22" xfId="2" applyNumberFormat="1" applyFont="1" applyFill="1" applyBorder="1" applyAlignment="1">
      <alignment horizontal="center"/>
    </xf>
    <xf numFmtId="165" fontId="5" fillId="10" borderId="52" xfId="2" applyNumberFormat="1" applyFont="1" applyFill="1" applyBorder="1" applyAlignment="1">
      <alignment horizontal="center"/>
    </xf>
    <xf numFmtId="0" fontId="1" fillId="10" borderId="11" xfId="2" applyFill="1" applyBorder="1"/>
    <xf numFmtId="164" fontId="7" fillId="10" borderId="12" xfId="2" applyNumberFormat="1" applyFont="1" applyFill="1" applyBorder="1" applyAlignment="1">
      <alignment horizontal="center"/>
    </xf>
    <xf numFmtId="0" fontId="1" fillId="10" borderId="16" xfId="2" applyFill="1" applyBorder="1"/>
    <xf numFmtId="164" fontId="7" fillId="10" borderId="19" xfId="2" applyNumberFormat="1" applyFont="1" applyFill="1" applyBorder="1" applyAlignment="1">
      <alignment horizontal="center"/>
    </xf>
    <xf numFmtId="0" fontId="1" fillId="10" borderId="18" xfId="2" applyFill="1" applyBorder="1"/>
    <xf numFmtId="165" fontId="5" fillId="10" borderId="45" xfId="2" applyNumberFormat="1" applyFont="1" applyFill="1" applyBorder="1" applyAlignment="1">
      <alignment horizontal="center"/>
    </xf>
    <xf numFmtId="165" fontId="5" fillId="10" borderId="46" xfId="2" applyNumberFormat="1" applyFont="1" applyFill="1" applyBorder="1" applyAlignment="1">
      <alignment horizontal="center"/>
    </xf>
    <xf numFmtId="164" fontId="7" fillId="10" borderId="14" xfId="2" applyNumberFormat="1" applyFont="1" applyFill="1" applyBorder="1" applyAlignment="1">
      <alignment horizontal="center"/>
    </xf>
    <xf numFmtId="164" fontId="64" fillId="10" borderId="4" xfId="2" applyNumberFormat="1" applyFont="1" applyFill="1" applyBorder="1" applyAlignment="1">
      <alignment horizontal="center"/>
    </xf>
    <xf numFmtId="0" fontId="66" fillId="10" borderId="16" xfId="2" applyFont="1" applyFill="1" applyBorder="1"/>
    <xf numFmtId="164" fontId="7" fillId="10" borderId="4" xfId="2" applyNumberFormat="1" applyFont="1" applyFill="1" applyBorder="1" applyAlignment="1">
      <alignment horizontal="center"/>
    </xf>
    <xf numFmtId="0" fontId="1" fillId="10" borderId="16" xfId="2" applyFont="1" applyFill="1" applyBorder="1"/>
    <xf numFmtId="164" fontId="7" fillId="10" borderId="21" xfId="2" applyNumberFormat="1" applyFont="1" applyFill="1" applyBorder="1" applyAlignment="1">
      <alignment horizontal="center"/>
    </xf>
    <xf numFmtId="0" fontId="86" fillId="11" borderId="8" xfId="0" applyFont="1" applyFill="1" applyBorder="1" applyAlignment="1">
      <alignment vertical="center" textRotation="90"/>
    </xf>
    <xf numFmtId="0" fontId="17" fillId="11" borderId="24" xfId="2" applyFont="1" applyFill="1" applyBorder="1" applyAlignment="1" applyProtection="1">
      <alignment horizontal="center" vertical="center" wrapText="1"/>
      <protection locked="0" hidden="1"/>
    </xf>
    <xf numFmtId="164" fontId="35" fillId="10" borderId="8" xfId="1" applyNumberFormat="1" applyFont="1" applyFill="1" applyBorder="1" applyAlignment="1">
      <alignment vertical="top"/>
    </xf>
    <xf numFmtId="0" fontId="0" fillId="11" borderId="64" xfId="0" applyFill="1" applyBorder="1"/>
    <xf numFmtId="0" fontId="0" fillId="11" borderId="57" xfId="0" applyFill="1" applyBorder="1"/>
    <xf numFmtId="1" fontId="87" fillId="0" borderId="0" xfId="2" applyNumberFormat="1" applyFont="1" applyFill="1" applyBorder="1" applyAlignment="1">
      <alignment horizontal="center"/>
    </xf>
    <xf numFmtId="164" fontId="35" fillId="11" borderId="18" xfId="2" applyNumberFormat="1" applyFont="1" applyFill="1" applyBorder="1" applyAlignment="1">
      <alignment horizontal="center"/>
    </xf>
    <xf numFmtId="1" fontId="35" fillId="0" borderId="0" xfId="2" applyNumberFormat="1" applyFont="1" applyFill="1" applyBorder="1" applyAlignment="1">
      <alignment horizontal="center"/>
    </xf>
    <xf numFmtId="164" fontId="11" fillId="10" borderId="8" xfId="2" applyNumberFormat="1" applyFont="1" applyFill="1" applyBorder="1" applyAlignment="1" applyProtection="1">
      <alignment horizontal="right" vertical="center" wrapText="1"/>
      <protection locked="0" hidden="1"/>
    </xf>
    <xf numFmtId="0" fontId="57" fillId="15" borderId="11" xfId="0" applyFont="1" applyFill="1" applyBorder="1" applyAlignment="1">
      <alignment vertical="center"/>
    </xf>
    <xf numFmtId="0" fontId="4" fillId="15" borderId="13" xfId="2" applyFont="1" applyFill="1" applyBorder="1"/>
    <xf numFmtId="0" fontId="51" fillId="15" borderId="13" xfId="0" applyFont="1" applyFill="1" applyBorder="1" applyAlignment="1">
      <alignment horizontal="center"/>
    </xf>
    <xf numFmtId="164" fontId="7" fillId="15" borderId="24" xfId="2" applyNumberFormat="1" applyFont="1" applyFill="1" applyBorder="1" applyAlignment="1">
      <alignment horizontal="center" vertical="center" wrapText="1"/>
    </xf>
    <xf numFmtId="164" fontId="2" fillId="15" borderId="11" xfId="2" applyNumberFormat="1" applyFont="1" applyFill="1" applyBorder="1" applyAlignment="1">
      <alignment horizontal="center" vertical="center" wrapText="1"/>
    </xf>
    <xf numFmtId="0" fontId="73" fillId="15" borderId="14" xfId="0" applyFont="1" applyFill="1" applyBorder="1" applyAlignment="1">
      <alignment horizontal="center"/>
    </xf>
    <xf numFmtId="164" fontId="35" fillId="15" borderId="10" xfId="2" applyNumberFormat="1" applyFont="1" applyFill="1" applyBorder="1" applyAlignment="1">
      <alignment horizontal="center" vertical="center" wrapText="1"/>
    </xf>
    <xf numFmtId="0" fontId="73" fillId="15" borderId="13" xfId="0" applyFont="1" applyFill="1" applyBorder="1" applyAlignment="1">
      <alignment horizontal="center"/>
    </xf>
    <xf numFmtId="164" fontId="35" fillId="15" borderId="11" xfId="2" applyNumberFormat="1" applyFont="1" applyFill="1" applyBorder="1" applyAlignment="1">
      <alignment horizontal="center" vertical="center" wrapText="1"/>
    </xf>
    <xf numFmtId="1" fontId="62" fillId="15" borderId="24" xfId="2" applyNumberFormat="1" applyFont="1" applyFill="1" applyBorder="1" applyAlignment="1">
      <alignment horizontal="right" vertical="center" wrapText="1"/>
    </xf>
    <xf numFmtId="164" fontId="18" fillId="15" borderId="10" xfId="2" applyNumberFormat="1" applyFont="1" applyFill="1" applyBorder="1" applyAlignment="1">
      <alignment horizontal="center" vertical="center" wrapText="1"/>
    </xf>
    <xf numFmtId="0" fontId="73" fillId="15" borderId="15" xfId="0" applyFont="1" applyFill="1" applyBorder="1" applyAlignment="1">
      <alignment horizontal="center"/>
    </xf>
    <xf numFmtId="0" fontId="51" fillId="15" borderId="8" xfId="0" applyFont="1" applyFill="1" applyBorder="1" applyAlignment="1">
      <alignment horizontal="center"/>
    </xf>
    <xf numFmtId="164" fontId="2" fillId="15" borderId="8" xfId="2" applyNumberFormat="1" applyFont="1" applyFill="1" applyBorder="1" applyAlignment="1">
      <alignment horizontal="center" vertical="center" wrapText="1"/>
    </xf>
    <xf numFmtId="164" fontId="7" fillId="15" borderId="14" xfId="2" applyNumberFormat="1" applyFont="1" applyFill="1" applyBorder="1" applyAlignment="1">
      <alignment horizontal="center"/>
    </xf>
    <xf numFmtId="164" fontId="7" fillId="15" borderId="10" xfId="2" applyNumberFormat="1" applyFont="1" applyFill="1" applyBorder="1" applyAlignment="1">
      <alignment horizontal="center"/>
    </xf>
    <xf numFmtId="164" fontId="7" fillId="15" borderId="13" xfId="2" applyNumberFormat="1" applyFont="1" applyFill="1" applyBorder="1" applyAlignment="1">
      <alignment horizontal="center"/>
    </xf>
    <xf numFmtId="164" fontId="7" fillId="15" borderId="11" xfId="2" applyNumberFormat="1" applyFont="1" applyFill="1" applyBorder="1" applyAlignment="1">
      <alignment horizontal="center"/>
    </xf>
    <xf numFmtId="0" fontId="73" fillId="15" borderId="37" xfId="0" applyFont="1" applyFill="1" applyBorder="1" applyAlignment="1">
      <alignment horizontal="center"/>
    </xf>
    <xf numFmtId="164" fontId="18" fillId="15" borderId="11" xfId="2" quotePrefix="1" applyNumberFormat="1" applyFont="1" applyFill="1" applyBorder="1" applyAlignment="1">
      <alignment horizontal="center"/>
    </xf>
    <xf numFmtId="0" fontId="1" fillId="15" borderId="11" xfId="2" applyFill="1" applyBorder="1"/>
    <xf numFmtId="0" fontId="1" fillId="15" borderId="0" xfId="2" applyFill="1"/>
    <xf numFmtId="0" fontId="57" fillId="15" borderId="16" xfId="0" applyFont="1" applyFill="1" applyBorder="1" applyAlignment="1">
      <alignment vertical="center"/>
    </xf>
    <xf numFmtId="164" fontId="2" fillId="12" borderId="8" xfId="2" applyNumberFormat="1" applyFont="1" applyFill="1" applyBorder="1" applyAlignment="1">
      <alignment horizontal="center" vertical="center" wrapText="1"/>
    </xf>
    <xf numFmtId="164" fontId="11" fillId="10" borderId="8" xfId="2" applyNumberFormat="1" applyFont="1" applyFill="1" applyBorder="1" applyAlignment="1"/>
    <xf numFmtId="164" fontId="11" fillId="10" borderId="8" xfId="2" applyNumberFormat="1" applyFont="1" applyFill="1" applyBorder="1" applyAlignment="1" applyProtection="1">
      <protection locked="0" hidden="1"/>
    </xf>
    <xf numFmtId="164" fontId="11" fillId="10" borderId="8" xfId="2" applyNumberFormat="1" applyFont="1" applyFill="1" applyBorder="1" applyAlignment="1">
      <alignment vertical="center" wrapText="1"/>
    </xf>
    <xf numFmtId="0" fontId="84" fillId="11" borderId="13" xfId="0" applyFont="1" applyFill="1" applyBorder="1" applyAlignment="1">
      <alignment horizontal="center"/>
    </xf>
    <xf numFmtId="164" fontId="18" fillId="16" borderId="5" xfId="2" applyNumberFormat="1" applyFont="1" applyFill="1" applyBorder="1" applyAlignment="1">
      <alignment horizontal="center"/>
    </xf>
    <xf numFmtId="164" fontId="2" fillId="11" borderId="8" xfId="2" applyNumberFormat="1" applyFont="1" applyFill="1" applyBorder="1" applyAlignment="1">
      <alignment horizontal="center" vertical="center" wrapText="1"/>
    </xf>
    <xf numFmtId="0" fontId="72" fillId="12" borderId="38" xfId="0" applyFont="1" applyFill="1" applyBorder="1"/>
    <xf numFmtId="0" fontId="0" fillId="12" borderId="38" xfId="0" applyFill="1" applyBorder="1"/>
    <xf numFmtId="0" fontId="0" fillId="17" borderId="38" xfId="0" applyFill="1" applyBorder="1"/>
    <xf numFmtId="164" fontId="33" fillId="10" borderId="16" xfId="2" applyNumberFormat="1" applyFont="1" applyFill="1" applyBorder="1" applyAlignment="1">
      <alignment horizontal="center"/>
    </xf>
    <xf numFmtId="0" fontId="0" fillId="12" borderId="57" xfId="0" applyFill="1" applyBorder="1"/>
    <xf numFmtId="0" fontId="39" fillId="12" borderId="57" xfId="0" applyFont="1" applyFill="1" applyBorder="1"/>
    <xf numFmtId="1" fontId="0" fillId="0" borderId="0" xfId="0" applyNumberFormat="1" applyFont="1" applyFill="1"/>
    <xf numFmtId="0" fontId="0" fillId="0" borderId="0" xfId="0" applyFont="1" applyFill="1"/>
    <xf numFmtId="0" fontId="0" fillId="0" borderId="0" xfId="0" applyFont="1"/>
    <xf numFmtId="14" fontId="0" fillId="11" borderId="34" xfId="0" applyNumberFormat="1" applyFill="1" applyBorder="1"/>
    <xf numFmtId="0" fontId="0" fillId="11" borderId="34" xfId="0" applyFill="1" applyBorder="1"/>
    <xf numFmtId="1" fontId="15" fillId="0" borderId="0" xfId="0" applyNumberFormat="1" applyFont="1" applyFill="1" applyBorder="1"/>
    <xf numFmtId="0" fontId="0" fillId="0" borderId="0" xfId="0" applyFont="1" applyBorder="1"/>
    <xf numFmtId="1" fontId="0" fillId="11" borderId="0" xfId="0" applyNumberFormat="1" applyFont="1" applyFill="1" applyBorder="1"/>
    <xf numFmtId="0" fontId="0" fillId="11" borderId="0" xfId="0" applyFont="1" applyFill="1" applyBorder="1"/>
    <xf numFmtId="1" fontId="15" fillId="11" borderId="0" xfId="0" applyNumberFormat="1" applyFont="1" applyFill="1" applyBorder="1"/>
    <xf numFmtId="164" fontId="7" fillId="10" borderId="16" xfId="2" applyNumberFormat="1" applyFont="1" applyFill="1" applyBorder="1" applyAlignment="1">
      <alignment horizontal="center"/>
    </xf>
    <xf numFmtId="0" fontId="57" fillId="18" borderId="16" xfId="0" applyFont="1" applyFill="1" applyBorder="1" applyAlignment="1">
      <alignment vertical="center"/>
    </xf>
    <xf numFmtId="0" fontId="25" fillId="0" borderId="41" xfId="0" applyFont="1" applyBorder="1" applyAlignment="1">
      <alignment horizontal="center" vertical="top"/>
    </xf>
    <xf numFmtId="0" fontId="25" fillId="0" borderId="29" xfId="0" applyFont="1" applyBorder="1" applyAlignment="1">
      <alignment horizontal="center" vertical="top"/>
    </xf>
    <xf numFmtId="0" fontId="25" fillId="0" borderId="24" xfId="0" applyFont="1" applyBorder="1" applyAlignment="1">
      <alignment horizontal="center" wrapText="1"/>
    </xf>
    <xf numFmtId="0" fontId="25" fillId="0" borderId="27" xfId="0" applyFont="1" applyBorder="1" applyAlignment="1">
      <alignment horizontal="center" wrapText="1"/>
    </xf>
    <xf numFmtId="0" fontId="25" fillId="0" borderId="41" xfId="0" applyFont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24" fillId="0" borderId="41" xfId="0" applyFont="1" applyBorder="1" applyAlignment="1">
      <alignment horizontal="center" vertical="top"/>
    </xf>
    <xf numFmtId="0" fontId="24" fillId="0" borderId="29" xfId="0" applyFont="1" applyBorder="1" applyAlignment="1">
      <alignment horizontal="center" vertical="top"/>
    </xf>
    <xf numFmtId="0" fontId="5" fillId="0" borderId="22" xfId="2" applyFont="1" applyBorder="1" applyAlignment="1">
      <alignment horizontal="left"/>
    </xf>
    <xf numFmtId="0" fontId="5" fillId="0" borderId="52" xfId="2" applyFont="1" applyBorder="1" applyAlignment="1">
      <alignment horizontal="left"/>
    </xf>
    <xf numFmtId="0" fontId="12" fillId="0" borderId="47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44" xfId="2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3" fillId="0" borderId="32" xfId="2" applyFont="1" applyBorder="1" applyAlignment="1">
      <alignment horizontal="center" vertical="top" wrapText="1"/>
    </xf>
    <xf numFmtId="0" fontId="13" fillId="0" borderId="29" xfId="2" applyFont="1" applyBorder="1" applyAlignment="1">
      <alignment horizontal="center" vertical="top" wrapText="1"/>
    </xf>
    <xf numFmtId="0" fontId="22" fillId="0" borderId="32" xfId="2" applyFont="1" applyBorder="1" applyAlignment="1">
      <alignment horizontal="center" vertical="top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0" fontId="12" fillId="0" borderId="6" xfId="2" applyFont="1" applyBorder="1" applyAlignment="1">
      <alignment horizontal="center" vertical="top" wrapText="1"/>
    </xf>
    <xf numFmtId="0" fontId="14" fillId="0" borderId="56" xfId="0" applyFont="1" applyBorder="1" applyAlignment="1">
      <alignment vertical="top" wrapText="1"/>
    </xf>
    <xf numFmtId="0" fontId="12" fillId="0" borderId="47" xfId="2" applyFont="1" applyFill="1" applyBorder="1" applyAlignment="1">
      <alignment horizontal="center" vertical="top" wrapText="1"/>
    </xf>
    <xf numFmtId="0" fontId="14" fillId="0" borderId="28" xfId="0" applyFont="1" applyFill="1" applyBorder="1" applyAlignment="1">
      <alignment vertical="top" wrapText="1"/>
    </xf>
    <xf numFmtId="0" fontId="5" fillId="0" borderId="24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5" fillId="0" borderId="10" xfId="2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66" xfId="2" applyFont="1" applyBorder="1" applyAlignment="1">
      <alignment horizontal="left"/>
    </xf>
    <xf numFmtId="0" fontId="5" fillId="0" borderId="10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22" fillId="0" borderId="29" xfId="2" applyFont="1" applyBorder="1" applyAlignment="1">
      <alignment horizontal="center" vertical="top" wrapText="1"/>
    </xf>
    <xf numFmtId="0" fontId="5" fillId="0" borderId="7" xfId="2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0" fontId="4" fillId="0" borderId="59" xfId="2" applyFont="1" applyBorder="1" applyAlignment="1"/>
    <xf numFmtId="0" fontId="4" fillId="0" borderId="33" xfId="2" applyFont="1" applyBorder="1" applyAlignment="1"/>
    <xf numFmtId="0" fontId="5" fillId="0" borderId="49" xfId="2" applyFont="1" applyBorder="1" applyAlignment="1">
      <alignment horizontal="left" vertical="center" textRotation="90" wrapText="1"/>
    </xf>
    <xf numFmtId="0" fontId="1" fillId="0" borderId="57" xfId="2" applyBorder="1" applyAlignment="1">
      <alignment horizontal="left" vertical="center" textRotation="90" wrapText="1"/>
    </xf>
    <xf numFmtId="0" fontId="1" fillId="0" borderId="68" xfId="2" applyBorder="1" applyAlignment="1">
      <alignment horizontal="left" vertical="center" textRotation="90" wrapText="1"/>
    </xf>
    <xf numFmtId="0" fontId="5" fillId="0" borderId="39" xfId="2" applyFont="1" applyBorder="1" applyAlignment="1">
      <alignment horizontal="left" vertical="center" textRotation="90" wrapText="1"/>
    </xf>
    <xf numFmtId="0" fontId="1" fillId="0" borderId="61" xfId="2" applyBorder="1" applyAlignment="1">
      <alignment horizontal="left" vertical="center" textRotation="90" wrapText="1"/>
    </xf>
    <xf numFmtId="0" fontId="5" fillId="0" borderId="40" xfId="2" applyFont="1" applyBorder="1" applyAlignment="1">
      <alignment horizontal="left" vertical="center" textRotation="90" wrapText="1"/>
    </xf>
    <xf numFmtId="0" fontId="1" fillId="0" borderId="65" xfId="2" applyBorder="1" applyAlignment="1">
      <alignment horizontal="left" vertical="center" textRotation="90" wrapText="1"/>
    </xf>
    <xf numFmtId="0" fontId="5" fillId="11" borderId="44" xfId="2" applyFont="1" applyFill="1" applyBorder="1" applyAlignment="1">
      <alignment horizontal="center" vertical="top" wrapText="1"/>
    </xf>
    <xf numFmtId="0" fontId="15" fillId="11" borderId="30" xfId="0" applyFont="1" applyFill="1" applyBorder="1" applyAlignment="1">
      <alignment horizontal="center" vertical="top" wrapText="1"/>
    </xf>
    <xf numFmtId="0" fontId="5" fillId="11" borderId="22" xfId="2" applyFont="1" applyFill="1" applyBorder="1" applyAlignment="1">
      <alignment horizontal="left"/>
    </xf>
    <xf numFmtId="0" fontId="5" fillId="11" borderId="52" xfId="2" applyFont="1" applyFill="1" applyBorder="1" applyAlignment="1">
      <alignment horizontal="left"/>
    </xf>
    <xf numFmtId="0" fontId="5" fillId="11" borderId="66" xfId="2" applyFont="1" applyFill="1" applyBorder="1" applyAlignment="1">
      <alignment horizontal="left"/>
    </xf>
    <xf numFmtId="0" fontId="5" fillId="11" borderId="10" xfId="2" applyFont="1" applyFill="1" applyBorder="1" applyAlignment="1">
      <alignment horizontal="left"/>
    </xf>
    <xf numFmtId="0" fontId="5" fillId="11" borderId="13" xfId="2" applyFont="1" applyFill="1" applyBorder="1" applyAlignment="1">
      <alignment horizontal="center"/>
    </xf>
    <xf numFmtId="0" fontId="5" fillId="11" borderId="10" xfId="2" applyFont="1" applyFill="1" applyBorder="1" applyAlignment="1">
      <alignment horizontal="center"/>
    </xf>
    <xf numFmtId="0" fontId="22" fillId="11" borderId="32" xfId="2" applyFont="1" applyFill="1" applyBorder="1" applyAlignment="1">
      <alignment horizontal="center" vertical="top" wrapText="1"/>
    </xf>
    <xf numFmtId="0" fontId="13" fillId="11" borderId="29" xfId="2" applyFont="1" applyFill="1" applyBorder="1" applyAlignment="1">
      <alignment horizontal="center" vertical="top" wrapText="1"/>
    </xf>
    <xf numFmtId="0" fontId="12" fillId="11" borderId="47" xfId="2" applyFont="1" applyFill="1" applyBorder="1" applyAlignment="1">
      <alignment horizontal="center" vertical="top" wrapText="1"/>
    </xf>
    <xf numFmtId="0" fontId="14" fillId="11" borderId="28" xfId="0" applyFont="1" applyFill="1" applyBorder="1" applyAlignment="1">
      <alignment vertical="top" wrapText="1"/>
    </xf>
    <xf numFmtId="0" fontId="12" fillId="11" borderId="6" xfId="2" applyFont="1" applyFill="1" applyBorder="1" applyAlignment="1">
      <alignment horizontal="center" vertical="top" wrapText="1"/>
    </xf>
    <xf numFmtId="0" fontId="14" fillId="11" borderId="56" xfId="0" applyFont="1" applyFill="1" applyBorder="1" applyAlignment="1">
      <alignment vertical="top" wrapText="1"/>
    </xf>
    <xf numFmtId="0" fontId="5" fillId="11" borderId="15" xfId="2" applyFont="1" applyFill="1" applyBorder="1" applyAlignment="1">
      <alignment horizontal="center"/>
    </xf>
    <xf numFmtId="0" fontId="5" fillId="11" borderId="11" xfId="2" applyFont="1" applyFill="1" applyBorder="1" applyAlignment="1">
      <alignment horizontal="center"/>
    </xf>
    <xf numFmtId="165" fontId="5" fillId="11" borderId="59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65" fontId="5" fillId="11" borderId="60" xfId="2" applyNumberFormat="1" applyFont="1" applyFill="1" applyBorder="1" applyAlignment="1">
      <alignment horizontal="center"/>
    </xf>
    <xf numFmtId="0" fontId="12" fillId="11" borderId="12" xfId="2" applyFont="1" applyFill="1" applyBorder="1" applyAlignment="1">
      <alignment horizontal="center" vertical="top" wrapText="1"/>
    </xf>
    <xf numFmtId="0" fontId="14" fillId="11" borderId="47" xfId="0" applyFont="1" applyFill="1" applyBorder="1" applyAlignment="1">
      <alignment vertical="top" wrapText="1"/>
    </xf>
    <xf numFmtId="0" fontId="14" fillId="11" borderId="65" xfId="0" applyFont="1" applyFill="1" applyBorder="1" applyAlignment="1">
      <alignment vertical="top" wrapText="1"/>
    </xf>
    <xf numFmtId="0" fontId="13" fillId="11" borderId="32" xfId="2" applyFont="1" applyFill="1" applyBorder="1" applyAlignment="1">
      <alignment horizontal="center" vertical="top" wrapText="1"/>
    </xf>
    <xf numFmtId="0" fontId="49" fillId="11" borderId="8" xfId="2" applyFont="1" applyFill="1" applyBorder="1" applyAlignment="1">
      <alignment horizontal="center" vertical="top" wrapText="1"/>
    </xf>
    <xf numFmtId="0" fontId="49" fillId="11" borderId="32" xfId="2" applyFont="1" applyFill="1" applyBorder="1" applyAlignment="1">
      <alignment horizontal="center" vertical="top" wrapText="1"/>
    </xf>
    <xf numFmtId="0" fontId="5" fillId="0" borderId="55" xfId="2" applyFont="1" applyBorder="1" applyAlignment="1">
      <alignment horizontal="left" vertical="center" textRotation="90" wrapText="1"/>
    </xf>
    <xf numFmtId="0" fontId="1" fillId="0" borderId="38" xfId="2" applyBorder="1" applyAlignment="1">
      <alignment horizontal="left" vertical="center" textRotation="90" wrapText="1"/>
    </xf>
    <xf numFmtId="0" fontId="5" fillId="11" borderId="24" xfId="2" applyFont="1" applyFill="1" applyBorder="1" applyAlignment="1">
      <alignment horizontal="center"/>
    </xf>
    <xf numFmtId="0" fontId="22" fillId="11" borderId="29" xfId="2" applyFont="1" applyFill="1" applyBorder="1" applyAlignment="1">
      <alignment horizontal="center" vertical="top" wrapText="1"/>
    </xf>
    <xf numFmtId="0" fontId="5" fillId="0" borderId="39" xfId="2" applyFont="1" applyBorder="1" applyAlignment="1">
      <alignment horizontal="left" vertical="center" wrapText="1"/>
    </xf>
    <xf numFmtId="0" fontId="5" fillId="0" borderId="61" xfId="2" applyFont="1" applyBorder="1" applyAlignment="1">
      <alignment horizontal="left" vertical="center" wrapText="1"/>
    </xf>
    <xf numFmtId="0" fontId="4" fillId="0" borderId="61" xfId="2" applyFont="1" applyBorder="1" applyAlignment="1">
      <alignment horizontal="left" vertical="center" wrapText="1"/>
    </xf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165" fontId="5" fillId="7" borderId="60" xfId="2" applyNumberFormat="1" applyFont="1" applyFill="1" applyBorder="1" applyAlignment="1">
      <alignment horizontal="center"/>
    </xf>
    <xf numFmtId="165" fontId="5" fillId="0" borderId="69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0" fontId="5" fillId="0" borderId="39" xfId="2" applyFont="1" applyBorder="1" applyAlignment="1">
      <alignment horizontal="center" vertical="center" wrapText="1"/>
    </xf>
    <xf numFmtId="0" fontId="5" fillId="0" borderId="61" xfId="2" applyFont="1" applyBorder="1" applyAlignment="1">
      <alignment horizontal="center" vertical="center" wrapText="1"/>
    </xf>
    <xf numFmtId="0" fontId="4" fillId="0" borderId="61" xfId="2" applyFont="1" applyBorder="1" applyAlignment="1">
      <alignment horizontal="center" vertical="center" wrapText="1"/>
    </xf>
    <xf numFmtId="0" fontId="5" fillId="10" borderId="22" xfId="2" applyFont="1" applyFill="1" applyBorder="1" applyAlignment="1">
      <alignment horizontal="left"/>
    </xf>
    <xf numFmtId="0" fontId="5" fillId="10" borderId="52" xfId="2" applyFont="1" applyFill="1" applyBorder="1" applyAlignment="1">
      <alignment horizontal="left"/>
    </xf>
    <xf numFmtId="0" fontId="5" fillId="10" borderId="44" xfId="2" applyFont="1" applyFill="1" applyBorder="1" applyAlignment="1">
      <alignment horizontal="center" vertical="top" wrapText="1"/>
    </xf>
    <xf numFmtId="0" fontId="15" fillId="10" borderId="30" xfId="0" applyFont="1" applyFill="1" applyBorder="1" applyAlignment="1">
      <alignment horizontal="center" vertical="top" wrapText="1"/>
    </xf>
    <xf numFmtId="0" fontId="12" fillId="10" borderId="47" xfId="2" applyFont="1" applyFill="1" applyBorder="1" applyAlignment="1">
      <alignment horizontal="center" vertical="top" wrapText="1"/>
    </xf>
    <xf numFmtId="0" fontId="14" fillId="10" borderId="28" xfId="0" applyFont="1" applyFill="1" applyBorder="1" applyAlignment="1">
      <alignment vertical="top" wrapText="1"/>
    </xf>
  </cellXfs>
  <cellStyles count="3">
    <cellStyle name="Normal" xfId="0" builtinId="0"/>
    <cellStyle name="Обычный_журнал_201_203" xfId="1"/>
    <cellStyle name="Обычный_журнал_201_203b" xfId="2"/>
  </cellStyles>
  <dxfs count="2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BAE18F"/>
      <color rgb="FFCCFF66"/>
      <color rgb="FFD5FFD5"/>
      <color rgb="FF99FFCC"/>
      <color rgb="FFFFFF99"/>
      <color rgb="FFFFFFCC"/>
      <color rgb="FFF98F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/&#1046;&#1091;&#1088;&#1085;&#1072;&#1083;_&#1054;&#1041;&#1044;&#1047;=2016_&#1051;&#1077;&#1082;&#1094;&#1110;&#1111;_&#1050;&#1086;&#1085;&#1090;&#1088;_&#1043;&#1088;-201-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 201-203"/>
      <sheetName val="Лекції 205-206"/>
      <sheetName val="Лекції 207"/>
      <sheetName val="КОНТР 201-203"/>
      <sheetName val="КОНТР 205-206"/>
      <sheetName val="КОНТР 207"/>
    </sheetNames>
    <sheetDataSet>
      <sheetData sheetId="0"/>
      <sheetData sheetId="1"/>
      <sheetData sheetId="2"/>
      <sheetData sheetId="3">
        <row r="4">
          <cell r="F4">
            <v>1.5526315789473684</v>
          </cell>
        </row>
        <row r="5">
          <cell r="F5">
            <v>0</v>
          </cell>
        </row>
        <row r="6">
          <cell r="F6">
            <v>14.684210526315789</v>
          </cell>
        </row>
        <row r="7">
          <cell r="F7">
            <v>21.973684210526315</v>
          </cell>
        </row>
        <row r="8">
          <cell r="F8">
            <v>30.342105263157894</v>
          </cell>
        </row>
        <row r="9">
          <cell r="F9">
            <v>2.0526315789473681</v>
          </cell>
        </row>
        <row r="10">
          <cell r="F10">
            <v>2.3421052631578947</v>
          </cell>
        </row>
        <row r="11">
          <cell r="F11">
            <v>16.263157894736842</v>
          </cell>
        </row>
        <row r="12">
          <cell r="F12">
            <v>18.842105263157894</v>
          </cell>
        </row>
        <row r="13">
          <cell r="F13">
            <v>2.0789473684210527</v>
          </cell>
        </row>
        <row r="14">
          <cell r="F14">
            <v>28.868421052631579</v>
          </cell>
        </row>
        <row r="15">
          <cell r="F15">
            <v>0.5</v>
          </cell>
        </row>
        <row r="16">
          <cell r="F16">
            <v>1.5789473684210527</v>
          </cell>
        </row>
        <row r="17">
          <cell r="F17">
            <v>17.578947368421055</v>
          </cell>
        </row>
        <row r="19">
          <cell r="F19">
            <v>19.157894736842106</v>
          </cell>
        </row>
        <row r="20">
          <cell r="F20">
            <v>17.236842105263158</v>
          </cell>
        </row>
        <row r="21">
          <cell r="F21">
            <v>14.157894736842104</v>
          </cell>
        </row>
        <row r="22">
          <cell r="F22">
            <v>14.184210526315789</v>
          </cell>
        </row>
        <row r="23">
          <cell r="F23">
            <v>16.184210526315788</v>
          </cell>
        </row>
        <row r="24">
          <cell r="F24">
            <v>31.421052631578945</v>
          </cell>
        </row>
        <row r="25">
          <cell r="F25">
            <v>17.236842105263158</v>
          </cell>
        </row>
        <row r="26">
          <cell r="F26">
            <v>30.105263157894736</v>
          </cell>
        </row>
        <row r="27">
          <cell r="F27">
            <v>0</v>
          </cell>
        </row>
        <row r="28">
          <cell r="F28">
            <v>10.447368421052632</v>
          </cell>
        </row>
        <row r="29">
          <cell r="F29">
            <v>1.5789473684210527</v>
          </cell>
        </row>
        <row r="32">
          <cell r="F32">
            <v>0</v>
          </cell>
        </row>
        <row r="33">
          <cell r="F33">
            <v>29.315789473684209</v>
          </cell>
        </row>
        <row r="34">
          <cell r="F34">
            <v>1.5</v>
          </cell>
        </row>
        <row r="35">
          <cell r="F35">
            <v>0</v>
          </cell>
        </row>
        <row r="36">
          <cell r="F36">
            <v>28.763157894736842</v>
          </cell>
        </row>
        <row r="37">
          <cell r="F37">
            <v>26.157894736842103</v>
          </cell>
        </row>
        <row r="38">
          <cell r="F38">
            <v>16.44736842105263</v>
          </cell>
        </row>
        <row r="39">
          <cell r="F39">
            <v>30.342105263157894</v>
          </cell>
        </row>
        <row r="40">
          <cell r="F40">
            <v>24.105263157894736</v>
          </cell>
        </row>
        <row r="41">
          <cell r="F41">
            <v>0</v>
          </cell>
        </row>
        <row r="42">
          <cell r="F42">
            <v>26.710526315789473</v>
          </cell>
        </row>
        <row r="43">
          <cell r="F43">
            <v>1.5789473684210527</v>
          </cell>
        </row>
        <row r="44">
          <cell r="F44">
            <v>30.368421052631579</v>
          </cell>
        </row>
        <row r="45">
          <cell r="F45">
            <v>0</v>
          </cell>
        </row>
        <row r="46">
          <cell r="F46">
            <v>23.868421052631579</v>
          </cell>
        </row>
        <row r="47">
          <cell r="F47">
            <v>23.078947368421055</v>
          </cell>
        </row>
        <row r="49">
          <cell r="F49">
            <v>25.131578947368421</v>
          </cell>
        </row>
        <row r="50">
          <cell r="F50">
            <v>22.605263157894736</v>
          </cell>
        </row>
        <row r="51">
          <cell r="F51">
            <v>30.342105263157894</v>
          </cell>
        </row>
        <row r="52">
          <cell r="F52">
            <v>13.631578947368421</v>
          </cell>
        </row>
        <row r="53">
          <cell r="F53">
            <v>24.631578947368421</v>
          </cell>
        </row>
        <row r="54">
          <cell r="F54">
            <v>24.184210526315791</v>
          </cell>
        </row>
        <row r="55">
          <cell r="F55">
            <v>0</v>
          </cell>
        </row>
        <row r="56">
          <cell r="F56">
            <v>24.631578947368421</v>
          </cell>
        </row>
        <row r="59">
          <cell r="F59">
            <v>23.078947368421055</v>
          </cell>
        </row>
        <row r="60">
          <cell r="F60">
            <v>26.184210526315791</v>
          </cell>
        </row>
        <row r="61">
          <cell r="F61">
            <v>23.815789473684209</v>
          </cell>
        </row>
        <row r="62">
          <cell r="F62">
            <v>24.631578947368421</v>
          </cell>
        </row>
        <row r="63">
          <cell r="F63">
            <v>16.815789473684212</v>
          </cell>
        </row>
        <row r="64">
          <cell r="F64">
            <v>25.421052631578945</v>
          </cell>
        </row>
        <row r="65">
          <cell r="F65">
            <v>22.631578947368421</v>
          </cell>
        </row>
        <row r="66">
          <cell r="F66">
            <v>22</v>
          </cell>
        </row>
        <row r="67">
          <cell r="F67">
            <v>23.026315789473685</v>
          </cell>
        </row>
        <row r="68">
          <cell r="F68">
            <v>24.631578947368421</v>
          </cell>
        </row>
        <row r="69">
          <cell r="F69">
            <v>26.710526315789473</v>
          </cell>
        </row>
        <row r="70">
          <cell r="F70">
            <v>1.5789473684210527</v>
          </cell>
        </row>
        <row r="71">
          <cell r="F71">
            <v>25.131578947368421</v>
          </cell>
        </row>
        <row r="72">
          <cell r="F72">
            <v>0</v>
          </cell>
        </row>
        <row r="73">
          <cell r="F73">
            <v>2.6052631578947367</v>
          </cell>
        </row>
        <row r="74">
          <cell r="F74">
            <v>18.815789473684212</v>
          </cell>
        </row>
        <row r="75">
          <cell r="F75">
            <v>26.184210526315791</v>
          </cell>
        </row>
        <row r="76">
          <cell r="F76">
            <v>25.868421052631579</v>
          </cell>
        </row>
        <row r="77">
          <cell r="F77">
            <v>0.5</v>
          </cell>
        </row>
        <row r="78">
          <cell r="F78">
            <v>0.5</v>
          </cell>
        </row>
        <row r="79">
          <cell r="F79">
            <v>0.5</v>
          </cell>
        </row>
        <row r="80">
          <cell r="F80">
            <v>26.184210526315791</v>
          </cell>
        </row>
        <row r="81">
          <cell r="F81">
            <v>23.289473684210527</v>
          </cell>
        </row>
        <row r="82">
          <cell r="F82">
            <v>1.5789473684210527</v>
          </cell>
        </row>
        <row r="83">
          <cell r="F83">
            <v>24.421052631578945</v>
          </cell>
        </row>
      </sheetData>
      <sheetData sheetId="4"/>
      <sheetData sheetId="5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4.xml"/><Relationship Id="rId17" Type="http://schemas.openxmlformats.org/officeDocument/2006/relationships/revisionLog" Target="revisionLog3.xml"/><Relationship Id="rId16" Type="http://schemas.openxmlformats.org/officeDocument/2006/relationships/revisionLog" Target="revisionLog1.xml"/><Relationship Id="rId15" Type="http://schemas.openxmlformats.org/officeDocument/2006/relationships/revisionLog" Target="revisionLog2.xml"/><Relationship Id="rId19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103AE43-6222-4752-8333-BD64CEA118DD}" diskRevisions="1" revisionId="374" version="10">
  <header guid="{EC51C6A4-AD1F-48F3-992B-5E998B718F06}" dateTime="2017-01-20T13:52:12" maxSheetId="15" userName="Ніколенко Світлана Григорівна" r:id="rId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CAB9D02-2335-40AA-963C-9C90970AE8EF}" dateTime="2017-04-14T13:48:13" maxSheetId="15" userName="Ніколенко Світлана Григорівна" r:id="rId16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045E271F-E32A-47A1-9C52-A4332C4A2DC5}" dateTime="2017-11-28T14:28:21" maxSheetId="15" userName="Ніколенко Світлана Григорівна" r:id="rId17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12B5F455-92B1-4FEF-8EA3-8E4408C13E82}" dateTime="2018-01-29T13:37:45" maxSheetId="15" userName="Ніколенко Світлана Григорівна" r:id="rId18" minRId="351" maxRId="360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8103AE43-6222-4752-8333-BD64CEA118DD}" dateTime="2018-01-29T13:44:09" maxSheetId="15" userName="Ніколенко Світлана Григорівна" r:id="rId19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7400EAF-4B0B-49FE-8262-4A59DA70D10F}" action="delete"/>
  <rdn rId="0" localSheetId="6" customView="1" name="Z_17400EAF_4B0B_49FE_8262_4A59DA70D10F_.wvu.FilterData" hidden="1" oldHidden="1">
    <formula>Підсумки!$A$3:$N$54</formula>
    <oldFormula>Підсумки!$A$3:$N$54</oldFormula>
  </rdn>
  <rdn rId="0" localSheetId="7" customView="1" name="Z_17400EAF_4B0B_49FE_8262_4A59DA70D10F_.wvu.PrintArea" hidden="1" oldHidden="1">
    <formula>'201_1'!$A$2:$BA$47</formula>
    <oldFormula>'201_1'!$A$2:$BA$47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'201_2'!$A$2:$AO$46</formula>
    <oldFormula>'201_2'!$A$2:$AO$46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'202_1'!$A$2:$AK$49</formula>
    <oldFormula>'202_1'!$A$2:$AK$49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'202_2'!$A$2:$AK$46</formula>
    <oldFormula>'202_2'!$A$2:$AK$46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'203_1'!$A$2:$AK$47</formula>
    <oldFormula>'203_1'!$A$2:$AK$47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'203_2'!$A$2:$AK$46</formula>
    <oldFormula>'203_2'!$A$2:$AK$46</oldFormula>
  </rdn>
  <rdn rId="0" localSheetId="12" customView="1" name="Z_17400EAF_4B0B_49FE_8262_4A59DA70D10F_.wvu.PrintTitles" hidden="1" oldHidden="1">
    <formula>'203_2'!$A:$C</formula>
    <oldFormula>'203_2'!$A:$C</oldFormula>
  </rdn>
  <rcv guid="{17400EAF-4B0B-49FE-8262-4A59DA70D10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Підсумки!$A$3:$N$54</formula>
    <oldFormula>Підсумки!$A$3:$N$54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'202_1'!$A$2:$AK$49</formula>
    <oldFormula>'202_1'!$A$2:$AK$49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Підсумки!$A$3:$N$54</formula>
    <oldFormula>Підсумки!$A$3:$N$54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'202_1'!$A$2:$AK$49</formula>
    <oldFormula>'202_1'!$A$2:$AK$49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" sId="11" numFmtId="4">
    <nc r="L19">
      <v>2</v>
    </nc>
  </rcc>
  <rcc rId="352" sId="11" numFmtId="4">
    <nc r="O34">
      <v>0</v>
    </nc>
  </rcc>
  <rcc rId="353" sId="11" numFmtId="4">
    <nc r="O35">
      <v>2</v>
    </nc>
  </rcc>
  <rcc rId="354" sId="11" numFmtId="4">
    <nc r="O36">
      <v>0</v>
    </nc>
  </rcc>
  <rcc rId="355" sId="11" numFmtId="4">
    <nc r="O37">
      <v>0</v>
    </nc>
  </rcc>
  <rcc rId="356" sId="11" numFmtId="4">
    <nc r="O38">
      <v>4</v>
    </nc>
  </rcc>
  <rcc rId="357" sId="11" numFmtId="4">
    <nc r="O39">
      <v>2</v>
    </nc>
  </rcc>
  <rcc rId="358" sId="11" numFmtId="4">
    <nc r="O40">
      <v>2</v>
    </nc>
  </rcc>
  <rcc rId="359" sId="11" numFmtId="4">
    <nc r="T19">
      <v>6</v>
    </nc>
  </rcc>
  <rcc rId="360" sId="11">
    <nc r="AH19">
      <f>3+0+3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Підсумки!$A$3:$N$54</formula>
    <oldFormula>Підсумки!$A$3:$N$54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'202_1'!$A$2:$AK$49</formula>
    <oldFormula>'202_1'!$A$2:$AK$49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C51C6A4-AD1F-48F3-992B-5E998B718F06}" name="Ніколенко Світлана Григорівна" id="-655242880" dateTime="2017-01-20T13:51:5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3.bin"/><Relationship Id="rId13" Type="http://schemas.openxmlformats.org/officeDocument/2006/relationships/printerSettings" Target="../printerSettings/printerSettings288.bin"/><Relationship Id="rId18" Type="http://schemas.openxmlformats.org/officeDocument/2006/relationships/printerSettings" Target="../printerSettings/printerSettings293.bin"/><Relationship Id="rId26" Type="http://schemas.openxmlformats.org/officeDocument/2006/relationships/printerSettings" Target="../printerSettings/printerSettings301.bin"/><Relationship Id="rId3" Type="http://schemas.openxmlformats.org/officeDocument/2006/relationships/printerSettings" Target="../printerSettings/printerSettings278.bin"/><Relationship Id="rId21" Type="http://schemas.openxmlformats.org/officeDocument/2006/relationships/printerSettings" Target="../printerSettings/printerSettings296.bin"/><Relationship Id="rId34" Type="http://schemas.openxmlformats.org/officeDocument/2006/relationships/printerSettings" Target="../printerSettings/printerSettings309.bin"/><Relationship Id="rId7" Type="http://schemas.openxmlformats.org/officeDocument/2006/relationships/printerSettings" Target="../printerSettings/printerSettings282.bin"/><Relationship Id="rId12" Type="http://schemas.openxmlformats.org/officeDocument/2006/relationships/printerSettings" Target="../printerSettings/printerSettings287.bin"/><Relationship Id="rId17" Type="http://schemas.openxmlformats.org/officeDocument/2006/relationships/printerSettings" Target="../printerSettings/printerSettings292.bin"/><Relationship Id="rId25" Type="http://schemas.openxmlformats.org/officeDocument/2006/relationships/printerSettings" Target="../printerSettings/printerSettings300.bin"/><Relationship Id="rId33" Type="http://schemas.openxmlformats.org/officeDocument/2006/relationships/printerSettings" Target="../printerSettings/printerSettings308.bin"/><Relationship Id="rId2" Type="http://schemas.openxmlformats.org/officeDocument/2006/relationships/printerSettings" Target="../printerSettings/printerSettings277.bin"/><Relationship Id="rId16" Type="http://schemas.openxmlformats.org/officeDocument/2006/relationships/printerSettings" Target="../printerSettings/printerSettings291.bin"/><Relationship Id="rId20" Type="http://schemas.openxmlformats.org/officeDocument/2006/relationships/printerSettings" Target="../printerSettings/printerSettings295.bin"/><Relationship Id="rId29" Type="http://schemas.openxmlformats.org/officeDocument/2006/relationships/printerSettings" Target="../printerSettings/printerSettings304.bin"/><Relationship Id="rId1" Type="http://schemas.openxmlformats.org/officeDocument/2006/relationships/printerSettings" Target="../printerSettings/printerSettings276.bin"/><Relationship Id="rId6" Type="http://schemas.openxmlformats.org/officeDocument/2006/relationships/printerSettings" Target="../printerSettings/printerSettings281.bin"/><Relationship Id="rId11" Type="http://schemas.openxmlformats.org/officeDocument/2006/relationships/printerSettings" Target="../printerSettings/printerSettings286.bin"/><Relationship Id="rId24" Type="http://schemas.openxmlformats.org/officeDocument/2006/relationships/printerSettings" Target="../printerSettings/printerSettings299.bin"/><Relationship Id="rId32" Type="http://schemas.openxmlformats.org/officeDocument/2006/relationships/printerSettings" Target="../printerSettings/printerSettings307.bin"/><Relationship Id="rId5" Type="http://schemas.openxmlformats.org/officeDocument/2006/relationships/printerSettings" Target="../printerSettings/printerSettings280.bin"/><Relationship Id="rId15" Type="http://schemas.openxmlformats.org/officeDocument/2006/relationships/printerSettings" Target="../printerSettings/printerSettings290.bin"/><Relationship Id="rId23" Type="http://schemas.openxmlformats.org/officeDocument/2006/relationships/printerSettings" Target="../printerSettings/printerSettings298.bin"/><Relationship Id="rId28" Type="http://schemas.openxmlformats.org/officeDocument/2006/relationships/printerSettings" Target="../printerSettings/printerSettings303.bin"/><Relationship Id="rId36" Type="http://schemas.openxmlformats.org/officeDocument/2006/relationships/comments" Target="../comments4.xml"/><Relationship Id="rId10" Type="http://schemas.openxmlformats.org/officeDocument/2006/relationships/printerSettings" Target="../printerSettings/printerSettings285.bin"/><Relationship Id="rId19" Type="http://schemas.openxmlformats.org/officeDocument/2006/relationships/printerSettings" Target="../printerSettings/printerSettings294.bin"/><Relationship Id="rId31" Type="http://schemas.openxmlformats.org/officeDocument/2006/relationships/printerSettings" Target="../printerSettings/printerSettings306.bin"/><Relationship Id="rId4" Type="http://schemas.openxmlformats.org/officeDocument/2006/relationships/printerSettings" Target="../printerSettings/printerSettings279.bin"/><Relationship Id="rId9" Type="http://schemas.openxmlformats.org/officeDocument/2006/relationships/printerSettings" Target="../printerSettings/printerSettings284.bin"/><Relationship Id="rId14" Type="http://schemas.openxmlformats.org/officeDocument/2006/relationships/printerSettings" Target="../printerSettings/printerSettings289.bin"/><Relationship Id="rId22" Type="http://schemas.openxmlformats.org/officeDocument/2006/relationships/printerSettings" Target="../printerSettings/printerSettings297.bin"/><Relationship Id="rId27" Type="http://schemas.openxmlformats.org/officeDocument/2006/relationships/printerSettings" Target="../printerSettings/printerSettings302.bin"/><Relationship Id="rId30" Type="http://schemas.openxmlformats.org/officeDocument/2006/relationships/printerSettings" Target="../printerSettings/printerSettings305.bin"/><Relationship Id="rId35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312.bin"/><Relationship Id="rId7" Type="http://schemas.openxmlformats.org/officeDocument/2006/relationships/printerSettings" Target="../printerSettings/printerSettings316.bin"/><Relationship Id="rId2" Type="http://schemas.openxmlformats.org/officeDocument/2006/relationships/printerSettings" Target="../printerSettings/printerSettings311.bin"/><Relationship Id="rId1" Type="http://schemas.openxmlformats.org/officeDocument/2006/relationships/printerSettings" Target="../printerSettings/printerSettings310.bin"/><Relationship Id="rId6" Type="http://schemas.openxmlformats.org/officeDocument/2006/relationships/printerSettings" Target="../printerSettings/printerSettings315.bin"/><Relationship Id="rId5" Type="http://schemas.openxmlformats.org/officeDocument/2006/relationships/printerSettings" Target="../printerSettings/printerSettings314.bin"/><Relationship Id="rId4" Type="http://schemas.openxmlformats.org/officeDocument/2006/relationships/printerSettings" Target="../printerSettings/printerSettings313.bin"/><Relationship Id="rId9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printerSettings" Target="../printerSettings/printerSettings319.bin"/><Relationship Id="rId7" Type="http://schemas.openxmlformats.org/officeDocument/2006/relationships/printerSettings" Target="../printerSettings/printerSettings323.bin"/><Relationship Id="rId2" Type="http://schemas.openxmlformats.org/officeDocument/2006/relationships/printerSettings" Target="../printerSettings/printerSettings318.bin"/><Relationship Id="rId1" Type="http://schemas.openxmlformats.org/officeDocument/2006/relationships/printerSettings" Target="../printerSettings/printerSettings317.bin"/><Relationship Id="rId6" Type="http://schemas.openxmlformats.org/officeDocument/2006/relationships/printerSettings" Target="../printerSettings/printerSettings322.bin"/><Relationship Id="rId5" Type="http://schemas.openxmlformats.org/officeDocument/2006/relationships/printerSettings" Target="../printerSettings/printerSettings321.bin"/><Relationship Id="rId4" Type="http://schemas.openxmlformats.org/officeDocument/2006/relationships/printerSettings" Target="../printerSettings/printerSettings320.bin"/><Relationship Id="rId9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6.bin"/><Relationship Id="rId2" Type="http://schemas.openxmlformats.org/officeDocument/2006/relationships/printerSettings" Target="../printerSettings/printerSettings325.bin"/><Relationship Id="rId1" Type="http://schemas.openxmlformats.org/officeDocument/2006/relationships/printerSettings" Target="../printerSettings/printerSettings324.bin"/><Relationship Id="rId4" Type="http://schemas.openxmlformats.org/officeDocument/2006/relationships/printerSettings" Target="../printerSettings/printerSettings32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13" Type="http://schemas.openxmlformats.org/officeDocument/2006/relationships/printerSettings" Target="../printerSettings/printerSettings43.bin"/><Relationship Id="rId18" Type="http://schemas.openxmlformats.org/officeDocument/2006/relationships/printerSettings" Target="../printerSettings/printerSettings48.bin"/><Relationship Id="rId26" Type="http://schemas.openxmlformats.org/officeDocument/2006/relationships/printerSettings" Target="../printerSettings/printerSettings56.bin"/><Relationship Id="rId39" Type="http://schemas.openxmlformats.org/officeDocument/2006/relationships/printerSettings" Target="../printerSettings/printerSettings69.bin"/><Relationship Id="rId3" Type="http://schemas.openxmlformats.org/officeDocument/2006/relationships/printerSettings" Target="../printerSettings/printerSettings33.bin"/><Relationship Id="rId21" Type="http://schemas.openxmlformats.org/officeDocument/2006/relationships/printerSettings" Target="../printerSettings/printerSettings51.bin"/><Relationship Id="rId34" Type="http://schemas.openxmlformats.org/officeDocument/2006/relationships/printerSettings" Target="../printerSettings/printerSettings64.bin"/><Relationship Id="rId7" Type="http://schemas.openxmlformats.org/officeDocument/2006/relationships/printerSettings" Target="../printerSettings/printerSettings37.bin"/><Relationship Id="rId12" Type="http://schemas.openxmlformats.org/officeDocument/2006/relationships/printerSettings" Target="../printerSettings/printerSettings42.bin"/><Relationship Id="rId17" Type="http://schemas.openxmlformats.org/officeDocument/2006/relationships/printerSettings" Target="../printerSettings/printerSettings47.bin"/><Relationship Id="rId25" Type="http://schemas.openxmlformats.org/officeDocument/2006/relationships/printerSettings" Target="../printerSettings/printerSettings55.bin"/><Relationship Id="rId33" Type="http://schemas.openxmlformats.org/officeDocument/2006/relationships/printerSettings" Target="../printerSettings/printerSettings63.bin"/><Relationship Id="rId38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32.bin"/><Relationship Id="rId16" Type="http://schemas.openxmlformats.org/officeDocument/2006/relationships/printerSettings" Target="../printerSettings/printerSettings46.bin"/><Relationship Id="rId20" Type="http://schemas.openxmlformats.org/officeDocument/2006/relationships/printerSettings" Target="../printerSettings/printerSettings50.bin"/><Relationship Id="rId29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11" Type="http://schemas.openxmlformats.org/officeDocument/2006/relationships/printerSettings" Target="../printerSettings/printerSettings41.bin"/><Relationship Id="rId24" Type="http://schemas.openxmlformats.org/officeDocument/2006/relationships/printerSettings" Target="../printerSettings/printerSettings54.bin"/><Relationship Id="rId32" Type="http://schemas.openxmlformats.org/officeDocument/2006/relationships/printerSettings" Target="../printerSettings/printerSettings62.bin"/><Relationship Id="rId37" Type="http://schemas.openxmlformats.org/officeDocument/2006/relationships/printerSettings" Target="../printerSettings/printerSettings67.bin"/><Relationship Id="rId40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35.bin"/><Relationship Id="rId15" Type="http://schemas.openxmlformats.org/officeDocument/2006/relationships/printerSettings" Target="../printerSettings/printerSettings45.bin"/><Relationship Id="rId23" Type="http://schemas.openxmlformats.org/officeDocument/2006/relationships/printerSettings" Target="../printerSettings/printerSettings53.bin"/><Relationship Id="rId28" Type="http://schemas.openxmlformats.org/officeDocument/2006/relationships/printerSettings" Target="../printerSettings/printerSettings58.bin"/><Relationship Id="rId36" Type="http://schemas.openxmlformats.org/officeDocument/2006/relationships/printerSettings" Target="../printerSettings/printerSettings66.bin"/><Relationship Id="rId10" Type="http://schemas.openxmlformats.org/officeDocument/2006/relationships/printerSettings" Target="../printerSettings/printerSettings40.bin"/><Relationship Id="rId19" Type="http://schemas.openxmlformats.org/officeDocument/2006/relationships/printerSettings" Target="../printerSettings/printerSettings49.bin"/><Relationship Id="rId31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Relationship Id="rId14" Type="http://schemas.openxmlformats.org/officeDocument/2006/relationships/printerSettings" Target="../printerSettings/printerSettings44.bin"/><Relationship Id="rId22" Type="http://schemas.openxmlformats.org/officeDocument/2006/relationships/printerSettings" Target="../printerSettings/printerSettings52.bin"/><Relationship Id="rId27" Type="http://schemas.openxmlformats.org/officeDocument/2006/relationships/printerSettings" Target="../printerSettings/printerSettings57.bin"/><Relationship Id="rId30" Type="http://schemas.openxmlformats.org/officeDocument/2006/relationships/printerSettings" Target="../printerSettings/printerSettings60.bin"/><Relationship Id="rId35" Type="http://schemas.openxmlformats.org/officeDocument/2006/relationships/printerSettings" Target="../printerSettings/printerSettings6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3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11" Type="http://schemas.openxmlformats.org/officeDocument/2006/relationships/printerSettings" Target="../printerSettings/printerSettings83.bin"/><Relationship Id="rId5" Type="http://schemas.openxmlformats.org/officeDocument/2006/relationships/printerSettings" Target="../printerSettings/printerSettings77.bin"/><Relationship Id="rId10" Type="http://schemas.openxmlformats.org/officeDocument/2006/relationships/printerSettings" Target="../printerSettings/printerSettings82.bin"/><Relationship Id="rId4" Type="http://schemas.openxmlformats.org/officeDocument/2006/relationships/printerSettings" Target="../printerSettings/printerSettings76.bin"/><Relationship Id="rId9" Type="http://schemas.openxmlformats.org/officeDocument/2006/relationships/printerSettings" Target="../printerSettings/printerSettings8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96.bin"/><Relationship Id="rId18" Type="http://schemas.openxmlformats.org/officeDocument/2006/relationships/printerSettings" Target="../printerSettings/printerSettings101.bin"/><Relationship Id="rId26" Type="http://schemas.openxmlformats.org/officeDocument/2006/relationships/printerSettings" Target="../printerSettings/printerSettings109.bin"/><Relationship Id="rId39" Type="http://schemas.openxmlformats.org/officeDocument/2006/relationships/printerSettings" Target="../printerSettings/printerSettings122.bin"/><Relationship Id="rId3" Type="http://schemas.openxmlformats.org/officeDocument/2006/relationships/printerSettings" Target="../printerSettings/printerSettings86.bin"/><Relationship Id="rId21" Type="http://schemas.openxmlformats.org/officeDocument/2006/relationships/printerSettings" Target="../printerSettings/printerSettings104.bin"/><Relationship Id="rId34" Type="http://schemas.openxmlformats.org/officeDocument/2006/relationships/printerSettings" Target="../printerSettings/printerSettings117.bin"/><Relationship Id="rId42" Type="http://schemas.openxmlformats.org/officeDocument/2006/relationships/printerSettings" Target="../printerSettings/printerSettings125.bin"/><Relationship Id="rId47" Type="http://schemas.openxmlformats.org/officeDocument/2006/relationships/printerSettings" Target="../printerSettings/printerSettings130.bin"/><Relationship Id="rId7" Type="http://schemas.openxmlformats.org/officeDocument/2006/relationships/printerSettings" Target="../printerSettings/printerSettings90.bin"/><Relationship Id="rId12" Type="http://schemas.openxmlformats.org/officeDocument/2006/relationships/printerSettings" Target="../printerSettings/printerSettings95.bin"/><Relationship Id="rId17" Type="http://schemas.openxmlformats.org/officeDocument/2006/relationships/printerSettings" Target="../printerSettings/printerSettings100.bin"/><Relationship Id="rId25" Type="http://schemas.openxmlformats.org/officeDocument/2006/relationships/printerSettings" Target="../printerSettings/printerSettings108.bin"/><Relationship Id="rId33" Type="http://schemas.openxmlformats.org/officeDocument/2006/relationships/printerSettings" Target="../printerSettings/printerSettings116.bin"/><Relationship Id="rId38" Type="http://schemas.openxmlformats.org/officeDocument/2006/relationships/printerSettings" Target="../printerSettings/printerSettings121.bin"/><Relationship Id="rId46" Type="http://schemas.openxmlformats.org/officeDocument/2006/relationships/printerSettings" Target="../printerSettings/printerSettings129.bin"/><Relationship Id="rId2" Type="http://schemas.openxmlformats.org/officeDocument/2006/relationships/printerSettings" Target="../printerSettings/printerSettings85.bin"/><Relationship Id="rId16" Type="http://schemas.openxmlformats.org/officeDocument/2006/relationships/printerSettings" Target="../printerSettings/printerSettings99.bin"/><Relationship Id="rId20" Type="http://schemas.openxmlformats.org/officeDocument/2006/relationships/printerSettings" Target="../printerSettings/printerSettings103.bin"/><Relationship Id="rId29" Type="http://schemas.openxmlformats.org/officeDocument/2006/relationships/printerSettings" Target="../printerSettings/printerSettings112.bin"/><Relationship Id="rId41" Type="http://schemas.openxmlformats.org/officeDocument/2006/relationships/printerSettings" Target="../printerSettings/printerSettings124.bin"/><Relationship Id="rId1" Type="http://schemas.openxmlformats.org/officeDocument/2006/relationships/printerSettings" Target="../printerSettings/printerSettings84.bin"/><Relationship Id="rId6" Type="http://schemas.openxmlformats.org/officeDocument/2006/relationships/printerSettings" Target="../printerSettings/printerSettings89.bin"/><Relationship Id="rId11" Type="http://schemas.openxmlformats.org/officeDocument/2006/relationships/printerSettings" Target="../printerSettings/printerSettings94.bin"/><Relationship Id="rId24" Type="http://schemas.openxmlformats.org/officeDocument/2006/relationships/printerSettings" Target="../printerSettings/printerSettings107.bin"/><Relationship Id="rId32" Type="http://schemas.openxmlformats.org/officeDocument/2006/relationships/printerSettings" Target="../printerSettings/printerSettings115.bin"/><Relationship Id="rId37" Type="http://schemas.openxmlformats.org/officeDocument/2006/relationships/printerSettings" Target="../printerSettings/printerSettings120.bin"/><Relationship Id="rId40" Type="http://schemas.openxmlformats.org/officeDocument/2006/relationships/printerSettings" Target="../printerSettings/printerSettings123.bin"/><Relationship Id="rId45" Type="http://schemas.openxmlformats.org/officeDocument/2006/relationships/printerSettings" Target="../printerSettings/printerSettings128.bin"/><Relationship Id="rId5" Type="http://schemas.openxmlformats.org/officeDocument/2006/relationships/printerSettings" Target="../printerSettings/printerSettings88.bin"/><Relationship Id="rId15" Type="http://schemas.openxmlformats.org/officeDocument/2006/relationships/printerSettings" Target="../printerSettings/printerSettings98.bin"/><Relationship Id="rId23" Type="http://schemas.openxmlformats.org/officeDocument/2006/relationships/printerSettings" Target="../printerSettings/printerSettings106.bin"/><Relationship Id="rId28" Type="http://schemas.openxmlformats.org/officeDocument/2006/relationships/printerSettings" Target="../printerSettings/printerSettings111.bin"/><Relationship Id="rId36" Type="http://schemas.openxmlformats.org/officeDocument/2006/relationships/printerSettings" Target="../printerSettings/printerSettings119.bin"/><Relationship Id="rId49" Type="http://schemas.openxmlformats.org/officeDocument/2006/relationships/printerSettings" Target="../printerSettings/printerSettings132.bin"/><Relationship Id="rId10" Type="http://schemas.openxmlformats.org/officeDocument/2006/relationships/printerSettings" Target="../printerSettings/printerSettings93.bin"/><Relationship Id="rId19" Type="http://schemas.openxmlformats.org/officeDocument/2006/relationships/printerSettings" Target="../printerSettings/printerSettings102.bin"/><Relationship Id="rId31" Type="http://schemas.openxmlformats.org/officeDocument/2006/relationships/printerSettings" Target="../printerSettings/printerSettings114.bin"/><Relationship Id="rId44" Type="http://schemas.openxmlformats.org/officeDocument/2006/relationships/printerSettings" Target="../printerSettings/printerSettings127.bin"/><Relationship Id="rId4" Type="http://schemas.openxmlformats.org/officeDocument/2006/relationships/printerSettings" Target="../printerSettings/printerSettings87.bin"/><Relationship Id="rId9" Type="http://schemas.openxmlformats.org/officeDocument/2006/relationships/printerSettings" Target="../printerSettings/printerSettings92.bin"/><Relationship Id="rId14" Type="http://schemas.openxmlformats.org/officeDocument/2006/relationships/printerSettings" Target="../printerSettings/printerSettings97.bin"/><Relationship Id="rId22" Type="http://schemas.openxmlformats.org/officeDocument/2006/relationships/printerSettings" Target="../printerSettings/printerSettings105.bin"/><Relationship Id="rId27" Type="http://schemas.openxmlformats.org/officeDocument/2006/relationships/printerSettings" Target="../printerSettings/printerSettings110.bin"/><Relationship Id="rId30" Type="http://schemas.openxmlformats.org/officeDocument/2006/relationships/printerSettings" Target="../printerSettings/printerSettings113.bin"/><Relationship Id="rId35" Type="http://schemas.openxmlformats.org/officeDocument/2006/relationships/printerSettings" Target="../printerSettings/printerSettings118.bin"/><Relationship Id="rId43" Type="http://schemas.openxmlformats.org/officeDocument/2006/relationships/printerSettings" Target="../printerSettings/printerSettings126.bin"/><Relationship Id="rId48" Type="http://schemas.openxmlformats.org/officeDocument/2006/relationships/printerSettings" Target="../printerSettings/printerSettings131.bin"/><Relationship Id="rId8" Type="http://schemas.openxmlformats.org/officeDocument/2006/relationships/printerSettings" Target="../printerSettings/printerSettings9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0.bin"/><Relationship Id="rId13" Type="http://schemas.openxmlformats.org/officeDocument/2006/relationships/printerSettings" Target="../printerSettings/printerSettings145.bin"/><Relationship Id="rId18" Type="http://schemas.openxmlformats.org/officeDocument/2006/relationships/printerSettings" Target="../printerSettings/printerSettings150.bin"/><Relationship Id="rId26" Type="http://schemas.openxmlformats.org/officeDocument/2006/relationships/printerSettings" Target="../printerSettings/printerSettings158.bin"/><Relationship Id="rId3" Type="http://schemas.openxmlformats.org/officeDocument/2006/relationships/printerSettings" Target="../printerSettings/printerSettings135.bin"/><Relationship Id="rId21" Type="http://schemas.openxmlformats.org/officeDocument/2006/relationships/printerSettings" Target="../printerSettings/printerSettings153.bin"/><Relationship Id="rId7" Type="http://schemas.openxmlformats.org/officeDocument/2006/relationships/printerSettings" Target="../printerSettings/printerSettings139.bin"/><Relationship Id="rId12" Type="http://schemas.openxmlformats.org/officeDocument/2006/relationships/printerSettings" Target="../printerSettings/printerSettings144.bin"/><Relationship Id="rId17" Type="http://schemas.openxmlformats.org/officeDocument/2006/relationships/printerSettings" Target="../printerSettings/printerSettings149.bin"/><Relationship Id="rId25" Type="http://schemas.openxmlformats.org/officeDocument/2006/relationships/printerSettings" Target="../printerSettings/printerSettings157.bin"/><Relationship Id="rId2" Type="http://schemas.openxmlformats.org/officeDocument/2006/relationships/printerSettings" Target="../printerSettings/printerSettings134.bin"/><Relationship Id="rId16" Type="http://schemas.openxmlformats.org/officeDocument/2006/relationships/printerSettings" Target="../printerSettings/printerSettings148.bin"/><Relationship Id="rId20" Type="http://schemas.openxmlformats.org/officeDocument/2006/relationships/printerSettings" Target="../printerSettings/printerSettings152.bin"/><Relationship Id="rId29" Type="http://schemas.openxmlformats.org/officeDocument/2006/relationships/printerSettings" Target="../printerSettings/printerSettings161.bin"/><Relationship Id="rId1" Type="http://schemas.openxmlformats.org/officeDocument/2006/relationships/printerSettings" Target="../printerSettings/printerSettings133.bin"/><Relationship Id="rId6" Type="http://schemas.openxmlformats.org/officeDocument/2006/relationships/printerSettings" Target="../printerSettings/printerSettings138.bin"/><Relationship Id="rId11" Type="http://schemas.openxmlformats.org/officeDocument/2006/relationships/printerSettings" Target="../printerSettings/printerSettings143.bin"/><Relationship Id="rId24" Type="http://schemas.openxmlformats.org/officeDocument/2006/relationships/printerSettings" Target="../printerSettings/printerSettings156.bin"/><Relationship Id="rId32" Type="http://schemas.openxmlformats.org/officeDocument/2006/relationships/printerSettings" Target="../printerSettings/printerSettings164.bin"/><Relationship Id="rId5" Type="http://schemas.openxmlformats.org/officeDocument/2006/relationships/printerSettings" Target="../printerSettings/printerSettings137.bin"/><Relationship Id="rId15" Type="http://schemas.openxmlformats.org/officeDocument/2006/relationships/printerSettings" Target="../printerSettings/printerSettings147.bin"/><Relationship Id="rId23" Type="http://schemas.openxmlformats.org/officeDocument/2006/relationships/printerSettings" Target="../printerSettings/printerSettings155.bin"/><Relationship Id="rId28" Type="http://schemas.openxmlformats.org/officeDocument/2006/relationships/printerSettings" Target="../printerSettings/printerSettings160.bin"/><Relationship Id="rId10" Type="http://schemas.openxmlformats.org/officeDocument/2006/relationships/printerSettings" Target="../printerSettings/printerSettings142.bin"/><Relationship Id="rId19" Type="http://schemas.openxmlformats.org/officeDocument/2006/relationships/printerSettings" Target="../printerSettings/printerSettings151.bin"/><Relationship Id="rId31" Type="http://schemas.openxmlformats.org/officeDocument/2006/relationships/printerSettings" Target="../printerSettings/printerSettings163.bin"/><Relationship Id="rId4" Type="http://schemas.openxmlformats.org/officeDocument/2006/relationships/printerSettings" Target="../printerSettings/printerSettings136.bin"/><Relationship Id="rId9" Type="http://schemas.openxmlformats.org/officeDocument/2006/relationships/printerSettings" Target="../printerSettings/printerSettings141.bin"/><Relationship Id="rId14" Type="http://schemas.openxmlformats.org/officeDocument/2006/relationships/printerSettings" Target="../printerSettings/printerSettings146.bin"/><Relationship Id="rId22" Type="http://schemas.openxmlformats.org/officeDocument/2006/relationships/printerSettings" Target="../printerSettings/printerSettings154.bin"/><Relationship Id="rId27" Type="http://schemas.openxmlformats.org/officeDocument/2006/relationships/printerSettings" Target="../printerSettings/printerSettings159.bin"/><Relationship Id="rId30" Type="http://schemas.openxmlformats.org/officeDocument/2006/relationships/printerSettings" Target="../printerSettings/printerSettings16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2.bin"/><Relationship Id="rId13" Type="http://schemas.openxmlformats.org/officeDocument/2006/relationships/printerSettings" Target="../printerSettings/printerSettings177.bin"/><Relationship Id="rId18" Type="http://schemas.openxmlformats.org/officeDocument/2006/relationships/printerSettings" Target="../printerSettings/printerSettings182.bin"/><Relationship Id="rId26" Type="http://schemas.openxmlformats.org/officeDocument/2006/relationships/printerSettings" Target="../printerSettings/printerSettings190.bin"/><Relationship Id="rId3" Type="http://schemas.openxmlformats.org/officeDocument/2006/relationships/printerSettings" Target="../printerSettings/printerSettings167.bin"/><Relationship Id="rId21" Type="http://schemas.openxmlformats.org/officeDocument/2006/relationships/printerSettings" Target="../printerSettings/printerSettings185.bin"/><Relationship Id="rId34" Type="http://schemas.openxmlformats.org/officeDocument/2006/relationships/printerSettings" Target="../printerSettings/printerSettings198.bin"/><Relationship Id="rId7" Type="http://schemas.openxmlformats.org/officeDocument/2006/relationships/printerSettings" Target="../printerSettings/printerSettings171.bin"/><Relationship Id="rId12" Type="http://schemas.openxmlformats.org/officeDocument/2006/relationships/printerSettings" Target="../printerSettings/printerSettings176.bin"/><Relationship Id="rId17" Type="http://schemas.openxmlformats.org/officeDocument/2006/relationships/printerSettings" Target="../printerSettings/printerSettings181.bin"/><Relationship Id="rId25" Type="http://schemas.openxmlformats.org/officeDocument/2006/relationships/printerSettings" Target="../printerSettings/printerSettings189.bin"/><Relationship Id="rId33" Type="http://schemas.openxmlformats.org/officeDocument/2006/relationships/printerSettings" Target="../printerSettings/printerSettings197.bin"/><Relationship Id="rId2" Type="http://schemas.openxmlformats.org/officeDocument/2006/relationships/printerSettings" Target="../printerSettings/printerSettings166.bin"/><Relationship Id="rId16" Type="http://schemas.openxmlformats.org/officeDocument/2006/relationships/printerSettings" Target="../printerSettings/printerSettings180.bin"/><Relationship Id="rId20" Type="http://schemas.openxmlformats.org/officeDocument/2006/relationships/printerSettings" Target="../printerSettings/printerSettings184.bin"/><Relationship Id="rId29" Type="http://schemas.openxmlformats.org/officeDocument/2006/relationships/printerSettings" Target="../printerSettings/printerSettings193.bin"/><Relationship Id="rId1" Type="http://schemas.openxmlformats.org/officeDocument/2006/relationships/printerSettings" Target="../printerSettings/printerSettings165.bin"/><Relationship Id="rId6" Type="http://schemas.openxmlformats.org/officeDocument/2006/relationships/printerSettings" Target="../printerSettings/printerSettings170.bin"/><Relationship Id="rId11" Type="http://schemas.openxmlformats.org/officeDocument/2006/relationships/printerSettings" Target="../printerSettings/printerSettings175.bin"/><Relationship Id="rId24" Type="http://schemas.openxmlformats.org/officeDocument/2006/relationships/printerSettings" Target="../printerSettings/printerSettings188.bin"/><Relationship Id="rId32" Type="http://schemas.openxmlformats.org/officeDocument/2006/relationships/printerSettings" Target="../printerSettings/printerSettings196.bin"/><Relationship Id="rId5" Type="http://schemas.openxmlformats.org/officeDocument/2006/relationships/printerSettings" Target="../printerSettings/printerSettings169.bin"/><Relationship Id="rId15" Type="http://schemas.openxmlformats.org/officeDocument/2006/relationships/printerSettings" Target="../printerSettings/printerSettings179.bin"/><Relationship Id="rId23" Type="http://schemas.openxmlformats.org/officeDocument/2006/relationships/printerSettings" Target="../printerSettings/printerSettings187.bin"/><Relationship Id="rId28" Type="http://schemas.openxmlformats.org/officeDocument/2006/relationships/printerSettings" Target="../printerSettings/printerSettings192.bin"/><Relationship Id="rId36" Type="http://schemas.openxmlformats.org/officeDocument/2006/relationships/comments" Target="../comments1.xml"/><Relationship Id="rId10" Type="http://schemas.openxmlformats.org/officeDocument/2006/relationships/printerSettings" Target="../printerSettings/printerSettings174.bin"/><Relationship Id="rId19" Type="http://schemas.openxmlformats.org/officeDocument/2006/relationships/printerSettings" Target="../printerSettings/printerSettings183.bin"/><Relationship Id="rId31" Type="http://schemas.openxmlformats.org/officeDocument/2006/relationships/printerSettings" Target="../printerSettings/printerSettings195.bin"/><Relationship Id="rId4" Type="http://schemas.openxmlformats.org/officeDocument/2006/relationships/printerSettings" Target="../printerSettings/printerSettings168.bin"/><Relationship Id="rId9" Type="http://schemas.openxmlformats.org/officeDocument/2006/relationships/printerSettings" Target="../printerSettings/printerSettings173.bin"/><Relationship Id="rId14" Type="http://schemas.openxmlformats.org/officeDocument/2006/relationships/printerSettings" Target="../printerSettings/printerSettings178.bin"/><Relationship Id="rId22" Type="http://schemas.openxmlformats.org/officeDocument/2006/relationships/printerSettings" Target="../printerSettings/printerSettings186.bin"/><Relationship Id="rId27" Type="http://schemas.openxmlformats.org/officeDocument/2006/relationships/printerSettings" Target="../printerSettings/printerSettings191.bin"/><Relationship Id="rId30" Type="http://schemas.openxmlformats.org/officeDocument/2006/relationships/printerSettings" Target="../printerSettings/printerSettings194.bin"/><Relationship Id="rId35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6.bin"/><Relationship Id="rId13" Type="http://schemas.openxmlformats.org/officeDocument/2006/relationships/printerSettings" Target="../printerSettings/printerSettings211.bin"/><Relationship Id="rId18" Type="http://schemas.openxmlformats.org/officeDocument/2006/relationships/printerSettings" Target="../printerSettings/printerSettings216.bin"/><Relationship Id="rId26" Type="http://schemas.openxmlformats.org/officeDocument/2006/relationships/printerSettings" Target="../printerSettings/printerSettings224.bin"/><Relationship Id="rId39" Type="http://schemas.openxmlformats.org/officeDocument/2006/relationships/printerSettings" Target="../printerSettings/printerSettings237.bin"/><Relationship Id="rId3" Type="http://schemas.openxmlformats.org/officeDocument/2006/relationships/printerSettings" Target="../printerSettings/printerSettings201.bin"/><Relationship Id="rId21" Type="http://schemas.openxmlformats.org/officeDocument/2006/relationships/printerSettings" Target="../printerSettings/printerSettings219.bin"/><Relationship Id="rId34" Type="http://schemas.openxmlformats.org/officeDocument/2006/relationships/printerSettings" Target="../printerSettings/printerSettings232.bin"/><Relationship Id="rId42" Type="http://schemas.openxmlformats.org/officeDocument/2006/relationships/printerSettings" Target="../printerSettings/printerSettings240.bin"/><Relationship Id="rId7" Type="http://schemas.openxmlformats.org/officeDocument/2006/relationships/printerSettings" Target="../printerSettings/printerSettings205.bin"/><Relationship Id="rId12" Type="http://schemas.openxmlformats.org/officeDocument/2006/relationships/printerSettings" Target="../printerSettings/printerSettings210.bin"/><Relationship Id="rId17" Type="http://schemas.openxmlformats.org/officeDocument/2006/relationships/printerSettings" Target="../printerSettings/printerSettings215.bin"/><Relationship Id="rId25" Type="http://schemas.openxmlformats.org/officeDocument/2006/relationships/printerSettings" Target="../printerSettings/printerSettings223.bin"/><Relationship Id="rId33" Type="http://schemas.openxmlformats.org/officeDocument/2006/relationships/printerSettings" Target="../printerSettings/printerSettings231.bin"/><Relationship Id="rId38" Type="http://schemas.openxmlformats.org/officeDocument/2006/relationships/printerSettings" Target="../printerSettings/printerSettings236.bin"/><Relationship Id="rId2" Type="http://schemas.openxmlformats.org/officeDocument/2006/relationships/printerSettings" Target="../printerSettings/printerSettings200.bin"/><Relationship Id="rId16" Type="http://schemas.openxmlformats.org/officeDocument/2006/relationships/printerSettings" Target="../printerSettings/printerSettings214.bin"/><Relationship Id="rId20" Type="http://schemas.openxmlformats.org/officeDocument/2006/relationships/printerSettings" Target="../printerSettings/printerSettings218.bin"/><Relationship Id="rId29" Type="http://schemas.openxmlformats.org/officeDocument/2006/relationships/printerSettings" Target="../printerSettings/printerSettings227.bin"/><Relationship Id="rId41" Type="http://schemas.openxmlformats.org/officeDocument/2006/relationships/printerSettings" Target="../printerSettings/printerSettings239.bin"/><Relationship Id="rId1" Type="http://schemas.openxmlformats.org/officeDocument/2006/relationships/printerSettings" Target="../printerSettings/printerSettings199.bin"/><Relationship Id="rId6" Type="http://schemas.openxmlformats.org/officeDocument/2006/relationships/printerSettings" Target="../printerSettings/printerSettings204.bin"/><Relationship Id="rId11" Type="http://schemas.openxmlformats.org/officeDocument/2006/relationships/printerSettings" Target="../printerSettings/printerSettings209.bin"/><Relationship Id="rId24" Type="http://schemas.openxmlformats.org/officeDocument/2006/relationships/printerSettings" Target="../printerSettings/printerSettings222.bin"/><Relationship Id="rId32" Type="http://schemas.openxmlformats.org/officeDocument/2006/relationships/printerSettings" Target="../printerSettings/printerSettings230.bin"/><Relationship Id="rId37" Type="http://schemas.openxmlformats.org/officeDocument/2006/relationships/printerSettings" Target="../printerSettings/printerSettings235.bin"/><Relationship Id="rId40" Type="http://schemas.openxmlformats.org/officeDocument/2006/relationships/printerSettings" Target="../printerSettings/printerSettings238.bin"/><Relationship Id="rId45" Type="http://schemas.openxmlformats.org/officeDocument/2006/relationships/comments" Target="../comments2.xml"/><Relationship Id="rId5" Type="http://schemas.openxmlformats.org/officeDocument/2006/relationships/printerSettings" Target="../printerSettings/printerSettings203.bin"/><Relationship Id="rId15" Type="http://schemas.openxmlformats.org/officeDocument/2006/relationships/printerSettings" Target="../printerSettings/printerSettings213.bin"/><Relationship Id="rId23" Type="http://schemas.openxmlformats.org/officeDocument/2006/relationships/printerSettings" Target="../printerSettings/printerSettings221.bin"/><Relationship Id="rId28" Type="http://schemas.openxmlformats.org/officeDocument/2006/relationships/printerSettings" Target="../printerSettings/printerSettings226.bin"/><Relationship Id="rId36" Type="http://schemas.openxmlformats.org/officeDocument/2006/relationships/printerSettings" Target="../printerSettings/printerSettings234.bin"/><Relationship Id="rId10" Type="http://schemas.openxmlformats.org/officeDocument/2006/relationships/printerSettings" Target="../printerSettings/printerSettings208.bin"/><Relationship Id="rId19" Type="http://schemas.openxmlformats.org/officeDocument/2006/relationships/printerSettings" Target="../printerSettings/printerSettings217.bin"/><Relationship Id="rId31" Type="http://schemas.openxmlformats.org/officeDocument/2006/relationships/printerSettings" Target="../printerSettings/printerSettings229.bin"/><Relationship Id="rId44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02.bin"/><Relationship Id="rId9" Type="http://schemas.openxmlformats.org/officeDocument/2006/relationships/printerSettings" Target="../printerSettings/printerSettings207.bin"/><Relationship Id="rId14" Type="http://schemas.openxmlformats.org/officeDocument/2006/relationships/printerSettings" Target="../printerSettings/printerSettings212.bin"/><Relationship Id="rId22" Type="http://schemas.openxmlformats.org/officeDocument/2006/relationships/printerSettings" Target="../printerSettings/printerSettings220.bin"/><Relationship Id="rId27" Type="http://schemas.openxmlformats.org/officeDocument/2006/relationships/printerSettings" Target="../printerSettings/printerSettings225.bin"/><Relationship Id="rId30" Type="http://schemas.openxmlformats.org/officeDocument/2006/relationships/printerSettings" Target="../printerSettings/printerSettings228.bin"/><Relationship Id="rId35" Type="http://schemas.openxmlformats.org/officeDocument/2006/relationships/printerSettings" Target="../printerSettings/printerSettings233.bin"/><Relationship Id="rId43" Type="http://schemas.openxmlformats.org/officeDocument/2006/relationships/printerSettings" Target="../printerSettings/printerSettings24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9.bin"/><Relationship Id="rId13" Type="http://schemas.openxmlformats.org/officeDocument/2006/relationships/printerSettings" Target="../printerSettings/printerSettings254.bin"/><Relationship Id="rId18" Type="http://schemas.openxmlformats.org/officeDocument/2006/relationships/printerSettings" Target="../printerSettings/printerSettings259.bin"/><Relationship Id="rId26" Type="http://schemas.openxmlformats.org/officeDocument/2006/relationships/printerSettings" Target="../printerSettings/printerSettings267.bin"/><Relationship Id="rId3" Type="http://schemas.openxmlformats.org/officeDocument/2006/relationships/printerSettings" Target="../printerSettings/printerSettings244.bin"/><Relationship Id="rId21" Type="http://schemas.openxmlformats.org/officeDocument/2006/relationships/printerSettings" Target="../printerSettings/printerSettings262.bin"/><Relationship Id="rId34" Type="http://schemas.openxmlformats.org/officeDocument/2006/relationships/printerSettings" Target="../printerSettings/printerSettings275.bin"/><Relationship Id="rId7" Type="http://schemas.openxmlformats.org/officeDocument/2006/relationships/printerSettings" Target="../printerSettings/printerSettings248.bin"/><Relationship Id="rId12" Type="http://schemas.openxmlformats.org/officeDocument/2006/relationships/printerSettings" Target="../printerSettings/printerSettings253.bin"/><Relationship Id="rId17" Type="http://schemas.openxmlformats.org/officeDocument/2006/relationships/printerSettings" Target="../printerSettings/printerSettings258.bin"/><Relationship Id="rId25" Type="http://schemas.openxmlformats.org/officeDocument/2006/relationships/printerSettings" Target="../printerSettings/printerSettings266.bin"/><Relationship Id="rId33" Type="http://schemas.openxmlformats.org/officeDocument/2006/relationships/printerSettings" Target="../printerSettings/printerSettings274.bin"/><Relationship Id="rId2" Type="http://schemas.openxmlformats.org/officeDocument/2006/relationships/printerSettings" Target="../printerSettings/printerSettings243.bin"/><Relationship Id="rId16" Type="http://schemas.openxmlformats.org/officeDocument/2006/relationships/printerSettings" Target="../printerSettings/printerSettings257.bin"/><Relationship Id="rId20" Type="http://schemas.openxmlformats.org/officeDocument/2006/relationships/printerSettings" Target="../printerSettings/printerSettings261.bin"/><Relationship Id="rId29" Type="http://schemas.openxmlformats.org/officeDocument/2006/relationships/printerSettings" Target="../printerSettings/printerSettings270.bin"/><Relationship Id="rId1" Type="http://schemas.openxmlformats.org/officeDocument/2006/relationships/printerSettings" Target="../printerSettings/printerSettings242.bin"/><Relationship Id="rId6" Type="http://schemas.openxmlformats.org/officeDocument/2006/relationships/printerSettings" Target="../printerSettings/printerSettings247.bin"/><Relationship Id="rId11" Type="http://schemas.openxmlformats.org/officeDocument/2006/relationships/printerSettings" Target="../printerSettings/printerSettings252.bin"/><Relationship Id="rId24" Type="http://schemas.openxmlformats.org/officeDocument/2006/relationships/printerSettings" Target="../printerSettings/printerSettings265.bin"/><Relationship Id="rId32" Type="http://schemas.openxmlformats.org/officeDocument/2006/relationships/printerSettings" Target="../printerSettings/printerSettings273.bin"/><Relationship Id="rId5" Type="http://schemas.openxmlformats.org/officeDocument/2006/relationships/printerSettings" Target="../printerSettings/printerSettings246.bin"/><Relationship Id="rId15" Type="http://schemas.openxmlformats.org/officeDocument/2006/relationships/printerSettings" Target="../printerSettings/printerSettings256.bin"/><Relationship Id="rId23" Type="http://schemas.openxmlformats.org/officeDocument/2006/relationships/printerSettings" Target="../printerSettings/printerSettings264.bin"/><Relationship Id="rId28" Type="http://schemas.openxmlformats.org/officeDocument/2006/relationships/printerSettings" Target="../printerSettings/printerSettings269.bin"/><Relationship Id="rId36" Type="http://schemas.openxmlformats.org/officeDocument/2006/relationships/comments" Target="../comments3.xml"/><Relationship Id="rId10" Type="http://schemas.openxmlformats.org/officeDocument/2006/relationships/printerSettings" Target="../printerSettings/printerSettings251.bin"/><Relationship Id="rId19" Type="http://schemas.openxmlformats.org/officeDocument/2006/relationships/printerSettings" Target="../printerSettings/printerSettings260.bin"/><Relationship Id="rId31" Type="http://schemas.openxmlformats.org/officeDocument/2006/relationships/printerSettings" Target="../printerSettings/printerSettings272.bin"/><Relationship Id="rId4" Type="http://schemas.openxmlformats.org/officeDocument/2006/relationships/printerSettings" Target="../printerSettings/printerSettings245.bin"/><Relationship Id="rId9" Type="http://schemas.openxmlformats.org/officeDocument/2006/relationships/printerSettings" Target="../printerSettings/printerSettings250.bin"/><Relationship Id="rId14" Type="http://schemas.openxmlformats.org/officeDocument/2006/relationships/printerSettings" Target="../printerSettings/printerSettings255.bin"/><Relationship Id="rId22" Type="http://schemas.openxmlformats.org/officeDocument/2006/relationships/printerSettings" Target="../printerSettings/printerSettings263.bin"/><Relationship Id="rId27" Type="http://schemas.openxmlformats.org/officeDocument/2006/relationships/printerSettings" Target="../printerSettings/printerSettings268.bin"/><Relationship Id="rId30" Type="http://schemas.openxmlformats.org/officeDocument/2006/relationships/printerSettings" Target="../printerSettings/printerSettings271.bin"/><Relationship Id="rId35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" workbookViewId="0">
      <pane xSplit="2" ySplit="1" topLeftCell="G3" activePane="bottomRight" state="frozen"/>
      <selection activeCell="A2" sqref="A2"/>
      <selection pane="topRight" activeCell="C2" sqref="C2"/>
      <selection pane="bottomLeft" activeCell="A3" sqref="A3"/>
      <selection pane="bottomRight" activeCell="A54" sqref="A54:XFD106"/>
    </sheetView>
  </sheetViews>
  <sheetFormatPr defaultRowHeight="12.75" x14ac:dyDescent="0.2"/>
  <cols>
    <col min="1" max="1" width="6.28515625" customWidth="1"/>
    <col min="2" max="2" width="37.42578125" customWidth="1"/>
    <col min="17" max="17" width="7.5703125" customWidth="1"/>
    <col min="18" max="18" width="10.7109375" style="169" customWidth="1"/>
  </cols>
  <sheetData>
    <row r="1" spans="1:18" ht="13.5" thickBot="1" x14ac:dyDescent="0.25">
      <c r="A1" s="169"/>
      <c r="C1" s="169" t="s">
        <v>282</v>
      </c>
      <c r="D1" s="223" t="s">
        <v>283</v>
      </c>
      <c r="E1" s="223" t="s">
        <v>284</v>
      </c>
      <c r="F1" s="223" t="s">
        <v>285</v>
      </c>
      <c r="G1" s="223" t="s">
        <v>286</v>
      </c>
      <c r="H1" s="223" t="s">
        <v>287</v>
      </c>
      <c r="I1" s="223" t="s">
        <v>288</v>
      </c>
      <c r="J1" s="223" t="s">
        <v>289</v>
      </c>
      <c r="K1" s="223" t="s">
        <v>290</v>
      </c>
      <c r="L1" s="223" t="s">
        <v>291</v>
      </c>
      <c r="M1" s="223" t="s">
        <v>292</v>
      </c>
      <c r="N1" s="223" t="s">
        <v>293</v>
      </c>
      <c r="O1" s="223" t="s">
        <v>294</v>
      </c>
      <c r="P1" s="223" t="s">
        <v>295</v>
      </c>
      <c r="Q1" s="169"/>
    </row>
    <row r="2" spans="1:18" ht="16.5" thickBot="1" x14ac:dyDescent="0.3">
      <c r="A2" s="201"/>
      <c r="B2" s="199" t="s">
        <v>269</v>
      </c>
      <c r="C2" s="237">
        <v>41281</v>
      </c>
      <c r="D2" s="236">
        <f>C2+7</f>
        <v>41288</v>
      </c>
      <c r="E2" s="236">
        <f t="shared" ref="E2:P2" si="0">D2+7</f>
        <v>41295</v>
      </c>
      <c r="F2" s="236">
        <f t="shared" si="0"/>
        <v>41302</v>
      </c>
      <c r="G2" s="236">
        <f t="shared" si="0"/>
        <v>41309</v>
      </c>
      <c r="H2" s="236">
        <f t="shared" si="0"/>
        <v>41316</v>
      </c>
      <c r="I2" s="236">
        <f t="shared" si="0"/>
        <v>41323</v>
      </c>
      <c r="J2" s="236">
        <f t="shared" si="0"/>
        <v>41330</v>
      </c>
      <c r="K2" s="236">
        <f t="shared" si="0"/>
        <v>41337</v>
      </c>
      <c r="L2" s="236">
        <f t="shared" si="0"/>
        <v>41344</v>
      </c>
      <c r="M2" s="236">
        <f t="shared" si="0"/>
        <v>41351</v>
      </c>
      <c r="N2" s="236">
        <f t="shared" si="0"/>
        <v>41358</v>
      </c>
      <c r="O2" s="236">
        <f t="shared" si="0"/>
        <v>41365</v>
      </c>
      <c r="P2" s="236">
        <f t="shared" si="0"/>
        <v>41372</v>
      </c>
      <c r="Q2" s="170" t="s">
        <v>267</v>
      </c>
      <c r="R2" s="235" t="s">
        <v>268</v>
      </c>
    </row>
    <row r="3" spans="1:18" ht="15.75" x14ac:dyDescent="0.25">
      <c r="A3" s="196">
        <f>ROW()-2</f>
        <v>1</v>
      </c>
      <c r="B3" s="189" t="str">
        <f>Підсумки!C3</f>
        <v>Білявський Ігор Сергійович</v>
      </c>
      <c r="C3" s="179"/>
      <c r="D3" s="179"/>
      <c r="E3" s="179"/>
      <c r="F3" s="179"/>
      <c r="G3" s="179"/>
      <c r="H3" s="179"/>
      <c r="I3" s="171"/>
      <c r="J3" s="171"/>
      <c r="K3" s="171"/>
      <c r="L3" s="171"/>
      <c r="M3" s="171"/>
      <c r="N3" s="171"/>
      <c r="O3" s="171"/>
      <c r="P3" s="172"/>
      <c r="Q3" s="197">
        <f>14-SUM(C3:P3)</f>
        <v>14</v>
      </c>
      <c r="R3" s="198">
        <f>Підсумки!E3</f>
        <v>46</v>
      </c>
    </row>
    <row r="4" spans="1:18" ht="15.75" x14ac:dyDescent="0.25">
      <c r="A4" s="173">
        <f t="shared" ref="A4:A25" si="1">ROW()-2</f>
        <v>2</v>
      </c>
      <c r="B4" s="188" t="str">
        <f>Підсумки!C4</f>
        <v>Сизова Евеліна Аметівна</v>
      </c>
      <c r="C4" s="180"/>
      <c r="D4" s="180"/>
      <c r="E4" s="180"/>
      <c r="F4" s="180"/>
      <c r="G4" s="180"/>
      <c r="H4" s="180"/>
      <c r="I4" s="174"/>
      <c r="J4" s="174"/>
      <c r="K4" s="174"/>
      <c r="L4" s="174"/>
      <c r="M4" s="174"/>
      <c r="N4" s="174"/>
      <c r="O4" s="174"/>
      <c r="P4" s="175"/>
      <c r="Q4" s="197">
        <f t="shared" ref="Q4:Q25" si="2">14-SUM(C4:P4)</f>
        <v>14</v>
      </c>
      <c r="R4" s="198">
        <f>Підсумки!E4</f>
        <v>54</v>
      </c>
    </row>
    <row r="5" spans="1:18" ht="15.75" x14ac:dyDescent="0.25">
      <c r="A5" s="173">
        <f t="shared" si="1"/>
        <v>3</v>
      </c>
      <c r="B5" s="188" t="str">
        <f>Підсумки!C5</f>
        <v>Голубович Дмитро Олександрович</v>
      </c>
      <c r="C5" s="180"/>
      <c r="D5" s="180"/>
      <c r="E5" s="180"/>
      <c r="F5" s="180"/>
      <c r="G5" s="180"/>
      <c r="H5" s="180"/>
      <c r="I5" s="174"/>
      <c r="J5" s="174"/>
      <c r="K5" s="174"/>
      <c r="L5" s="174"/>
      <c r="M5" s="174"/>
      <c r="N5" s="174"/>
      <c r="O5" s="174"/>
      <c r="P5" s="175"/>
      <c r="Q5" s="197">
        <f t="shared" si="2"/>
        <v>14</v>
      </c>
      <c r="R5" s="198">
        <f>Підсумки!E5</f>
        <v>29</v>
      </c>
    </row>
    <row r="6" spans="1:18" ht="15.75" x14ac:dyDescent="0.25">
      <c r="A6" s="173">
        <f t="shared" si="1"/>
        <v>4</v>
      </c>
      <c r="B6" s="188" t="str">
        <f>Підсумки!C6</f>
        <v>Грунська Кароліна Владиславівна</v>
      </c>
      <c r="C6" s="180"/>
      <c r="D6" s="180"/>
      <c r="E6" s="180"/>
      <c r="F6" s="180"/>
      <c r="G6" s="180"/>
      <c r="H6" s="180"/>
      <c r="I6" s="174"/>
      <c r="J6" s="174"/>
      <c r="K6" s="174"/>
      <c r="L6" s="174"/>
      <c r="M6" s="174"/>
      <c r="N6" s="174"/>
      <c r="O6" s="174"/>
      <c r="P6" s="175"/>
      <c r="Q6" s="197">
        <f t="shared" si="2"/>
        <v>14</v>
      </c>
      <c r="R6" s="198">
        <f>Підсумки!E6</f>
        <v>46</v>
      </c>
    </row>
    <row r="7" spans="1:18" ht="15.75" x14ac:dyDescent="0.25">
      <c r="A7" s="173">
        <f t="shared" si="1"/>
        <v>5</v>
      </c>
      <c r="B7" s="188" t="str">
        <f>Підсумки!C7</f>
        <v>Зінченко Владислав Валентинович</v>
      </c>
      <c r="C7" s="180"/>
      <c r="D7" s="180"/>
      <c r="E7" s="180"/>
      <c r="F7" s="180"/>
      <c r="G7" s="180"/>
      <c r="H7" s="180"/>
      <c r="I7" s="174"/>
      <c r="J7" s="174"/>
      <c r="K7" s="174"/>
      <c r="L7" s="174"/>
      <c r="M7" s="174"/>
      <c r="N7" s="174"/>
      <c r="O7" s="174"/>
      <c r="P7" s="175"/>
      <c r="Q7" s="197">
        <f t="shared" si="2"/>
        <v>14</v>
      </c>
      <c r="R7" s="198">
        <f>Підсумки!E7</f>
        <v>63</v>
      </c>
    </row>
    <row r="8" spans="1:18" ht="15.75" x14ac:dyDescent="0.25">
      <c r="A8" s="173">
        <f t="shared" si="1"/>
        <v>6</v>
      </c>
      <c r="B8" s="188" t="str">
        <f>Підсумки!C8</f>
        <v>Зубченко Артем Юрійович____</v>
      </c>
      <c r="C8" s="180"/>
      <c r="D8" s="180"/>
      <c r="E8" s="180"/>
      <c r="F8" s="180"/>
      <c r="G8" s="180"/>
      <c r="H8" s="180"/>
      <c r="I8" s="174"/>
      <c r="J8" s="174"/>
      <c r="K8" s="174"/>
      <c r="L8" s="174"/>
      <c r="M8" s="174"/>
      <c r="N8" s="174"/>
      <c r="O8" s="174"/>
      <c r="P8" s="175"/>
      <c r="Q8" s="197">
        <f t="shared" si="2"/>
        <v>14</v>
      </c>
      <c r="R8" s="198">
        <f>Підсумки!E8</f>
        <v>0</v>
      </c>
    </row>
    <row r="9" spans="1:18" ht="15.75" x14ac:dyDescent="0.25">
      <c r="A9" s="173">
        <f t="shared" si="1"/>
        <v>7</v>
      </c>
      <c r="B9" s="188" t="str">
        <f>Підсумки!C9</f>
        <v>Іванніков Віталій Юрійович</v>
      </c>
      <c r="C9" s="180"/>
      <c r="D9" s="180"/>
      <c r="E9" s="180"/>
      <c r="F9" s="180"/>
      <c r="G9" s="180"/>
      <c r="H9" s="180"/>
      <c r="I9" s="174"/>
      <c r="J9" s="174"/>
      <c r="K9" s="174"/>
      <c r="L9" s="174"/>
      <c r="M9" s="174"/>
      <c r="N9" s="174"/>
      <c r="O9" s="174"/>
      <c r="P9" s="175"/>
      <c r="Q9" s="197">
        <f t="shared" si="2"/>
        <v>14</v>
      </c>
      <c r="R9" s="198">
        <f>Підсумки!E9</f>
        <v>0</v>
      </c>
    </row>
    <row r="10" spans="1:18" ht="15.75" x14ac:dyDescent="0.25">
      <c r="A10" s="173">
        <f t="shared" si="1"/>
        <v>8</v>
      </c>
      <c r="B10" s="188" t="str">
        <f>Підсумки!C10</f>
        <v>Коваль Олександра Віталіївна</v>
      </c>
      <c r="C10" s="180"/>
      <c r="D10" s="180"/>
      <c r="E10" s="180"/>
      <c r="F10" s="180"/>
      <c r="G10" s="180"/>
      <c r="H10" s="180"/>
      <c r="I10" s="174"/>
      <c r="J10" s="174"/>
      <c r="K10" s="174"/>
      <c r="L10" s="174"/>
      <c r="M10" s="174"/>
      <c r="N10" s="174"/>
      <c r="O10" s="174"/>
      <c r="P10" s="175"/>
      <c r="Q10" s="197">
        <f t="shared" si="2"/>
        <v>14</v>
      </c>
      <c r="R10" s="198">
        <f>Підсумки!E10</f>
        <v>63</v>
      </c>
    </row>
    <row r="11" spans="1:18" ht="15.75" x14ac:dyDescent="0.25">
      <c r="A11" s="173">
        <f t="shared" si="1"/>
        <v>9</v>
      </c>
      <c r="B11" s="188" t="str">
        <f>Підсумки!C11</f>
        <v>Кошельна Людмила Валентинівна</v>
      </c>
      <c r="C11" s="180"/>
      <c r="D11" s="180"/>
      <c r="E11" s="180"/>
      <c r="F11" s="180"/>
      <c r="G11" s="180"/>
      <c r="H11" s="180"/>
      <c r="I11" s="174"/>
      <c r="J11" s="174"/>
      <c r="K11" s="174"/>
      <c r="L11" s="174"/>
      <c r="M11" s="174"/>
      <c r="N11" s="174"/>
      <c r="O11" s="174"/>
      <c r="P11" s="175"/>
      <c r="Q11" s="197">
        <f t="shared" si="2"/>
        <v>14</v>
      </c>
      <c r="R11" s="198">
        <f>Підсумки!E11</f>
        <v>18</v>
      </c>
    </row>
    <row r="12" spans="1:18" ht="15.75" x14ac:dyDescent="0.25">
      <c r="A12" s="173">
        <f t="shared" si="1"/>
        <v>10</v>
      </c>
      <c r="B12" s="188" t="str">
        <f>Підсумки!C12</f>
        <v>Крячко Олександр Олександрович</v>
      </c>
      <c r="C12" s="180"/>
      <c r="D12" s="180"/>
      <c r="E12" s="180"/>
      <c r="F12" s="180"/>
      <c r="G12" s="180"/>
      <c r="H12" s="180"/>
      <c r="I12" s="174"/>
      <c r="J12" s="174"/>
      <c r="K12" s="174"/>
      <c r="L12" s="174"/>
      <c r="M12" s="174"/>
      <c r="N12" s="174"/>
      <c r="O12" s="174"/>
      <c r="P12" s="175"/>
      <c r="Q12" s="197">
        <f t="shared" si="2"/>
        <v>14</v>
      </c>
      <c r="R12" s="198">
        <f>Підсумки!E12</f>
        <v>1</v>
      </c>
    </row>
    <row r="13" spans="1:18" ht="15.75" x14ac:dyDescent="0.25">
      <c r="A13" s="173">
        <f t="shared" si="1"/>
        <v>11</v>
      </c>
      <c r="B13" s="188" t="str">
        <f>Підсумки!C13</f>
        <v>Кулаковська Анастасія В`ячеславівна</v>
      </c>
      <c r="C13" s="180"/>
      <c r="D13" s="180"/>
      <c r="E13" s="180"/>
      <c r="F13" s="180"/>
      <c r="G13" s="180"/>
      <c r="H13" s="180"/>
      <c r="I13" s="174"/>
      <c r="J13" s="174"/>
      <c r="K13" s="174"/>
      <c r="L13" s="174"/>
      <c r="M13" s="174"/>
      <c r="N13" s="174"/>
      <c r="O13" s="174"/>
      <c r="P13" s="175"/>
      <c r="Q13" s="197">
        <f t="shared" si="2"/>
        <v>14</v>
      </c>
      <c r="R13" s="198">
        <f>Підсумки!E13</f>
        <v>57</v>
      </c>
    </row>
    <row r="14" spans="1:18" ht="15.75" x14ac:dyDescent="0.25">
      <c r="A14" s="173">
        <f t="shared" si="1"/>
        <v>12</v>
      </c>
      <c r="B14" s="188" t="str">
        <f>Підсумки!C14</f>
        <v>Литвиненко Олександр Сергійович_</v>
      </c>
      <c r="C14" s="180"/>
      <c r="D14" s="180"/>
      <c r="E14" s="180"/>
      <c r="F14" s="180"/>
      <c r="G14" s="180"/>
      <c r="H14" s="180"/>
      <c r="I14" s="174"/>
      <c r="J14" s="174"/>
      <c r="K14" s="174"/>
      <c r="L14" s="174"/>
      <c r="M14" s="174"/>
      <c r="N14" s="174"/>
      <c r="O14" s="174"/>
      <c r="P14" s="175"/>
      <c r="Q14" s="197">
        <f t="shared" si="2"/>
        <v>14</v>
      </c>
      <c r="R14" s="198">
        <f>Підсумки!E14</f>
        <v>0</v>
      </c>
    </row>
    <row r="15" spans="1:18" ht="15.75" x14ac:dyDescent="0.25">
      <c r="A15" s="173">
        <f t="shared" si="1"/>
        <v>13</v>
      </c>
      <c r="B15" s="188" t="str">
        <f>Підсумки!C16</f>
        <v>Мисник Інна Сергіївна</v>
      </c>
      <c r="C15" s="180"/>
      <c r="D15" s="180"/>
      <c r="E15" s="180"/>
      <c r="F15" s="180"/>
      <c r="G15" s="180"/>
      <c r="H15" s="180"/>
      <c r="I15" s="174"/>
      <c r="J15" s="174"/>
      <c r="K15" s="174"/>
      <c r="L15" s="174"/>
      <c r="M15" s="174"/>
      <c r="N15" s="174"/>
      <c r="O15" s="174"/>
      <c r="P15" s="175"/>
      <c r="Q15" s="197">
        <f t="shared" si="2"/>
        <v>14</v>
      </c>
      <c r="R15" s="198">
        <f>Підсумки!E16</f>
        <v>53</v>
      </c>
    </row>
    <row r="16" spans="1:18" ht="15.75" x14ac:dyDescent="0.25">
      <c r="A16" s="173">
        <f t="shared" si="1"/>
        <v>14</v>
      </c>
      <c r="B16" s="188" t="str">
        <f>Підсумки!C17</f>
        <v>Осіпов Андрій Вікторович</v>
      </c>
      <c r="C16" s="180"/>
      <c r="D16" s="180"/>
      <c r="E16" s="180"/>
      <c r="F16" s="180"/>
      <c r="G16" s="180"/>
      <c r="H16" s="180"/>
      <c r="I16" s="174"/>
      <c r="J16" s="174"/>
      <c r="K16" s="174"/>
      <c r="L16" s="174"/>
      <c r="M16" s="174"/>
      <c r="N16" s="174"/>
      <c r="O16" s="174"/>
      <c r="P16" s="175"/>
      <c r="Q16" s="197">
        <f t="shared" si="2"/>
        <v>14</v>
      </c>
      <c r="R16" s="198">
        <f>Підсумки!E17</f>
        <v>58</v>
      </c>
    </row>
    <row r="17" spans="1:18" ht="15.75" x14ac:dyDescent="0.25">
      <c r="A17" s="173">
        <f t="shared" si="1"/>
        <v>15</v>
      </c>
      <c r="B17" s="188" t="str">
        <f>Підсумки!C18</f>
        <v>Остремський Владислав Вікторович</v>
      </c>
      <c r="C17" s="180"/>
      <c r="D17" s="180"/>
      <c r="E17" s="180"/>
      <c r="F17" s="180"/>
      <c r="G17" s="180"/>
      <c r="H17" s="180"/>
      <c r="I17" s="174"/>
      <c r="J17" s="174"/>
      <c r="K17" s="174"/>
      <c r="L17" s="174"/>
      <c r="M17" s="174"/>
      <c r="N17" s="174"/>
      <c r="O17" s="174"/>
      <c r="P17" s="175"/>
      <c r="Q17" s="197">
        <f t="shared" si="2"/>
        <v>14</v>
      </c>
      <c r="R17" s="198">
        <f>Підсумки!E18</f>
        <v>46</v>
      </c>
    </row>
    <row r="18" spans="1:18" ht="15.75" x14ac:dyDescent="0.25">
      <c r="A18" s="173">
        <f t="shared" si="1"/>
        <v>16</v>
      </c>
      <c r="B18" s="188" t="str">
        <f>Підсумки!C19</f>
        <v>Перевозенко Євгеній Олександрович</v>
      </c>
      <c r="C18" s="180"/>
      <c r="D18" s="180"/>
      <c r="E18" s="180"/>
      <c r="F18" s="180"/>
      <c r="G18" s="180"/>
      <c r="H18" s="180"/>
      <c r="I18" s="174"/>
      <c r="J18" s="174"/>
      <c r="K18" s="174"/>
      <c r="L18" s="174"/>
      <c r="M18" s="174"/>
      <c r="N18" s="174"/>
      <c r="O18" s="174"/>
      <c r="P18" s="175"/>
      <c r="Q18" s="197">
        <f t="shared" si="2"/>
        <v>14</v>
      </c>
      <c r="R18" s="198">
        <f>Підсумки!E19</f>
        <v>50</v>
      </c>
    </row>
    <row r="19" spans="1:18" ht="15.75" x14ac:dyDescent="0.25">
      <c r="A19" s="173">
        <f t="shared" si="1"/>
        <v>17</v>
      </c>
      <c r="B19" s="188" t="str">
        <f>Підсумки!C20</f>
        <v>Петраков Данило Валерійович</v>
      </c>
      <c r="C19" s="180"/>
      <c r="D19" s="180"/>
      <c r="E19" s="180"/>
      <c r="F19" s="180"/>
      <c r="G19" s="180"/>
      <c r="H19" s="180"/>
      <c r="I19" s="174"/>
      <c r="J19" s="174"/>
      <c r="K19" s="174"/>
      <c r="L19" s="174"/>
      <c r="M19" s="174"/>
      <c r="N19" s="174"/>
      <c r="O19" s="174"/>
      <c r="P19" s="175"/>
      <c r="Q19" s="197">
        <f t="shared" si="2"/>
        <v>14</v>
      </c>
      <c r="R19" s="198">
        <f>Підсумки!E20</f>
        <v>53</v>
      </c>
    </row>
    <row r="20" spans="1:18" ht="15.75" x14ac:dyDescent="0.25">
      <c r="A20" s="173">
        <f t="shared" si="1"/>
        <v>18</v>
      </c>
      <c r="B20" s="188" t="str">
        <f>Підсумки!C21</f>
        <v>Пурис Дмитро Ігорович</v>
      </c>
      <c r="C20" s="180"/>
      <c r="D20" s="180"/>
      <c r="E20" s="180"/>
      <c r="F20" s="180"/>
      <c r="G20" s="180"/>
      <c r="H20" s="180"/>
      <c r="I20" s="174"/>
      <c r="J20" s="174"/>
      <c r="K20" s="174"/>
      <c r="L20" s="174"/>
      <c r="M20" s="174"/>
      <c r="N20" s="174"/>
      <c r="O20" s="174"/>
      <c r="P20" s="175"/>
      <c r="Q20" s="197">
        <f t="shared" si="2"/>
        <v>14</v>
      </c>
      <c r="R20" s="198">
        <f>Підсумки!E21</f>
        <v>49</v>
      </c>
    </row>
    <row r="21" spans="1:18" ht="15.75" x14ac:dyDescent="0.25">
      <c r="A21" s="173">
        <f t="shared" si="1"/>
        <v>19</v>
      </c>
      <c r="B21" s="188" t="str">
        <f>Підсумки!C22</f>
        <v>Сараєв Дмитро Олексійович</v>
      </c>
      <c r="C21" s="180"/>
      <c r="D21" s="180"/>
      <c r="E21" s="180"/>
      <c r="F21" s="180"/>
      <c r="G21" s="180"/>
      <c r="H21" s="180"/>
      <c r="I21" s="174"/>
      <c r="J21" s="174"/>
      <c r="K21" s="174"/>
      <c r="L21" s="174"/>
      <c r="M21" s="174"/>
      <c r="N21" s="174"/>
      <c r="O21" s="174"/>
      <c r="P21" s="175"/>
      <c r="Q21" s="197">
        <f t="shared" si="2"/>
        <v>14</v>
      </c>
      <c r="R21" s="198">
        <f>Підсумки!E22</f>
        <v>43.5</v>
      </c>
    </row>
    <row r="22" spans="1:18" ht="15.75" x14ac:dyDescent="0.25">
      <c r="A22" s="173">
        <f t="shared" si="1"/>
        <v>20</v>
      </c>
      <c r="B22" s="188" t="str">
        <f>Підсумки!C23</f>
        <v>Волошин Володимир Олександрович</v>
      </c>
      <c r="C22" s="180"/>
      <c r="D22" s="180"/>
      <c r="E22" s="180"/>
      <c r="F22" s="180"/>
      <c r="G22" s="180"/>
      <c r="H22" s="180"/>
      <c r="I22" s="174"/>
      <c r="J22" s="174"/>
      <c r="K22" s="174"/>
      <c r="L22" s="174"/>
      <c r="M22" s="174"/>
      <c r="N22" s="174"/>
      <c r="O22" s="174"/>
      <c r="P22" s="175"/>
      <c r="Q22" s="197">
        <f t="shared" si="2"/>
        <v>14</v>
      </c>
      <c r="R22" s="198">
        <f>Підсумки!E23</f>
        <v>0</v>
      </c>
    </row>
    <row r="23" spans="1:18" ht="15.75" x14ac:dyDescent="0.25">
      <c r="A23" s="173">
        <f t="shared" si="1"/>
        <v>21</v>
      </c>
      <c r="B23" s="188" t="str">
        <f>Підсумки!C24</f>
        <v>Тищенко Олександр Сергійович</v>
      </c>
      <c r="C23" s="180"/>
      <c r="D23" s="180"/>
      <c r="E23" s="180"/>
      <c r="F23" s="180"/>
      <c r="G23" s="180"/>
      <c r="H23" s="180"/>
      <c r="I23" s="174"/>
      <c r="J23" s="174"/>
      <c r="K23" s="174"/>
      <c r="L23" s="174"/>
      <c r="M23" s="174"/>
      <c r="N23" s="174"/>
      <c r="O23" s="174"/>
      <c r="P23" s="175"/>
      <c r="Q23" s="197">
        <f t="shared" si="2"/>
        <v>14</v>
      </c>
      <c r="R23" s="198">
        <f>Підсумки!E24</f>
        <v>51.5</v>
      </c>
    </row>
    <row r="24" spans="1:18" ht="15.75" x14ac:dyDescent="0.25">
      <c r="A24" s="174">
        <f t="shared" si="1"/>
        <v>22</v>
      </c>
      <c r="B24" s="188" t="str">
        <f>Підсумки!C25</f>
        <v>Ткаченко Юлія Олегівна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97">
        <f t="shared" si="2"/>
        <v>14</v>
      </c>
      <c r="R24" s="198">
        <f>Підсумки!E25</f>
        <v>65</v>
      </c>
    </row>
    <row r="25" spans="1:18" ht="15.75" x14ac:dyDescent="0.25">
      <c r="A25" s="174">
        <f t="shared" si="1"/>
        <v>23</v>
      </c>
      <c r="B25" s="188" t="str">
        <f>Підсумки!C26</f>
        <v>Хлопко Кирило Олегович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97">
        <f t="shared" si="2"/>
        <v>14</v>
      </c>
      <c r="R25" s="198">
        <f>Підсумки!E26</f>
        <v>0</v>
      </c>
    </row>
    <row r="26" spans="1:18" ht="15.75" x14ac:dyDescent="0.25">
      <c r="A26" s="191"/>
      <c r="B26" s="192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3"/>
      <c r="R26" s="194"/>
    </row>
    <row r="27" spans="1:18" ht="13.5" thickBot="1" x14ac:dyDescent="0.25">
      <c r="A27" s="169"/>
      <c r="C27" s="178">
        <f t="shared" ref="C27:H27" si="3">SUM(C3:C24)</f>
        <v>0</v>
      </c>
      <c r="D27" s="178">
        <f t="shared" si="3"/>
        <v>0</v>
      </c>
      <c r="E27" s="178">
        <f t="shared" si="3"/>
        <v>0</v>
      </c>
      <c r="F27" s="178">
        <f t="shared" si="3"/>
        <v>0</v>
      </c>
      <c r="G27" s="178">
        <f t="shared" si="3"/>
        <v>0</v>
      </c>
      <c r="H27" s="178">
        <f t="shared" si="3"/>
        <v>0</v>
      </c>
      <c r="I27" s="178">
        <f t="shared" ref="I27:P27" si="4">SUM(I3:I24)</f>
        <v>0</v>
      </c>
      <c r="J27" s="178">
        <f t="shared" si="4"/>
        <v>0</v>
      </c>
      <c r="K27" s="178">
        <f t="shared" si="4"/>
        <v>0</v>
      </c>
      <c r="L27" s="178">
        <f t="shared" si="4"/>
        <v>0</v>
      </c>
      <c r="M27" s="178">
        <f t="shared" si="4"/>
        <v>0</v>
      </c>
      <c r="N27" s="178">
        <f t="shared" si="4"/>
        <v>0</v>
      </c>
      <c r="O27" s="178">
        <f t="shared" si="4"/>
        <v>0</v>
      </c>
      <c r="P27" s="178">
        <f t="shared" si="4"/>
        <v>0</v>
      </c>
      <c r="Q27" s="178"/>
    </row>
    <row r="28" spans="1:18" ht="16.5" thickBot="1" x14ac:dyDescent="0.3">
      <c r="A28" s="201"/>
      <c r="B28" s="199" t="s">
        <v>245</v>
      </c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</row>
    <row r="29" spans="1:18" ht="15.75" x14ac:dyDescent="0.25">
      <c r="A29" s="171">
        <v>1</v>
      </c>
      <c r="B29" s="189" t="str">
        <f>Підсумки!C30</f>
        <v>Артеменко Віталій Валерійович</v>
      </c>
      <c r="C29" s="179"/>
      <c r="D29" s="179"/>
      <c r="E29" s="179"/>
      <c r="F29" s="179"/>
      <c r="G29" s="179"/>
      <c r="H29" s="179"/>
      <c r="I29" s="171"/>
      <c r="J29" s="171"/>
      <c r="K29" s="171"/>
      <c r="L29" s="171"/>
      <c r="M29" s="171"/>
      <c r="N29" s="171"/>
      <c r="O29" s="171"/>
      <c r="P29" s="172"/>
      <c r="Q29" s="200">
        <f>14-SUM(C29:P29)</f>
        <v>14</v>
      </c>
      <c r="R29" s="198">
        <f>Підсумки!E30</f>
        <v>0</v>
      </c>
    </row>
    <row r="30" spans="1:18" ht="15.75" x14ac:dyDescent="0.25">
      <c r="A30" s="174">
        <v>2</v>
      </c>
      <c r="B30" s="189" t="str">
        <f>Підсумки!C31</f>
        <v>Ахундов Вадим Тимурович</v>
      </c>
      <c r="C30" s="180"/>
      <c r="D30" s="180"/>
      <c r="E30" s="180"/>
      <c r="F30" s="180"/>
      <c r="G30" s="180"/>
      <c r="H30" s="180"/>
      <c r="I30" s="174"/>
      <c r="J30" s="174"/>
      <c r="K30" s="174"/>
      <c r="L30" s="174"/>
      <c r="M30" s="174"/>
      <c r="N30" s="174"/>
      <c r="O30" s="174"/>
      <c r="P30" s="175"/>
      <c r="Q30" s="200">
        <f t="shared" ref="Q30:Q51" si="5">14-SUM(C30:P30)</f>
        <v>14</v>
      </c>
      <c r="R30" s="198">
        <f>Підсумки!E31</f>
        <v>70</v>
      </c>
    </row>
    <row r="31" spans="1:18" ht="15.75" x14ac:dyDescent="0.25">
      <c r="A31" s="174">
        <v>3</v>
      </c>
      <c r="B31" s="189" t="str">
        <f>Підсумки!C32</f>
        <v>Бернацький Кирило Дмитрович</v>
      </c>
      <c r="C31" s="180"/>
      <c r="D31" s="180"/>
      <c r="E31" s="180"/>
      <c r="F31" s="180"/>
      <c r="G31" s="180"/>
      <c r="H31" s="180"/>
      <c r="I31" s="174"/>
      <c r="J31" s="174"/>
      <c r="K31" s="174"/>
      <c r="L31" s="174"/>
      <c r="M31" s="174"/>
      <c r="N31" s="174"/>
      <c r="O31" s="174"/>
      <c r="P31" s="175"/>
      <c r="Q31" s="200">
        <f t="shared" si="5"/>
        <v>14</v>
      </c>
      <c r="R31" s="198">
        <f>Підсумки!E32</f>
        <v>0</v>
      </c>
    </row>
    <row r="32" spans="1:18" ht="15.75" x14ac:dyDescent="0.25">
      <c r="A32" s="174">
        <v>4</v>
      </c>
      <c r="B32" s="189" t="str">
        <f>Підсумки!C33</f>
        <v>Бондаренко Дмитро Олександрович</v>
      </c>
      <c r="C32" s="180"/>
      <c r="D32" s="180"/>
      <c r="E32" s="180"/>
      <c r="F32" s="180"/>
      <c r="G32" s="180"/>
      <c r="H32" s="180"/>
      <c r="I32" s="174"/>
      <c r="J32" s="174"/>
      <c r="K32" s="174"/>
      <c r="L32" s="174"/>
      <c r="M32" s="174"/>
      <c r="N32" s="174"/>
      <c r="O32" s="174"/>
      <c r="P32" s="175"/>
      <c r="Q32" s="200">
        <f t="shared" si="5"/>
        <v>14</v>
      </c>
      <c r="R32" s="198">
        <f>Підсумки!E33</f>
        <v>0</v>
      </c>
    </row>
    <row r="33" spans="1:18" ht="15.75" x14ac:dyDescent="0.25">
      <c r="A33" s="174">
        <v>5</v>
      </c>
      <c r="B33" s="189" t="str">
        <f>Підсумки!C34</f>
        <v>Борисенко Владислав Дмитрович</v>
      </c>
      <c r="C33" s="180"/>
      <c r="D33" s="180"/>
      <c r="E33" s="180"/>
      <c r="F33" s="180"/>
      <c r="G33" s="180"/>
      <c r="H33" s="180"/>
      <c r="I33" s="174"/>
      <c r="J33" s="174"/>
      <c r="K33" s="174"/>
      <c r="L33" s="174"/>
      <c r="M33" s="174"/>
      <c r="N33" s="174"/>
      <c r="O33" s="174"/>
      <c r="P33" s="175"/>
      <c r="Q33" s="200">
        <f t="shared" si="5"/>
        <v>14</v>
      </c>
      <c r="R33" s="198">
        <f>Підсумки!E34</f>
        <v>70</v>
      </c>
    </row>
    <row r="34" spans="1:18" ht="15.75" x14ac:dyDescent="0.25">
      <c r="A34" s="174">
        <v>6</v>
      </c>
      <c r="B34" s="189" t="str">
        <f>Підсумки!C35</f>
        <v>Васильчук Ірина Олександрівна</v>
      </c>
      <c r="C34" s="180"/>
      <c r="D34" s="180"/>
      <c r="E34" s="180"/>
      <c r="F34" s="180"/>
      <c r="G34" s="180"/>
      <c r="H34" s="180"/>
      <c r="I34" s="174"/>
      <c r="J34" s="174"/>
      <c r="K34" s="174"/>
      <c r="L34" s="174"/>
      <c r="M34" s="174"/>
      <c r="N34" s="174"/>
      <c r="O34" s="174"/>
      <c r="P34" s="175"/>
      <c r="Q34" s="200">
        <f t="shared" si="5"/>
        <v>14</v>
      </c>
      <c r="R34" s="198">
        <f>Підсумки!E35</f>
        <v>66</v>
      </c>
    </row>
    <row r="35" spans="1:18" ht="15.75" x14ac:dyDescent="0.25">
      <c r="A35" s="174">
        <v>7</v>
      </c>
      <c r="B35" s="189" t="str">
        <f>Підсумки!C36</f>
        <v>Володін Дмитро Вадимович</v>
      </c>
      <c r="C35" s="180"/>
      <c r="D35" s="180"/>
      <c r="E35" s="180"/>
      <c r="F35" s="180"/>
      <c r="G35" s="180"/>
      <c r="H35" s="180"/>
      <c r="I35" s="174"/>
      <c r="J35" s="174"/>
      <c r="K35" s="174"/>
      <c r="L35" s="174"/>
      <c r="M35" s="174"/>
      <c r="N35" s="174"/>
      <c r="O35" s="174"/>
      <c r="P35" s="175"/>
      <c r="Q35" s="200">
        <f t="shared" si="5"/>
        <v>14</v>
      </c>
      <c r="R35" s="198">
        <f>Підсумки!E36</f>
        <v>28</v>
      </c>
    </row>
    <row r="36" spans="1:18" ht="15.75" x14ac:dyDescent="0.25">
      <c r="A36" s="174">
        <v>8</v>
      </c>
      <c r="B36" s="189" t="str">
        <f>Підсумки!C37</f>
        <v>Іванова Катерина Андріївна</v>
      </c>
      <c r="C36" s="180"/>
      <c r="D36" s="180"/>
      <c r="E36" s="180"/>
      <c r="F36" s="180"/>
      <c r="G36" s="180"/>
      <c r="H36" s="180"/>
      <c r="I36" s="174"/>
      <c r="J36" s="174"/>
      <c r="K36" s="174"/>
      <c r="L36" s="174"/>
      <c r="M36" s="174"/>
      <c r="N36" s="174"/>
      <c r="O36" s="174"/>
      <c r="P36" s="175"/>
      <c r="Q36" s="200">
        <f t="shared" si="5"/>
        <v>14</v>
      </c>
      <c r="R36" s="198">
        <f>Підсумки!E37</f>
        <v>70</v>
      </c>
    </row>
    <row r="37" spans="1:18" ht="15.75" x14ac:dyDescent="0.25">
      <c r="A37" s="174">
        <v>9</v>
      </c>
      <c r="B37" s="189" t="str">
        <f>Підсумки!C38</f>
        <v>Ільчанінов Ілля Володимирович</v>
      </c>
      <c r="C37" s="180"/>
      <c r="D37" s="180"/>
      <c r="E37" s="180"/>
      <c r="F37" s="180"/>
      <c r="G37" s="180"/>
      <c r="H37" s="180"/>
      <c r="I37" s="174"/>
      <c r="J37" s="174"/>
      <c r="K37" s="174"/>
      <c r="L37" s="174"/>
      <c r="M37" s="174"/>
      <c r="N37" s="174"/>
      <c r="O37" s="174"/>
      <c r="P37" s="175"/>
      <c r="Q37" s="200">
        <f t="shared" si="5"/>
        <v>14</v>
      </c>
      <c r="R37" s="198">
        <f>Підсумки!E38</f>
        <v>2</v>
      </c>
    </row>
    <row r="38" spans="1:18" ht="15.75" x14ac:dyDescent="0.25">
      <c r="A38" s="174">
        <v>10</v>
      </c>
      <c r="B38" s="189" t="str">
        <f>Підсумки!C39</f>
        <v>Капустін Андрій Сергійович</v>
      </c>
      <c r="C38" s="180"/>
      <c r="D38" s="180"/>
      <c r="E38" s="180"/>
      <c r="F38" s="180"/>
      <c r="G38" s="180"/>
      <c r="H38" s="180"/>
      <c r="I38" s="174"/>
      <c r="J38" s="174"/>
      <c r="K38" s="174"/>
      <c r="L38" s="174"/>
      <c r="M38" s="174"/>
      <c r="N38" s="174"/>
      <c r="O38" s="174"/>
      <c r="P38" s="175"/>
      <c r="Q38" s="200">
        <f t="shared" si="5"/>
        <v>14</v>
      </c>
      <c r="R38" s="198">
        <f>Підсумки!E39</f>
        <v>0</v>
      </c>
    </row>
    <row r="39" spans="1:18" ht="15.75" x14ac:dyDescent="0.25">
      <c r="A39" s="174">
        <v>11</v>
      </c>
      <c r="B39" s="189" t="str">
        <f>Підсумки!C40</f>
        <v>Кирлейза Софія Володимирівна</v>
      </c>
      <c r="C39" s="180"/>
      <c r="D39" s="180"/>
      <c r="E39" s="180"/>
      <c r="F39" s="180"/>
      <c r="G39" s="180"/>
      <c r="H39" s="180"/>
      <c r="I39" s="174"/>
      <c r="J39" s="174"/>
      <c r="K39" s="174"/>
      <c r="L39" s="174"/>
      <c r="M39" s="174"/>
      <c r="N39" s="174"/>
      <c r="O39" s="174"/>
      <c r="P39" s="175"/>
      <c r="Q39" s="200">
        <f t="shared" si="5"/>
        <v>14</v>
      </c>
      <c r="R39" s="198">
        <f>Підсумки!E40</f>
        <v>64</v>
      </c>
    </row>
    <row r="40" spans="1:18" ht="15.75" x14ac:dyDescent="0.25">
      <c r="A40" s="174">
        <v>12</v>
      </c>
      <c r="B40" s="189" t="str">
        <f>Підсумки!C41</f>
        <v>Козаченко Ростислав Сергійович</v>
      </c>
      <c r="C40" s="180"/>
      <c r="D40" s="180"/>
      <c r="E40" s="180"/>
      <c r="F40" s="180"/>
      <c r="G40" s="180"/>
      <c r="H40" s="180"/>
      <c r="I40" s="174"/>
      <c r="J40" s="174"/>
      <c r="K40" s="174"/>
      <c r="L40" s="174"/>
      <c r="M40" s="174"/>
      <c r="N40" s="174"/>
      <c r="O40" s="174"/>
      <c r="P40" s="175"/>
      <c r="Q40" s="200">
        <f t="shared" si="5"/>
        <v>14</v>
      </c>
      <c r="R40" s="198">
        <f>Підсумки!E41</f>
        <v>0</v>
      </c>
    </row>
    <row r="41" spans="1:18" ht="15.75" x14ac:dyDescent="0.25">
      <c r="A41" s="174">
        <v>13</v>
      </c>
      <c r="B41" s="189" t="str">
        <f>Підсумки!C42</f>
        <v>Лейзерович Роман Олегович</v>
      </c>
      <c r="C41" s="180"/>
      <c r="D41" s="180"/>
      <c r="E41" s="180"/>
      <c r="F41" s="180"/>
      <c r="G41" s="180"/>
      <c r="H41" s="180"/>
      <c r="I41" s="174"/>
      <c r="J41" s="174"/>
      <c r="K41" s="174"/>
      <c r="L41" s="174"/>
      <c r="M41" s="174"/>
      <c r="N41" s="174"/>
      <c r="O41" s="174"/>
      <c r="P41" s="175"/>
      <c r="Q41" s="200">
        <f t="shared" si="5"/>
        <v>14</v>
      </c>
      <c r="R41" s="198">
        <f>Підсумки!E42</f>
        <v>66</v>
      </c>
    </row>
    <row r="42" spans="1:18" ht="15.75" x14ac:dyDescent="0.25">
      <c r="A42" s="174">
        <v>14</v>
      </c>
      <c r="B42" s="189" t="str">
        <f>Підсумки!C43</f>
        <v>Лень Владислав Сергійович</v>
      </c>
      <c r="C42" s="180"/>
      <c r="D42" s="180"/>
      <c r="E42" s="180"/>
      <c r="F42" s="180"/>
      <c r="G42" s="180"/>
      <c r="H42" s="180"/>
      <c r="I42" s="174"/>
      <c r="J42" s="174"/>
      <c r="K42" s="174"/>
      <c r="L42" s="174"/>
      <c r="M42" s="174"/>
      <c r="N42" s="174"/>
      <c r="O42" s="174"/>
      <c r="P42" s="175"/>
      <c r="Q42" s="200">
        <f t="shared" si="5"/>
        <v>14</v>
      </c>
      <c r="R42" s="198">
        <f>Підсумки!E43</f>
        <v>0</v>
      </c>
    </row>
    <row r="43" spans="1:18" ht="15.75" x14ac:dyDescent="0.25">
      <c r="A43" s="174">
        <v>15</v>
      </c>
      <c r="B43" s="189" t="str">
        <f>Підсумки!C44</f>
        <v>Петренко Дмитро Андрійович</v>
      </c>
      <c r="C43" s="180"/>
      <c r="D43" s="180"/>
      <c r="E43" s="180"/>
      <c r="F43" s="180"/>
      <c r="G43" s="180"/>
      <c r="H43" s="180"/>
      <c r="I43" s="174"/>
      <c r="J43" s="174"/>
      <c r="K43" s="174"/>
      <c r="L43" s="174"/>
      <c r="M43" s="174"/>
      <c r="N43" s="174"/>
      <c r="O43" s="174"/>
      <c r="P43" s="175"/>
      <c r="Q43" s="200">
        <f t="shared" si="5"/>
        <v>14</v>
      </c>
      <c r="R43" s="198">
        <f>Підсумки!E44</f>
        <v>51</v>
      </c>
    </row>
    <row r="44" spans="1:18" ht="15.75" x14ac:dyDescent="0.25">
      <c r="A44" s="174">
        <v>16</v>
      </c>
      <c r="B44" s="189" t="str">
        <f>Підсумки!C45</f>
        <v>Померанцева Марія Андріївна</v>
      </c>
      <c r="C44" s="180"/>
      <c r="D44" s="180"/>
      <c r="E44" s="180"/>
      <c r="F44" s="180"/>
      <c r="G44" s="180"/>
      <c r="H44" s="180"/>
      <c r="I44" s="174"/>
      <c r="J44" s="174"/>
      <c r="K44" s="174"/>
      <c r="L44" s="174"/>
      <c r="M44" s="174"/>
      <c r="N44" s="174"/>
      <c r="O44" s="174"/>
      <c r="P44" s="175"/>
      <c r="Q44" s="200">
        <f t="shared" si="5"/>
        <v>14</v>
      </c>
      <c r="R44" s="198">
        <f>Підсумки!E45</f>
        <v>46.5</v>
      </c>
    </row>
    <row r="45" spans="1:18" ht="15.75" x14ac:dyDescent="0.25">
      <c r="A45" s="174">
        <v>17</v>
      </c>
      <c r="B45" s="189" t="str">
        <f>Підсумки!C46</f>
        <v>Пушкарьов Вадим Сергійович</v>
      </c>
      <c r="C45" s="180"/>
      <c r="D45" s="180"/>
      <c r="E45" s="180"/>
      <c r="F45" s="180"/>
      <c r="G45" s="180"/>
      <c r="H45" s="180"/>
      <c r="I45" s="174"/>
      <c r="J45" s="174"/>
      <c r="K45" s="174"/>
      <c r="L45" s="174"/>
      <c r="M45" s="174"/>
      <c r="N45" s="174"/>
      <c r="O45" s="174"/>
      <c r="P45" s="175"/>
      <c r="Q45" s="200">
        <f t="shared" si="5"/>
        <v>14</v>
      </c>
      <c r="R45" s="198">
        <f>Підсумки!E46</f>
        <v>51</v>
      </c>
    </row>
    <row r="46" spans="1:18" ht="15.75" x14ac:dyDescent="0.25">
      <c r="A46" s="174">
        <v>18</v>
      </c>
      <c r="B46" s="189" t="str">
        <f>Підсумки!C47</f>
        <v>Румянцев Максим Євгенійович</v>
      </c>
      <c r="C46" s="180"/>
      <c r="D46" s="180"/>
      <c r="E46" s="180"/>
      <c r="F46" s="180"/>
      <c r="G46" s="180"/>
      <c r="H46" s="180"/>
      <c r="I46" s="174"/>
      <c r="J46" s="174"/>
      <c r="K46" s="174"/>
      <c r="L46" s="174"/>
      <c r="M46" s="174"/>
      <c r="N46" s="174"/>
      <c r="O46" s="174"/>
      <c r="P46" s="175"/>
      <c r="Q46" s="200">
        <f t="shared" si="5"/>
        <v>14</v>
      </c>
      <c r="R46" s="198">
        <f>Підсумки!E47</f>
        <v>44</v>
      </c>
    </row>
    <row r="47" spans="1:18" ht="15.75" x14ac:dyDescent="0.25">
      <c r="A47" s="174">
        <v>19</v>
      </c>
      <c r="B47" s="189" t="str">
        <f>Підсумки!C48</f>
        <v>Салагор Сергій Володимирович</v>
      </c>
      <c r="C47" s="180"/>
      <c r="D47" s="180"/>
      <c r="E47" s="180"/>
      <c r="F47" s="180"/>
      <c r="G47" s="180"/>
      <c r="H47" s="180"/>
      <c r="I47" s="174"/>
      <c r="J47" s="174"/>
      <c r="K47" s="174"/>
      <c r="L47" s="174"/>
      <c r="M47" s="174"/>
      <c r="N47" s="174"/>
      <c r="O47" s="174"/>
      <c r="P47" s="175"/>
      <c r="Q47" s="200">
        <f t="shared" si="5"/>
        <v>14</v>
      </c>
      <c r="R47" s="198">
        <f>Підсумки!E48</f>
        <v>37</v>
      </c>
    </row>
    <row r="48" spans="1:18" ht="15.75" x14ac:dyDescent="0.25">
      <c r="A48" s="174">
        <v>20</v>
      </c>
      <c r="B48" s="189" t="str">
        <f>Підсумки!C49</f>
        <v>Слекар Олег Сергійович</v>
      </c>
      <c r="C48" s="180"/>
      <c r="D48" s="180"/>
      <c r="E48" s="180"/>
      <c r="F48" s="180"/>
      <c r="G48" s="180"/>
      <c r="H48" s="180"/>
      <c r="I48" s="174"/>
      <c r="J48" s="174"/>
      <c r="K48" s="174"/>
      <c r="L48" s="174"/>
      <c r="M48" s="174"/>
      <c r="N48" s="174"/>
      <c r="O48" s="174"/>
      <c r="P48" s="175"/>
      <c r="Q48" s="200">
        <f t="shared" si="5"/>
        <v>14</v>
      </c>
      <c r="R48" s="198">
        <f>Підсумки!E49</f>
        <v>41</v>
      </c>
    </row>
    <row r="49" spans="1:18" ht="15.75" x14ac:dyDescent="0.25">
      <c r="A49" s="174">
        <v>21</v>
      </c>
      <c r="B49" s="189" t="str">
        <f>Підсумки!C50</f>
        <v>Тиховід Олександр Васильович</v>
      </c>
      <c r="C49" s="180"/>
      <c r="D49" s="180"/>
      <c r="E49" s="180"/>
      <c r="F49" s="180"/>
      <c r="G49" s="180"/>
      <c r="H49" s="180"/>
      <c r="I49" s="174"/>
      <c r="J49" s="174"/>
      <c r="K49" s="174"/>
      <c r="L49" s="174"/>
      <c r="M49" s="174"/>
      <c r="N49" s="174"/>
      <c r="O49" s="174"/>
      <c r="P49" s="175"/>
      <c r="Q49" s="200">
        <f t="shared" si="5"/>
        <v>14</v>
      </c>
      <c r="R49" s="198">
        <f>Підсумки!E50</f>
        <v>59.5</v>
      </c>
    </row>
    <row r="50" spans="1:18" ht="15.75" x14ac:dyDescent="0.25">
      <c r="A50" s="174">
        <v>22</v>
      </c>
      <c r="B50" s="189" t="str">
        <f>Підсумки!C51</f>
        <v>Токарєв Владислав Миколайович</v>
      </c>
      <c r="C50" s="180"/>
      <c r="D50" s="180"/>
      <c r="E50" s="180"/>
      <c r="F50" s="180"/>
      <c r="G50" s="180"/>
      <c r="H50" s="180"/>
      <c r="I50" s="174"/>
      <c r="J50" s="174"/>
      <c r="K50" s="174"/>
      <c r="L50" s="174"/>
      <c r="M50" s="174"/>
      <c r="N50" s="174"/>
      <c r="O50" s="174"/>
      <c r="P50" s="175"/>
      <c r="Q50" s="200">
        <f t="shared" si="5"/>
        <v>14</v>
      </c>
      <c r="R50" s="198">
        <f>Підсумки!E51</f>
        <v>67.5</v>
      </c>
    </row>
    <row r="51" spans="1:18" ht="16.5" thickBot="1" x14ac:dyDescent="0.3">
      <c r="A51" s="176"/>
      <c r="B51" s="190"/>
      <c r="C51" s="181"/>
      <c r="D51" s="181"/>
      <c r="E51" s="181"/>
      <c r="F51" s="181"/>
      <c r="G51" s="181"/>
      <c r="H51" s="181"/>
      <c r="I51" s="176"/>
      <c r="J51" s="176"/>
      <c r="K51" s="176"/>
      <c r="L51" s="176"/>
      <c r="M51" s="176"/>
      <c r="N51" s="176"/>
      <c r="O51" s="176"/>
      <c r="P51" s="177"/>
      <c r="Q51" s="195">
        <f t="shared" si="5"/>
        <v>14</v>
      </c>
      <c r="R51" s="182">
        <f>Підсумки!E52</f>
        <v>51.5</v>
      </c>
    </row>
    <row r="52" spans="1:18" x14ac:dyDescent="0.2">
      <c r="A52" s="171"/>
      <c r="C52" s="178">
        <f t="shared" ref="C52:P52" si="6">SUM(C29:C50)</f>
        <v>0</v>
      </c>
      <c r="D52" s="178">
        <f t="shared" si="6"/>
        <v>0</v>
      </c>
      <c r="E52" s="178">
        <f t="shared" si="6"/>
        <v>0</v>
      </c>
      <c r="F52" s="178">
        <f t="shared" si="6"/>
        <v>0</v>
      </c>
      <c r="G52" s="178">
        <f t="shared" si="6"/>
        <v>0</v>
      </c>
      <c r="H52" s="178">
        <f t="shared" si="6"/>
        <v>0</v>
      </c>
      <c r="I52" s="178">
        <f t="shared" si="6"/>
        <v>0</v>
      </c>
      <c r="J52" s="178">
        <f t="shared" si="6"/>
        <v>0</v>
      </c>
      <c r="K52" s="178">
        <f t="shared" si="6"/>
        <v>0</v>
      </c>
      <c r="L52" s="178">
        <f t="shared" si="6"/>
        <v>0</v>
      </c>
      <c r="M52" s="178">
        <f t="shared" si="6"/>
        <v>0</v>
      </c>
      <c r="N52" s="178">
        <f t="shared" si="6"/>
        <v>0</v>
      </c>
      <c r="O52" s="178">
        <f t="shared" si="6"/>
        <v>0</v>
      </c>
      <c r="P52" s="178">
        <f t="shared" si="6"/>
        <v>0</v>
      </c>
      <c r="Q52" s="178"/>
    </row>
  </sheetData>
  <customSheetViews>
    <customSheetView guid="{C5D960BD-C1A6-4228-A267-A87ADCF0AB55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6C8D603E-9A1B-49F4-AEFE-06707C7BCD53}" showPageBreaks="1">
      <pane xSplit="2" ySplit="1" topLeftCell="D2" activePane="bottomRight" state="frozen"/>
      <selection pane="bottomRight" activeCell="C5" sqref="C5"/>
      <pageMargins left="0.75" right="0.75" top="1" bottom="1" header="0.5" footer="0.5"/>
      <pageSetup orientation="portrait" r:id="rId2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5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6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7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1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2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3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4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5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6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7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8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9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0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3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4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5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6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7"/>
      <headerFooter alignWithMargins="0"/>
    </customSheetView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28"/>
      <headerFooter alignWithMargins="0"/>
    </customSheetView>
    <customSheetView guid="{17400EAF-4B0B-49FE-8262-4A59DA70D10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9"/>
      <headerFooter alignWithMargins="0"/>
    </customSheetView>
  </customSheetViews>
  <phoneticPr fontId="0" type="noConversion"/>
  <pageMargins left="0.75" right="0.75" top="1" bottom="1" header="0.5" footer="0.5"/>
  <pageSetup paperSize="0" orientation="portrait" horizontalDpi="0" verticalDpi="0" copies="0" r:id="rId3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BB144"/>
  <sheetViews>
    <sheetView showGridLines="0" zoomScale="60" zoomScaleNormal="86" workbookViewId="0">
      <pane xSplit="5" ySplit="6" topLeftCell="U7" activePane="bottomRight" state="frozen"/>
      <selection pane="topRight" activeCell="F1" sqref="F1"/>
      <selection pane="bottomLeft" activeCell="A7" sqref="A7"/>
      <selection pane="bottomRight" activeCell="AH19" sqref="AH19"/>
    </sheetView>
  </sheetViews>
  <sheetFormatPr defaultColWidth="9.28515625" defaultRowHeight="12.75" x14ac:dyDescent="0.2"/>
  <cols>
    <col min="1" max="1" width="4.28515625" style="1" customWidth="1"/>
    <col min="2" max="2" width="39.4257812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6" style="30" customWidth="1"/>
    <col min="7" max="7" width="11.28515625" style="1" customWidth="1"/>
    <col min="8" max="8" width="15.28515625" style="1" customWidth="1"/>
    <col min="9" max="9" width="12.28515625" style="1" customWidth="1"/>
    <col min="10" max="10" width="13.7109375" style="1" customWidth="1"/>
    <col min="11" max="11" width="11.28515625" style="1" customWidth="1"/>
    <col min="12" max="12" width="14.5703125" style="1" customWidth="1"/>
    <col min="13" max="13" width="11.5703125" style="1" customWidth="1"/>
    <col min="14" max="14" width="9.7109375" style="1" customWidth="1"/>
    <col min="15" max="15" width="12.28515625" style="1" customWidth="1"/>
    <col min="16" max="16" width="9.7109375" style="1" customWidth="1"/>
    <col min="17" max="17" width="13.28515625" style="1" customWidth="1"/>
    <col min="18" max="18" width="10" style="1" customWidth="1"/>
    <col min="19" max="19" width="11.28515625" style="1" customWidth="1"/>
    <col min="20" max="20" width="12" style="1" customWidth="1"/>
    <col min="21" max="21" width="11.85546875" style="1" customWidth="1"/>
    <col min="22" max="22" width="10.5703125" style="1" customWidth="1"/>
    <col min="23" max="23" width="12.7109375" style="1" customWidth="1"/>
    <col min="24" max="24" width="13.28515625" style="1" customWidth="1"/>
    <col min="25" max="25" width="9.28515625" style="1" customWidth="1"/>
    <col min="26" max="26" width="12.5703125" style="1" customWidth="1"/>
    <col min="27" max="27" width="9.7109375" style="1" customWidth="1"/>
    <col min="28" max="28" width="10.7109375" style="1" customWidth="1"/>
    <col min="29" max="29" width="10.28515625" style="1" customWidth="1"/>
    <col min="30" max="30" width="10" style="1" customWidth="1"/>
    <col min="31" max="31" width="10.28515625" style="1" customWidth="1"/>
    <col min="32" max="33" width="11.7109375" style="1" customWidth="1"/>
    <col min="34" max="34" width="11.5703125" style="1" customWidth="1"/>
    <col min="35" max="35" width="10.7109375" style="1" customWidth="1"/>
    <col min="36" max="37" width="11" style="1" customWidth="1"/>
    <col min="38" max="38" width="13.28515625" style="1" customWidth="1"/>
    <col min="39" max="39" width="9.85546875" style="1" customWidth="1"/>
    <col min="40" max="40" width="10.7109375" style="1" customWidth="1"/>
    <col min="41" max="41" width="10" style="1" customWidth="1"/>
    <col min="42" max="42" width="10.28515625" style="1" customWidth="1"/>
    <col min="43" max="43" width="11.28515625" style="1" customWidth="1"/>
    <col min="44" max="44" width="8" style="1" customWidth="1"/>
    <col min="45" max="45" width="10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285156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W1" s="1" t="s">
        <v>266</v>
      </c>
    </row>
    <row r="2" spans="1:44" ht="26.25" customHeight="1" thickBot="1" x14ac:dyDescent="0.25">
      <c r="A2" s="21"/>
      <c r="B2" s="239" t="s">
        <v>297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 t="s">
        <v>207</v>
      </c>
      <c r="Z2" s="575" t="s">
        <v>176</v>
      </c>
      <c r="AA2" s="575"/>
      <c r="AB2" s="575" t="s">
        <v>176</v>
      </c>
      <c r="AC2" s="575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">
      <c r="A3" s="240"/>
      <c r="B3" s="954" t="s">
        <v>263</v>
      </c>
      <c r="C3" s="942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148" t="s">
        <v>134</v>
      </c>
      <c r="K3" s="149"/>
      <c r="L3" s="150"/>
      <c r="M3" s="888" t="s">
        <v>135</v>
      </c>
      <c r="N3" s="890"/>
      <c r="O3" s="888" t="s">
        <v>136</v>
      </c>
      <c r="P3" s="898"/>
      <c r="Q3" s="890"/>
      <c r="R3" s="138" t="s">
        <v>137</v>
      </c>
      <c r="S3" s="152"/>
      <c r="T3" s="152"/>
      <c r="U3" s="888" t="s">
        <v>138</v>
      </c>
      <c r="V3" s="890"/>
      <c r="W3" s="148" t="s">
        <v>139</v>
      </c>
      <c r="X3" s="149"/>
      <c r="Y3" s="150"/>
      <c r="Z3" s="902" t="s">
        <v>140</v>
      </c>
      <c r="AA3" s="903"/>
      <c r="AB3" s="888" t="s">
        <v>141</v>
      </c>
      <c r="AC3" s="904"/>
      <c r="AD3" s="879" t="s">
        <v>142</v>
      </c>
      <c r="AE3" s="880"/>
      <c r="AF3" s="888" t="s">
        <v>143</v>
      </c>
      <c r="AG3" s="889"/>
      <c r="AH3" s="890"/>
      <c r="AI3" s="888" t="s">
        <v>144</v>
      </c>
      <c r="AJ3" s="889"/>
      <c r="AK3" s="890"/>
      <c r="AL3" s="879" t="s">
        <v>246</v>
      </c>
      <c r="AM3" s="880"/>
    </row>
    <row r="4" spans="1:44" ht="22.5" customHeight="1" x14ac:dyDescent="0.25">
      <c r="A4" s="241"/>
      <c r="B4" s="955"/>
      <c r="C4" s="943"/>
      <c r="D4" s="916"/>
      <c r="E4" s="914"/>
      <c r="F4" s="33" t="s">
        <v>145</v>
      </c>
      <c r="G4" s="34"/>
      <c r="H4" s="33" t="s">
        <v>146</v>
      </c>
      <c r="I4" s="151"/>
      <c r="J4" s="426" t="s">
        <v>147</v>
      </c>
      <c r="K4" s="39"/>
      <c r="L4" s="46"/>
      <c r="M4" s="33" t="s">
        <v>148</v>
      </c>
      <c r="N4" s="34"/>
      <c r="O4" s="36" t="s">
        <v>149</v>
      </c>
      <c r="P4" s="43"/>
      <c r="Q4" s="23"/>
      <c r="R4" s="35"/>
      <c r="S4" s="36" t="s">
        <v>150</v>
      </c>
      <c r="T4" s="22"/>
      <c r="U4" s="36" t="s">
        <v>258</v>
      </c>
      <c r="V4" s="23"/>
      <c r="W4" s="574" t="s">
        <v>258</v>
      </c>
      <c r="X4" s="75" t="s">
        <v>237</v>
      </c>
      <c r="Y4" s="76"/>
      <c r="Z4" s="574" t="s">
        <v>258</v>
      </c>
      <c r="AA4" s="38"/>
      <c r="AB4" s="574" t="s">
        <v>258</v>
      </c>
      <c r="AC4" s="22"/>
      <c r="AD4" s="37" t="s">
        <v>151</v>
      </c>
      <c r="AE4" s="428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311</v>
      </c>
      <c r="AM4" s="428"/>
    </row>
    <row r="5" spans="1:44" ht="37.35" customHeight="1" x14ac:dyDescent="0.2">
      <c r="A5" s="241"/>
      <c r="B5" s="956"/>
      <c r="C5" s="943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881" t="s">
        <v>172</v>
      </c>
      <c r="K5" s="887" t="s">
        <v>221</v>
      </c>
      <c r="L5" s="47" t="s">
        <v>152</v>
      </c>
      <c r="M5" s="881" t="s">
        <v>172</v>
      </c>
      <c r="N5" s="576" t="s">
        <v>166</v>
      </c>
      <c r="O5" s="881" t="s">
        <v>172</v>
      </c>
      <c r="P5" s="887" t="s">
        <v>220</v>
      </c>
      <c r="Q5" s="47" t="s">
        <v>152</v>
      </c>
      <c r="R5" s="894" t="s">
        <v>172</v>
      </c>
      <c r="S5" s="887" t="s">
        <v>257</v>
      </c>
      <c r="T5" s="183" t="s">
        <v>152</v>
      </c>
      <c r="U5" s="881" t="s">
        <v>172</v>
      </c>
      <c r="V5" s="883" t="s">
        <v>166</v>
      </c>
      <c r="W5" s="881" t="s">
        <v>172</v>
      </c>
      <c r="X5" s="887" t="s">
        <v>173</v>
      </c>
      <c r="Y5" s="47" t="s">
        <v>152</v>
      </c>
      <c r="Z5" s="894" t="s">
        <v>172</v>
      </c>
      <c r="AA5" s="576" t="s">
        <v>166</v>
      </c>
      <c r="AB5" s="881" t="s">
        <v>172</v>
      </c>
      <c r="AC5" s="576" t="s">
        <v>166</v>
      </c>
      <c r="AD5" s="881" t="s">
        <v>172</v>
      </c>
      <c r="AE5" s="883" t="s">
        <v>166</v>
      </c>
      <c r="AF5" s="881" t="s">
        <v>172</v>
      </c>
      <c r="AG5" s="885" t="s">
        <v>305</v>
      </c>
      <c r="AH5" s="47" t="s">
        <v>152</v>
      </c>
      <c r="AI5" s="881" t="s">
        <v>172</v>
      </c>
      <c r="AJ5" s="885" t="s">
        <v>306</v>
      </c>
      <c r="AK5" s="47" t="s">
        <v>152</v>
      </c>
      <c r="AL5" s="881" t="s">
        <v>172</v>
      </c>
      <c r="AM5" s="883" t="s">
        <v>166</v>
      </c>
    </row>
    <row r="6" spans="1:44" ht="28.9" customHeight="1" thickBot="1" x14ac:dyDescent="0.25">
      <c r="A6" s="241"/>
      <c r="B6" s="956"/>
      <c r="C6" s="943"/>
      <c r="D6" s="916"/>
      <c r="E6" s="914"/>
      <c r="F6" s="882"/>
      <c r="G6" s="884"/>
      <c r="H6" s="882"/>
      <c r="I6" s="907"/>
      <c r="J6" s="882"/>
      <c r="K6" s="886"/>
      <c r="L6" s="89">
        <v>6</v>
      </c>
      <c r="M6" s="882"/>
      <c r="N6" s="577"/>
      <c r="O6" s="882"/>
      <c r="P6" s="886"/>
      <c r="Q6" s="89">
        <v>16</v>
      </c>
      <c r="R6" s="895"/>
      <c r="S6" s="905"/>
      <c r="T6" s="184">
        <v>6</v>
      </c>
      <c r="U6" s="882"/>
      <c r="V6" s="884"/>
      <c r="W6" s="882"/>
      <c r="X6" s="886"/>
      <c r="Y6" s="89">
        <v>20</v>
      </c>
      <c r="Z6" s="895"/>
      <c r="AA6" s="577"/>
      <c r="AB6" s="882"/>
      <c r="AC6" s="577"/>
      <c r="AD6" s="882"/>
      <c r="AE6" s="884"/>
      <c r="AF6" s="882"/>
      <c r="AG6" s="886"/>
      <c r="AH6" s="89" t="s">
        <v>346</v>
      </c>
      <c r="AI6" s="882"/>
      <c r="AJ6" s="886"/>
      <c r="AK6" s="89" t="s">
        <v>347</v>
      </c>
      <c r="AL6" s="882"/>
      <c r="AM6" s="884"/>
    </row>
    <row r="7" spans="1:44" ht="22.5" customHeight="1" thickBot="1" x14ac:dyDescent="0.3">
      <c r="A7" s="241"/>
      <c r="B7" s="956"/>
      <c r="C7" s="912"/>
      <c r="D7" s="916"/>
      <c r="E7" s="914"/>
      <c r="F7" s="491">
        <v>42382</v>
      </c>
      <c r="G7" s="88"/>
      <c r="H7" s="87">
        <v>42382</v>
      </c>
      <c r="I7" s="490"/>
      <c r="J7" s="205">
        <f>F7+14</f>
        <v>42396</v>
      </c>
      <c r="K7" s="206"/>
      <c r="L7" s="207"/>
      <c r="M7" s="139">
        <f>H7+14</f>
        <v>42396</v>
      </c>
      <c r="N7" s="140"/>
      <c r="O7" s="704">
        <f>J7+14</f>
        <v>42410</v>
      </c>
      <c r="P7" s="705"/>
      <c r="Q7" s="706"/>
      <c r="R7" s="708">
        <f>M7+14</f>
        <v>42410</v>
      </c>
      <c r="S7" s="206"/>
      <c r="T7" s="207"/>
      <c r="U7" s="205">
        <f>O7+14</f>
        <v>42424</v>
      </c>
      <c r="V7" s="207"/>
      <c r="W7" s="205">
        <f>R7+14</f>
        <v>42424</v>
      </c>
      <c r="X7" s="206"/>
      <c r="Y7" s="207"/>
      <c r="Z7" s="205">
        <f>U7+14</f>
        <v>42438</v>
      </c>
      <c r="AA7" s="207"/>
      <c r="AB7" s="205">
        <f>W7+14</f>
        <v>42438</v>
      </c>
      <c r="AC7" s="207"/>
      <c r="AD7" s="205">
        <f>Z7+14</f>
        <v>42452</v>
      </c>
      <c r="AE7" s="207"/>
      <c r="AF7" s="891">
        <f>AB7+14</f>
        <v>42452</v>
      </c>
      <c r="AG7" s="892"/>
      <c r="AH7" s="893"/>
      <c r="AI7" s="891">
        <f>AD7+14</f>
        <v>42466</v>
      </c>
      <c r="AJ7" s="892"/>
      <c r="AK7" s="893"/>
      <c r="AL7" s="564">
        <f>AD7+14</f>
        <v>42466</v>
      </c>
      <c r="AM7" s="633"/>
    </row>
    <row r="8" spans="1:44" s="381" customFormat="1" ht="26.25" customHeight="1" x14ac:dyDescent="0.25">
      <c r="A8" s="499">
        <v>1</v>
      </c>
      <c r="B8" s="622" t="s">
        <v>389</v>
      </c>
      <c r="C8" s="620">
        <v>1</v>
      </c>
      <c r="D8" s="376">
        <f t="shared" ref="D8:D21" si="0">SUM(L8,Q8,T8,Y8,AA8,AC8,AH8,AK8)</f>
        <v>0</v>
      </c>
      <c r="E8" s="403">
        <f t="shared" ref="E8:E21" si="1">SUM(D8:D8)</f>
        <v>0</v>
      </c>
      <c r="F8" s="406" t="s">
        <v>344</v>
      </c>
      <c r="G8" s="523"/>
      <c r="H8" s="405" t="s">
        <v>345</v>
      </c>
      <c r="I8" s="378"/>
      <c r="J8" s="713" t="s">
        <v>345</v>
      </c>
      <c r="K8" s="620">
        <f>C8</f>
        <v>1</v>
      </c>
      <c r="L8" s="380"/>
      <c r="M8" s="713" t="s">
        <v>345</v>
      </c>
      <c r="N8" s="380"/>
      <c r="O8" s="658" t="s">
        <v>345</v>
      </c>
      <c r="P8" s="427">
        <f>C8</f>
        <v>1</v>
      </c>
      <c r="Q8" s="476" t="str">
        <f t="shared" ref="Q8:Q20" si="2">IF(P8=0,"",VLOOKUP(P8,Підс3,2,FALSE))</f>
        <v xml:space="preserve"> </v>
      </c>
      <c r="R8" s="658" t="s">
        <v>345</v>
      </c>
      <c r="S8" s="547">
        <f>C8</f>
        <v>1</v>
      </c>
      <c r="T8" s="380"/>
      <c r="U8" s="738" t="s">
        <v>344</v>
      </c>
      <c r="V8" s="408"/>
      <c r="W8" s="779" t="s">
        <v>344</v>
      </c>
      <c r="X8" s="547">
        <f>C8</f>
        <v>1</v>
      </c>
      <c r="Y8" s="477" t="str">
        <f t="shared" ref="Y8:Y21" si="3">IF(X8=0,"",VLOOKUP(X8,Підс3,3,FALSE))</f>
        <v xml:space="preserve"> </v>
      </c>
      <c r="Z8" s="407" t="s">
        <v>345</v>
      </c>
      <c r="AA8" s="408"/>
      <c r="AB8" s="379"/>
      <c r="AC8" s="380"/>
      <c r="AD8" s="407"/>
      <c r="AE8" s="408"/>
      <c r="AF8" s="652"/>
      <c r="AG8" s="427">
        <f>C8</f>
        <v>1</v>
      </c>
      <c r="AH8" s="380"/>
      <c r="AI8" s="375"/>
      <c r="AJ8" s="547">
        <f>C8</f>
        <v>1</v>
      </c>
      <c r="AK8" s="408"/>
      <c r="AL8" s="379"/>
      <c r="AM8" s="478"/>
    </row>
    <row r="9" spans="1:44" s="415" customFormat="1" ht="19.5" thickBot="1" x14ac:dyDescent="0.3">
      <c r="A9" s="481">
        <v>2</v>
      </c>
      <c r="B9" s="622" t="s">
        <v>390</v>
      </c>
      <c r="C9" s="631">
        <v>2</v>
      </c>
      <c r="D9" s="475">
        <f t="shared" si="0"/>
        <v>51</v>
      </c>
      <c r="E9" s="506">
        <f t="shared" si="1"/>
        <v>51</v>
      </c>
      <c r="F9" s="388" t="s">
        <v>344</v>
      </c>
      <c r="G9" s="526"/>
      <c r="H9" s="387" t="s">
        <v>344</v>
      </c>
      <c r="I9" s="534"/>
      <c r="J9" s="714" t="s">
        <v>345</v>
      </c>
      <c r="K9" s="631">
        <f>C9</f>
        <v>2</v>
      </c>
      <c r="L9" s="384">
        <v>4</v>
      </c>
      <c r="M9" s="714" t="s">
        <v>345</v>
      </c>
      <c r="N9" s="411"/>
      <c r="O9" s="659" t="s">
        <v>345</v>
      </c>
      <c r="P9" s="427">
        <f t="shared" ref="P9:P21" si="4">C9</f>
        <v>2</v>
      </c>
      <c r="Q9" s="476">
        <f t="shared" si="2"/>
        <v>10.5</v>
      </c>
      <c r="R9" s="659" t="s">
        <v>345</v>
      </c>
      <c r="S9" s="330">
        <f>C9</f>
        <v>2</v>
      </c>
      <c r="T9" s="384">
        <v>6</v>
      </c>
      <c r="U9" s="573" t="s">
        <v>344</v>
      </c>
      <c r="V9" s="511"/>
      <c r="W9" s="780" t="s">
        <v>344</v>
      </c>
      <c r="X9" s="330">
        <f>C9</f>
        <v>2</v>
      </c>
      <c r="Y9" s="476">
        <f t="shared" si="3"/>
        <v>9.5</v>
      </c>
      <c r="Z9" s="388" t="s">
        <v>344</v>
      </c>
      <c r="AA9" s="412"/>
      <c r="AB9" s="413"/>
      <c r="AC9" s="517"/>
      <c r="AD9" s="388"/>
      <c r="AE9" s="412"/>
      <c r="AF9" s="653"/>
      <c r="AG9" s="427">
        <f t="shared" ref="AG9:AG21" si="5">C9</f>
        <v>2</v>
      </c>
      <c r="AH9" s="497">
        <v>11</v>
      </c>
      <c r="AI9" s="410"/>
      <c r="AJ9" s="330">
        <f>C9</f>
        <v>2</v>
      </c>
      <c r="AK9" s="512">
        <f>3+3+4</f>
        <v>10</v>
      </c>
      <c r="AL9" s="413"/>
      <c r="AM9" s="557"/>
    </row>
    <row r="10" spans="1:44" s="381" customFormat="1" ht="18.75" x14ac:dyDescent="0.25">
      <c r="A10" s="499">
        <v>3</v>
      </c>
      <c r="B10" s="627" t="s">
        <v>391</v>
      </c>
      <c r="C10" s="629">
        <v>3</v>
      </c>
      <c r="D10" s="475">
        <f t="shared" si="0"/>
        <v>46.5</v>
      </c>
      <c r="E10" s="506">
        <f t="shared" si="1"/>
        <v>46.5</v>
      </c>
      <c r="F10" s="388" t="s">
        <v>344</v>
      </c>
      <c r="G10" s="527"/>
      <c r="H10" s="387" t="s">
        <v>344</v>
      </c>
      <c r="I10" s="532"/>
      <c r="J10" s="570" t="s">
        <v>344</v>
      </c>
      <c r="K10" s="631">
        <f t="shared" ref="K10:K20" si="6">C10</f>
        <v>3</v>
      </c>
      <c r="L10" s="384">
        <v>4</v>
      </c>
      <c r="M10" s="570" t="s">
        <v>344</v>
      </c>
      <c r="N10" s="384"/>
      <c r="O10" s="659" t="s">
        <v>344</v>
      </c>
      <c r="P10" s="427">
        <f t="shared" si="4"/>
        <v>3</v>
      </c>
      <c r="Q10" s="476">
        <f t="shared" si="2"/>
        <v>9.5</v>
      </c>
      <c r="R10" s="659" t="s">
        <v>344</v>
      </c>
      <c r="S10" s="330">
        <f t="shared" ref="S10:S21" si="7">C10</f>
        <v>3</v>
      </c>
      <c r="T10" s="384">
        <v>6</v>
      </c>
      <c r="U10" s="636" t="s">
        <v>345</v>
      </c>
      <c r="V10" s="512"/>
      <c r="W10" s="781" t="s">
        <v>345</v>
      </c>
      <c r="X10" s="330">
        <f t="shared" ref="X10:X21" si="8">C10</f>
        <v>3</v>
      </c>
      <c r="Y10" s="476">
        <f t="shared" si="3"/>
        <v>10</v>
      </c>
      <c r="Z10" s="388" t="s">
        <v>344</v>
      </c>
      <c r="AA10" s="386"/>
      <c r="AB10" s="387"/>
      <c r="AC10" s="497"/>
      <c r="AD10" s="388"/>
      <c r="AE10" s="386"/>
      <c r="AF10" s="654"/>
      <c r="AG10" s="427">
        <f t="shared" si="5"/>
        <v>3</v>
      </c>
      <c r="AH10" s="497">
        <f>3+4+2</f>
        <v>9</v>
      </c>
      <c r="AI10" s="391"/>
      <c r="AJ10" s="330">
        <f t="shared" ref="AJ10:AJ20" si="9">C10</f>
        <v>3</v>
      </c>
      <c r="AK10" s="512">
        <f>3+3+2</f>
        <v>8</v>
      </c>
      <c r="AL10" s="387"/>
      <c r="AM10" s="480"/>
    </row>
    <row r="11" spans="1:44" s="381" customFormat="1" ht="19.5" thickBot="1" x14ac:dyDescent="0.3">
      <c r="A11" s="481">
        <v>4</v>
      </c>
      <c r="B11" s="622" t="s">
        <v>392</v>
      </c>
      <c r="C11" s="631">
        <v>4</v>
      </c>
      <c r="D11" s="475">
        <f t="shared" si="0"/>
        <v>51</v>
      </c>
      <c r="E11" s="506">
        <f t="shared" si="1"/>
        <v>51</v>
      </c>
      <c r="F11" s="388" t="s">
        <v>344</v>
      </c>
      <c r="G11" s="527"/>
      <c r="H11" s="387" t="s">
        <v>344</v>
      </c>
      <c r="I11" s="532"/>
      <c r="J11" s="570" t="s">
        <v>344</v>
      </c>
      <c r="K11" s="631">
        <f t="shared" si="6"/>
        <v>4</v>
      </c>
      <c r="L11" s="384">
        <v>5</v>
      </c>
      <c r="M11" s="570" t="s">
        <v>344</v>
      </c>
      <c r="N11" s="384"/>
      <c r="O11" s="659" t="s">
        <v>344</v>
      </c>
      <c r="P11" s="427">
        <f t="shared" si="4"/>
        <v>4</v>
      </c>
      <c r="Q11" s="476">
        <f t="shared" si="2"/>
        <v>7</v>
      </c>
      <c r="R11" s="659" t="s">
        <v>344</v>
      </c>
      <c r="S11" s="330">
        <f t="shared" si="7"/>
        <v>4</v>
      </c>
      <c r="T11" s="384">
        <v>6</v>
      </c>
      <c r="U11" s="573" t="s">
        <v>345</v>
      </c>
      <c r="V11" s="512"/>
      <c r="W11" s="780" t="s">
        <v>345</v>
      </c>
      <c r="X11" s="330">
        <f t="shared" si="8"/>
        <v>4</v>
      </c>
      <c r="Y11" s="476">
        <f t="shared" si="3"/>
        <v>17</v>
      </c>
      <c r="Z11" s="388" t="s">
        <v>345</v>
      </c>
      <c r="AA11" s="386"/>
      <c r="AB11" s="387"/>
      <c r="AC11" s="384"/>
      <c r="AD11" s="388"/>
      <c r="AE11" s="386"/>
      <c r="AF11" s="655"/>
      <c r="AG11" s="427">
        <f t="shared" si="5"/>
        <v>4</v>
      </c>
      <c r="AH11" s="384">
        <f>0+5+0</f>
        <v>5</v>
      </c>
      <c r="AI11" s="382"/>
      <c r="AJ11" s="330">
        <f t="shared" si="9"/>
        <v>4</v>
      </c>
      <c r="AK11" s="386">
        <v>11</v>
      </c>
      <c r="AL11" s="387"/>
      <c r="AM11" s="480"/>
    </row>
    <row r="12" spans="1:44" s="381" customFormat="1" ht="18.75" x14ac:dyDescent="0.25">
      <c r="A12" s="499">
        <v>5</v>
      </c>
      <c r="B12" s="622" t="s">
        <v>393</v>
      </c>
      <c r="C12" s="629">
        <v>5</v>
      </c>
      <c r="D12" s="475">
        <f t="shared" si="0"/>
        <v>44</v>
      </c>
      <c r="E12" s="506">
        <f t="shared" si="1"/>
        <v>44</v>
      </c>
      <c r="F12" s="388" t="s">
        <v>344</v>
      </c>
      <c r="G12" s="527"/>
      <c r="H12" s="387" t="s">
        <v>344</v>
      </c>
      <c r="I12" s="532"/>
      <c r="J12" s="714" t="s">
        <v>344</v>
      </c>
      <c r="K12" s="631">
        <f t="shared" si="6"/>
        <v>5</v>
      </c>
      <c r="L12" s="384">
        <v>6</v>
      </c>
      <c r="M12" s="714" t="s">
        <v>344</v>
      </c>
      <c r="N12" s="384"/>
      <c r="O12" s="659" t="s">
        <v>344</v>
      </c>
      <c r="P12" s="427">
        <f t="shared" si="4"/>
        <v>5</v>
      </c>
      <c r="Q12" s="476">
        <f t="shared" si="2"/>
        <v>16</v>
      </c>
      <c r="R12" s="659" t="s">
        <v>344</v>
      </c>
      <c r="S12" s="330">
        <f t="shared" si="7"/>
        <v>5</v>
      </c>
      <c r="T12" s="384">
        <v>6</v>
      </c>
      <c r="U12" s="636" t="s">
        <v>344</v>
      </c>
      <c r="V12" s="386"/>
      <c r="W12" s="781" t="s">
        <v>344</v>
      </c>
      <c r="X12" s="330">
        <f t="shared" si="8"/>
        <v>5</v>
      </c>
      <c r="Y12" s="476">
        <f t="shared" si="3"/>
        <v>16</v>
      </c>
      <c r="Z12" s="388" t="s">
        <v>344</v>
      </c>
      <c r="AA12" s="386"/>
      <c r="AB12" s="387"/>
      <c r="AC12" s="384"/>
      <c r="AD12" s="388"/>
      <c r="AE12" s="386"/>
      <c r="AF12" s="654"/>
      <c r="AG12" s="427">
        <f t="shared" si="5"/>
        <v>5</v>
      </c>
      <c r="AH12" s="384"/>
      <c r="AI12" s="391"/>
      <c r="AJ12" s="330">
        <f t="shared" si="9"/>
        <v>5</v>
      </c>
      <c r="AK12" s="386"/>
      <c r="AL12" s="387"/>
      <c r="AM12" s="480"/>
    </row>
    <row r="13" spans="1:44" s="381" customFormat="1" ht="18.75" x14ac:dyDescent="0.25">
      <c r="A13" s="698">
        <v>6</v>
      </c>
      <c r="B13" s="622" t="s">
        <v>394</v>
      </c>
      <c r="C13" s="631">
        <v>6</v>
      </c>
      <c r="D13" s="475">
        <f t="shared" si="0"/>
        <v>37</v>
      </c>
      <c r="E13" s="506">
        <f t="shared" si="1"/>
        <v>37</v>
      </c>
      <c r="F13" s="388" t="s">
        <v>344</v>
      </c>
      <c r="G13" s="527"/>
      <c r="H13" s="387" t="s">
        <v>344</v>
      </c>
      <c r="I13" s="532"/>
      <c r="J13" s="570" t="s">
        <v>344</v>
      </c>
      <c r="K13" s="631">
        <f t="shared" si="6"/>
        <v>6</v>
      </c>
      <c r="L13" s="384">
        <v>4</v>
      </c>
      <c r="M13" s="570" t="s">
        <v>344</v>
      </c>
      <c r="N13" s="384"/>
      <c r="O13" s="659" t="s">
        <v>345</v>
      </c>
      <c r="P13" s="427">
        <f t="shared" si="4"/>
        <v>6</v>
      </c>
      <c r="Q13" s="476">
        <f t="shared" si="2"/>
        <v>14</v>
      </c>
      <c r="R13" s="659" t="s">
        <v>345</v>
      </c>
      <c r="S13" s="330">
        <f t="shared" si="7"/>
        <v>6</v>
      </c>
      <c r="T13" s="384">
        <v>6</v>
      </c>
      <c r="U13" s="573" t="s">
        <v>344</v>
      </c>
      <c r="V13" s="386"/>
      <c r="W13" s="780" t="s">
        <v>344</v>
      </c>
      <c r="X13" s="330">
        <f t="shared" si="8"/>
        <v>6</v>
      </c>
      <c r="Y13" s="476">
        <f t="shared" si="3"/>
        <v>9</v>
      </c>
      <c r="Z13" s="388" t="s">
        <v>344</v>
      </c>
      <c r="AA13" s="386"/>
      <c r="AB13" s="387"/>
      <c r="AC13" s="384"/>
      <c r="AD13" s="388"/>
      <c r="AE13" s="386"/>
      <c r="AF13" s="655"/>
      <c r="AG13" s="427">
        <f t="shared" si="5"/>
        <v>6</v>
      </c>
      <c r="AH13" s="384">
        <f>0+4</f>
        <v>4</v>
      </c>
      <c r="AI13" s="382"/>
      <c r="AJ13" s="330">
        <f t="shared" si="9"/>
        <v>6</v>
      </c>
      <c r="AK13" s="869"/>
      <c r="AL13" s="387"/>
      <c r="AM13" s="480"/>
    </row>
    <row r="14" spans="1:44" s="418" customFormat="1" ht="18.75" x14ac:dyDescent="0.25">
      <c r="A14" s="699">
        <v>7</v>
      </c>
      <c r="B14" s="622" t="s">
        <v>447</v>
      </c>
      <c r="C14" s="629">
        <v>7</v>
      </c>
      <c r="D14" s="475">
        <f t="shared" si="0"/>
        <v>41</v>
      </c>
      <c r="E14" s="506">
        <f t="shared" si="1"/>
        <v>41</v>
      </c>
      <c r="F14" s="388" t="s">
        <v>344</v>
      </c>
      <c r="G14" s="527"/>
      <c r="H14" s="387" t="s">
        <v>344</v>
      </c>
      <c r="I14" s="532"/>
      <c r="J14" s="570" t="s">
        <v>344</v>
      </c>
      <c r="K14" s="631">
        <f t="shared" si="6"/>
        <v>7</v>
      </c>
      <c r="L14" s="384">
        <v>5</v>
      </c>
      <c r="M14" s="570" t="s">
        <v>344</v>
      </c>
      <c r="N14" s="384"/>
      <c r="O14" s="659" t="s">
        <v>344</v>
      </c>
      <c r="P14" s="427">
        <f t="shared" si="4"/>
        <v>7</v>
      </c>
      <c r="Q14" s="476">
        <f t="shared" si="2"/>
        <v>14</v>
      </c>
      <c r="R14" s="659" t="s">
        <v>344</v>
      </c>
      <c r="S14" s="330">
        <f t="shared" si="7"/>
        <v>7</v>
      </c>
      <c r="T14" s="384">
        <v>6</v>
      </c>
      <c r="U14" s="636" t="s">
        <v>344</v>
      </c>
      <c r="V14" s="512"/>
      <c r="W14" s="781" t="s">
        <v>344</v>
      </c>
      <c r="X14" s="330">
        <f t="shared" si="8"/>
        <v>7</v>
      </c>
      <c r="Y14" s="476">
        <f t="shared" si="3"/>
        <v>16</v>
      </c>
      <c r="Z14" s="388" t="s">
        <v>344</v>
      </c>
      <c r="AA14" s="386"/>
      <c r="AB14" s="387"/>
      <c r="AC14" s="497"/>
      <c r="AD14" s="388"/>
      <c r="AE14" s="386"/>
      <c r="AF14" s="654"/>
      <c r="AG14" s="427">
        <f t="shared" si="5"/>
        <v>7</v>
      </c>
      <c r="AH14" s="384"/>
      <c r="AI14" s="391"/>
      <c r="AJ14" s="330">
        <f t="shared" si="9"/>
        <v>7</v>
      </c>
      <c r="AK14" s="512"/>
      <c r="AL14" s="387"/>
      <c r="AM14" s="558"/>
    </row>
    <row r="15" spans="1:44" s="415" customFormat="1" ht="18.75" x14ac:dyDescent="0.25">
      <c r="A15" s="698">
        <v>8</v>
      </c>
      <c r="B15" s="622" t="s">
        <v>396</v>
      </c>
      <c r="C15" s="631">
        <v>8</v>
      </c>
      <c r="D15" s="475">
        <f t="shared" si="0"/>
        <v>59.5</v>
      </c>
      <c r="E15" s="506">
        <f t="shared" si="1"/>
        <v>59.5</v>
      </c>
      <c r="F15" s="388" t="s">
        <v>344</v>
      </c>
      <c r="G15" s="526"/>
      <c r="H15" s="387" t="s">
        <v>344</v>
      </c>
      <c r="I15" s="534"/>
      <c r="J15" s="714" t="s">
        <v>344</v>
      </c>
      <c r="K15" s="631">
        <f t="shared" si="6"/>
        <v>8</v>
      </c>
      <c r="L15" s="384">
        <v>6</v>
      </c>
      <c r="M15" s="714" t="s">
        <v>344</v>
      </c>
      <c r="N15" s="411"/>
      <c r="O15" s="659" t="s">
        <v>345</v>
      </c>
      <c r="P15" s="427">
        <f t="shared" si="4"/>
        <v>8</v>
      </c>
      <c r="Q15" s="476">
        <f t="shared" si="2"/>
        <v>16</v>
      </c>
      <c r="R15" s="659" t="s">
        <v>345</v>
      </c>
      <c r="S15" s="330">
        <f t="shared" si="7"/>
        <v>8</v>
      </c>
      <c r="T15" s="384">
        <v>6</v>
      </c>
      <c r="U15" s="573" t="s">
        <v>344</v>
      </c>
      <c r="V15" s="511"/>
      <c r="W15" s="780" t="s">
        <v>344</v>
      </c>
      <c r="X15" s="330">
        <f t="shared" si="8"/>
        <v>8</v>
      </c>
      <c r="Y15" s="476">
        <f t="shared" si="3"/>
        <v>9.5</v>
      </c>
      <c r="Z15" s="388" t="s">
        <v>344</v>
      </c>
      <c r="AA15" s="412"/>
      <c r="AB15" s="413"/>
      <c r="AC15" s="517"/>
      <c r="AD15" s="388"/>
      <c r="AE15" s="412"/>
      <c r="AF15" s="653"/>
      <c r="AG15" s="427">
        <f t="shared" si="5"/>
        <v>8</v>
      </c>
      <c r="AH15" s="384">
        <v>11</v>
      </c>
      <c r="AI15" s="410"/>
      <c r="AJ15" s="330">
        <f t="shared" si="9"/>
        <v>8</v>
      </c>
      <c r="AK15" s="512">
        <f>11</f>
        <v>11</v>
      </c>
      <c r="AL15" s="413"/>
      <c r="AM15" s="557"/>
    </row>
    <row r="16" spans="1:44" s="381" customFormat="1" ht="18.75" x14ac:dyDescent="0.25">
      <c r="A16" s="699">
        <v>9</v>
      </c>
      <c r="B16" s="622" t="s">
        <v>397</v>
      </c>
      <c r="C16" s="629">
        <v>9</v>
      </c>
      <c r="D16" s="475">
        <f t="shared" si="0"/>
        <v>67.5</v>
      </c>
      <c r="E16" s="506">
        <f t="shared" si="1"/>
        <v>67.5</v>
      </c>
      <c r="F16" s="388" t="s">
        <v>344</v>
      </c>
      <c r="G16" s="527"/>
      <c r="H16" s="387" t="s">
        <v>344</v>
      </c>
      <c r="I16" s="532"/>
      <c r="J16" s="570" t="s">
        <v>344</v>
      </c>
      <c r="K16" s="631">
        <f t="shared" si="6"/>
        <v>9</v>
      </c>
      <c r="L16" s="384">
        <v>5</v>
      </c>
      <c r="M16" s="570" t="s">
        <v>344</v>
      </c>
      <c r="N16" s="384"/>
      <c r="O16" s="659" t="s">
        <v>344</v>
      </c>
      <c r="P16" s="427">
        <f t="shared" si="4"/>
        <v>9</v>
      </c>
      <c r="Q16" s="476">
        <f t="shared" si="2"/>
        <v>16</v>
      </c>
      <c r="R16" s="659" t="s">
        <v>344</v>
      </c>
      <c r="S16" s="330">
        <f t="shared" si="7"/>
        <v>9</v>
      </c>
      <c r="T16" s="384">
        <v>6</v>
      </c>
      <c r="U16" s="636" t="s">
        <v>344</v>
      </c>
      <c r="V16" s="512"/>
      <c r="W16" s="781" t="s">
        <v>344</v>
      </c>
      <c r="X16" s="330">
        <f t="shared" si="8"/>
        <v>9</v>
      </c>
      <c r="Y16" s="476">
        <f t="shared" si="3"/>
        <v>19.5</v>
      </c>
      <c r="Z16" s="388" t="s">
        <v>344</v>
      </c>
      <c r="AA16" s="386"/>
      <c r="AB16" s="387"/>
      <c r="AC16" s="497"/>
      <c r="AD16" s="388"/>
      <c r="AE16" s="386"/>
      <c r="AF16" s="654"/>
      <c r="AG16" s="427">
        <f t="shared" si="5"/>
        <v>9</v>
      </c>
      <c r="AH16" s="384">
        <f>3+4+3</f>
        <v>10</v>
      </c>
      <c r="AI16" s="391"/>
      <c r="AJ16" s="330">
        <f t="shared" si="9"/>
        <v>9</v>
      </c>
      <c r="AK16" s="512">
        <v>11</v>
      </c>
      <c r="AL16" s="387"/>
      <c r="AM16" s="480"/>
    </row>
    <row r="17" spans="1:54" s="381" customFormat="1" ht="18.75" x14ac:dyDescent="0.25">
      <c r="A17" s="698">
        <v>10</v>
      </c>
      <c r="B17" s="622" t="s">
        <v>398</v>
      </c>
      <c r="C17" s="631">
        <v>10</v>
      </c>
      <c r="D17" s="475">
        <f t="shared" si="0"/>
        <v>51.5</v>
      </c>
      <c r="E17" s="506">
        <f t="shared" si="1"/>
        <v>51.5</v>
      </c>
      <c r="F17" s="388" t="s">
        <v>344</v>
      </c>
      <c r="G17" s="527"/>
      <c r="H17" s="387" t="s">
        <v>344</v>
      </c>
      <c r="I17" s="532"/>
      <c r="J17" s="570" t="s">
        <v>344</v>
      </c>
      <c r="K17" s="631">
        <f t="shared" si="6"/>
        <v>10</v>
      </c>
      <c r="L17" s="384">
        <v>6</v>
      </c>
      <c r="M17" s="570" t="s">
        <v>344</v>
      </c>
      <c r="N17" s="384"/>
      <c r="O17" s="659" t="s">
        <v>344</v>
      </c>
      <c r="P17" s="427">
        <f t="shared" si="4"/>
        <v>10</v>
      </c>
      <c r="Q17" s="476">
        <f t="shared" si="2"/>
        <v>16</v>
      </c>
      <c r="R17" s="659" t="s">
        <v>344</v>
      </c>
      <c r="S17" s="330">
        <f t="shared" si="7"/>
        <v>10</v>
      </c>
      <c r="T17" s="384">
        <v>6</v>
      </c>
      <c r="U17" s="573" t="s">
        <v>345</v>
      </c>
      <c r="V17" s="512"/>
      <c r="W17" s="780" t="s">
        <v>345</v>
      </c>
      <c r="X17" s="330">
        <f t="shared" si="8"/>
        <v>10</v>
      </c>
      <c r="Y17" s="476">
        <f t="shared" si="3"/>
        <v>9</v>
      </c>
      <c r="Z17" s="388" t="s">
        <v>345</v>
      </c>
      <c r="AA17" s="386"/>
      <c r="AB17" s="387"/>
      <c r="AC17" s="497"/>
      <c r="AD17" s="388"/>
      <c r="AE17" s="386"/>
      <c r="AF17" s="655"/>
      <c r="AG17" s="427">
        <f t="shared" si="5"/>
        <v>10</v>
      </c>
      <c r="AH17" s="384">
        <f>1.5+2+3</f>
        <v>6.5</v>
      </c>
      <c r="AI17" s="382"/>
      <c r="AJ17" s="330">
        <f t="shared" si="9"/>
        <v>10</v>
      </c>
      <c r="AK17" s="512">
        <f>3+2+3</f>
        <v>8</v>
      </c>
      <c r="AL17" s="387"/>
      <c r="AM17" s="480"/>
    </row>
    <row r="18" spans="1:54" s="381" customFormat="1" ht="18.75" x14ac:dyDescent="0.25">
      <c r="A18" s="699">
        <v>11</v>
      </c>
      <c r="B18" s="622" t="s">
        <v>399</v>
      </c>
      <c r="C18" s="629">
        <v>11</v>
      </c>
      <c r="D18" s="475">
        <f t="shared" si="0"/>
        <v>0</v>
      </c>
      <c r="E18" s="506">
        <f t="shared" si="1"/>
        <v>0</v>
      </c>
      <c r="F18" s="388" t="s">
        <v>344</v>
      </c>
      <c r="G18" s="524"/>
      <c r="H18" s="387" t="s">
        <v>345</v>
      </c>
      <c r="I18" s="532"/>
      <c r="J18" s="714" t="s">
        <v>345</v>
      </c>
      <c r="K18" s="631">
        <f t="shared" si="6"/>
        <v>11</v>
      </c>
      <c r="L18" s="384"/>
      <c r="M18" s="714" t="s">
        <v>345</v>
      </c>
      <c r="N18" s="384"/>
      <c r="O18" s="659" t="s">
        <v>345</v>
      </c>
      <c r="P18" s="427">
        <f t="shared" si="4"/>
        <v>11</v>
      </c>
      <c r="Q18" s="476" t="str">
        <f t="shared" si="2"/>
        <v xml:space="preserve"> </v>
      </c>
      <c r="R18" s="659" t="s">
        <v>345</v>
      </c>
      <c r="S18" s="330">
        <f t="shared" si="7"/>
        <v>11</v>
      </c>
      <c r="T18" s="384"/>
      <c r="U18" s="388" t="s">
        <v>345</v>
      </c>
      <c r="V18" s="386"/>
      <c r="W18" s="782" t="s">
        <v>345</v>
      </c>
      <c r="X18" s="330">
        <f t="shared" si="8"/>
        <v>11</v>
      </c>
      <c r="Y18" s="476" t="str">
        <f t="shared" si="3"/>
        <v xml:space="preserve"> </v>
      </c>
      <c r="Z18" s="388" t="s">
        <v>345</v>
      </c>
      <c r="AA18" s="386"/>
      <c r="AB18" s="387"/>
      <c r="AC18" s="497"/>
      <c r="AD18" s="388"/>
      <c r="AE18" s="386"/>
      <c r="AF18" s="654"/>
      <c r="AG18" s="427">
        <f t="shared" si="5"/>
        <v>11</v>
      </c>
      <c r="AH18" s="384"/>
      <c r="AI18" s="391"/>
      <c r="AJ18" s="330">
        <f t="shared" si="9"/>
        <v>11</v>
      </c>
      <c r="AK18" s="512"/>
      <c r="AL18" s="387"/>
      <c r="AM18" s="480"/>
    </row>
    <row r="19" spans="1:54" s="381" customFormat="1" ht="18.75" x14ac:dyDescent="0.25">
      <c r="A19" s="698">
        <v>12</v>
      </c>
      <c r="B19" s="622" t="s">
        <v>448</v>
      </c>
      <c r="C19" s="631">
        <v>12</v>
      </c>
      <c r="D19" s="475">
        <f t="shared" si="0"/>
        <v>55.5</v>
      </c>
      <c r="E19" s="506">
        <f t="shared" si="1"/>
        <v>55.5</v>
      </c>
      <c r="F19" s="388" t="s">
        <v>344</v>
      </c>
      <c r="G19" s="524"/>
      <c r="H19" s="387" t="s">
        <v>344</v>
      </c>
      <c r="I19" s="532"/>
      <c r="J19" s="570" t="s">
        <v>344</v>
      </c>
      <c r="K19" s="631">
        <f t="shared" si="6"/>
        <v>12</v>
      </c>
      <c r="L19" s="384">
        <v>5</v>
      </c>
      <c r="M19" s="570" t="s">
        <v>344</v>
      </c>
      <c r="N19" s="384"/>
      <c r="O19" s="659" t="s">
        <v>344</v>
      </c>
      <c r="P19" s="427">
        <f t="shared" si="4"/>
        <v>12</v>
      </c>
      <c r="Q19" s="476">
        <f t="shared" si="2"/>
        <v>14</v>
      </c>
      <c r="R19" s="659" t="s">
        <v>344</v>
      </c>
      <c r="S19" s="330">
        <f t="shared" si="7"/>
        <v>12</v>
      </c>
      <c r="T19" s="384">
        <v>6</v>
      </c>
      <c r="U19" s="388" t="s">
        <v>344</v>
      </c>
      <c r="V19" s="386"/>
      <c r="W19" s="782" t="s">
        <v>344</v>
      </c>
      <c r="X19" s="330">
        <f t="shared" si="8"/>
        <v>12</v>
      </c>
      <c r="Y19" s="476">
        <f t="shared" si="3"/>
        <v>11.5</v>
      </c>
      <c r="Z19" s="388" t="s">
        <v>344</v>
      </c>
      <c r="AA19" s="386"/>
      <c r="AB19" s="387"/>
      <c r="AC19" s="497"/>
      <c r="AD19" s="388"/>
      <c r="AE19" s="386"/>
      <c r="AF19" s="654"/>
      <c r="AG19" s="427">
        <f t="shared" si="5"/>
        <v>12</v>
      </c>
      <c r="AH19" s="384">
        <v>10</v>
      </c>
      <c r="AI19" s="391"/>
      <c r="AJ19" s="330">
        <f t="shared" si="9"/>
        <v>12</v>
      </c>
      <c r="AK19" s="512">
        <f>3+3+3</f>
        <v>9</v>
      </c>
      <c r="AL19" s="387"/>
      <c r="AM19" s="480"/>
    </row>
    <row r="20" spans="1:54" s="381" customFormat="1" ht="18.75" x14ac:dyDescent="0.25">
      <c r="A20" s="500">
        <v>13</v>
      </c>
      <c r="B20" s="622"/>
      <c r="C20" s="629">
        <v>0</v>
      </c>
      <c r="D20" s="475">
        <f t="shared" si="0"/>
        <v>0</v>
      </c>
      <c r="E20" s="506">
        <f t="shared" si="1"/>
        <v>0</v>
      </c>
      <c r="F20" s="388"/>
      <c r="G20" s="524"/>
      <c r="H20" s="387"/>
      <c r="I20" s="532"/>
      <c r="J20" s="530"/>
      <c r="K20" s="631">
        <f t="shared" si="6"/>
        <v>0</v>
      </c>
      <c r="L20" s="384"/>
      <c r="M20" s="387"/>
      <c r="N20" s="384"/>
      <c r="O20" s="659"/>
      <c r="P20" s="427">
        <f t="shared" si="4"/>
        <v>0</v>
      </c>
      <c r="Q20" s="476" t="str">
        <f t="shared" si="2"/>
        <v/>
      </c>
      <c r="R20" s="560"/>
      <c r="S20" s="330">
        <f t="shared" si="7"/>
        <v>0</v>
      </c>
      <c r="T20" s="384"/>
      <c r="U20" s="388"/>
      <c r="V20" s="545"/>
      <c r="W20" s="783"/>
      <c r="X20" s="330">
        <f t="shared" si="8"/>
        <v>0</v>
      </c>
      <c r="Y20" s="476" t="str">
        <f t="shared" si="3"/>
        <v/>
      </c>
      <c r="Z20" s="388"/>
      <c r="AA20" s="386"/>
      <c r="AB20" s="387"/>
      <c r="AC20" s="384"/>
      <c r="AD20" s="388"/>
      <c r="AE20" s="386"/>
      <c r="AF20" s="678"/>
      <c r="AG20" s="427">
        <f t="shared" si="5"/>
        <v>0</v>
      </c>
      <c r="AH20" s="384"/>
      <c r="AI20" s="518"/>
      <c r="AJ20" s="330">
        <f t="shared" si="9"/>
        <v>0</v>
      </c>
      <c r="AK20" s="386"/>
      <c r="AL20" s="387"/>
      <c r="AM20" s="480"/>
    </row>
    <row r="21" spans="1:54" s="381" customFormat="1" ht="19.5" thickBot="1" x14ac:dyDescent="0.3">
      <c r="A21" s="501">
        <v>14</v>
      </c>
      <c r="B21" s="630"/>
      <c r="C21" s="330">
        <v>0</v>
      </c>
      <c r="D21" s="395">
        <f t="shared" si="0"/>
        <v>0</v>
      </c>
      <c r="E21" s="507">
        <f t="shared" si="1"/>
        <v>0</v>
      </c>
      <c r="F21" s="401"/>
      <c r="G21" s="525"/>
      <c r="H21" s="400"/>
      <c r="I21" s="533"/>
      <c r="J21" s="529"/>
      <c r="K21" s="565"/>
      <c r="L21" s="397"/>
      <c r="M21" s="400"/>
      <c r="N21" s="397"/>
      <c r="O21" s="659"/>
      <c r="P21" s="427">
        <f t="shared" si="4"/>
        <v>0</v>
      </c>
      <c r="Q21" s="476"/>
      <c r="R21" s="544"/>
      <c r="S21" s="330">
        <f t="shared" si="7"/>
        <v>0</v>
      </c>
      <c r="T21" s="397"/>
      <c r="U21" s="401"/>
      <c r="V21" s="546"/>
      <c r="W21" s="784"/>
      <c r="X21" s="330">
        <f t="shared" si="8"/>
        <v>0</v>
      </c>
      <c r="Y21" s="483" t="str">
        <f t="shared" si="3"/>
        <v/>
      </c>
      <c r="Z21" s="401"/>
      <c r="AA21" s="399"/>
      <c r="AB21" s="400"/>
      <c r="AC21" s="397"/>
      <c r="AD21" s="401"/>
      <c r="AE21" s="399"/>
      <c r="AF21" s="679"/>
      <c r="AG21" s="427">
        <f t="shared" si="5"/>
        <v>0</v>
      </c>
      <c r="AH21" s="397"/>
      <c r="AI21" s="519"/>
      <c r="AJ21" s="330"/>
      <c r="AK21" s="399"/>
      <c r="AL21" s="400"/>
      <c r="AM21" s="484"/>
    </row>
    <row r="22" spans="1:54" ht="18" x14ac:dyDescent="0.25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10</v>
      </c>
      <c r="M22" s="20"/>
      <c r="N22" s="79"/>
      <c r="O22" s="104"/>
      <c r="P22" s="79"/>
      <c r="Q22" s="94"/>
      <c r="R22" s="79" t="s">
        <v>439</v>
      </c>
      <c r="S22" s="79"/>
      <c r="T22" s="104">
        <f>COUNT(T8:T21)</f>
        <v>10</v>
      </c>
      <c r="U22" s="79" t="s">
        <v>445</v>
      </c>
      <c r="V22" s="104"/>
      <c r="W22" s="94"/>
      <c r="X22" s="79"/>
      <c r="Y22" s="104">
        <f>COUNT(Y8:Y21)</f>
        <v>10</v>
      </c>
      <c r="Z22" s="79" t="s">
        <v>446</v>
      </c>
      <c r="AA22" s="94"/>
      <c r="AB22" s="79"/>
      <c r="AC22" s="79"/>
      <c r="AD22" s="79"/>
      <c r="AE22" s="79"/>
      <c r="AF22" s="104"/>
      <c r="AG22" s="79"/>
      <c r="AH22" s="79"/>
      <c r="AI22" s="79"/>
      <c r="AJ22" s="79"/>
      <c r="AK22" s="94"/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13</v>
      </c>
      <c r="AZ22" s="29"/>
      <c r="BA22" s="29"/>
      <c r="BB22" s="29"/>
    </row>
    <row r="23" spans="1:54" ht="18" x14ac:dyDescent="0.25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 x14ac:dyDescent="0.2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.75" x14ac:dyDescent="0.2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.75" x14ac:dyDescent="0.2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75" x14ac:dyDescent="0.25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75" x14ac:dyDescent="0.2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75" x14ac:dyDescent="0.25">
      <c r="A29" s="52"/>
      <c r="B29" s="49"/>
      <c r="C29" s="26"/>
      <c r="D29" s="26"/>
      <c r="E29" s="26"/>
      <c r="F29" s="26"/>
      <c r="G29" s="20"/>
      <c r="H29" s="20" t="s">
        <v>348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69" customHeight="1" x14ac:dyDescent="0.2">
      <c r="A30" s="52"/>
      <c r="B30" s="49"/>
      <c r="C30" s="26"/>
      <c r="D30" s="732" t="s">
        <v>389</v>
      </c>
      <c r="E30" s="732" t="s">
        <v>390</v>
      </c>
      <c r="F30" s="732" t="s">
        <v>391</v>
      </c>
      <c r="G30" s="733" t="s">
        <v>392</v>
      </c>
      <c r="H30" s="733" t="s">
        <v>393</v>
      </c>
      <c r="I30" s="733" t="s">
        <v>394</v>
      </c>
      <c r="J30" s="733" t="s">
        <v>395</v>
      </c>
      <c r="K30" s="733" t="s">
        <v>396</v>
      </c>
      <c r="L30" s="733" t="s">
        <v>397</v>
      </c>
      <c r="M30" s="733" t="s">
        <v>398</v>
      </c>
      <c r="N30" s="733" t="s">
        <v>399</v>
      </c>
      <c r="O30" s="733" t="s">
        <v>400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54" ht="26.25" customHeight="1" x14ac:dyDescent="0.2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6" t="s">
        <v>236</v>
      </c>
      <c r="T31" s="116" t="s">
        <v>170</v>
      </c>
      <c r="U31" s="116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 x14ac:dyDescent="0.2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06" t="str">
        <f>IF($D40=0," ",$D40)</f>
        <v xml:space="preserve"> </v>
      </c>
      <c r="U32" s="106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 x14ac:dyDescent="0.2">
      <c r="A33" s="51"/>
      <c r="B33" s="95" t="s">
        <v>1</v>
      </c>
      <c r="C33" s="156">
        <v>2</v>
      </c>
      <c r="D33" s="358"/>
      <c r="E33" s="359">
        <v>2</v>
      </c>
      <c r="F33" s="358">
        <v>1</v>
      </c>
      <c r="G33" s="358">
        <v>2</v>
      </c>
      <c r="H33" s="360">
        <v>2</v>
      </c>
      <c r="I33" s="360">
        <v>2</v>
      </c>
      <c r="J33" s="360">
        <v>2</v>
      </c>
      <c r="K33" s="360">
        <v>2</v>
      </c>
      <c r="L33" s="361">
        <v>2</v>
      </c>
      <c r="M33" s="360">
        <v>2</v>
      </c>
      <c r="N33" s="360"/>
      <c r="O33" s="360">
        <v>2</v>
      </c>
      <c r="P33" s="360"/>
      <c r="Q33" s="358"/>
      <c r="R33" s="358"/>
      <c r="S33" s="131">
        <v>2</v>
      </c>
      <c r="T33" s="106">
        <f>IF($E40=0," ",$E40)</f>
        <v>10.5</v>
      </c>
      <c r="U33" s="106">
        <f>IF($E46=0," ",$E46)</f>
        <v>9.5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 x14ac:dyDescent="0.2">
      <c r="A34" s="51"/>
      <c r="B34" s="95" t="s">
        <v>3</v>
      </c>
      <c r="C34" s="156">
        <v>2</v>
      </c>
      <c r="D34" s="358"/>
      <c r="E34" s="359">
        <v>1.5</v>
      </c>
      <c r="F34" s="362">
        <v>2</v>
      </c>
      <c r="G34" s="358">
        <v>2</v>
      </c>
      <c r="H34" s="360">
        <v>2</v>
      </c>
      <c r="I34" s="360">
        <v>2</v>
      </c>
      <c r="J34" s="360">
        <v>2</v>
      </c>
      <c r="K34" s="360">
        <v>2</v>
      </c>
      <c r="L34" s="361">
        <v>2</v>
      </c>
      <c r="M34" s="360">
        <v>2</v>
      </c>
      <c r="N34" s="360"/>
      <c r="O34" s="360">
        <v>2</v>
      </c>
      <c r="P34" s="360"/>
      <c r="Q34" s="362"/>
      <c r="R34" s="362"/>
      <c r="S34" s="131">
        <v>3</v>
      </c>
      <c r="T34" s="106">
        <f>IF($F40=0," ",$F40)</f>
        <v>9.5</v>
      </c>
      <c r="U34" s="106">
        <f>IF($F46=0," ",$F46)</f>
        <v>10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5</v>
      </c>
      <c r="C35" s="156">
        <v>2</v>
      </c>
      <c r="D35" s="358"/>
      <c r="E35" s="359">
        <v>0</v>
      </c>
      <c r="F35" s="362">
        <v>1.5</v>
      </c>
      <c r="G35" s="358">
        <v>2</v>
      </c>
      <c r="H35" s="360">
        <v>2</v>
      </c>
      <c r="I35" s="360">
        <v>2</v>
      </c>
      <c r="J35" s="360">
        <v>2</v>
      </c>
      <c r="K35" s="360">
        <v>2</v>
      </c>
      <c r="L35" s="361">
        <v>2</v>
      </c>
      <c r="M35" s="360">
        <v>2</v>
      </c>
      <c r="N35" s="360"/>
      <c r="O35" s="360">
        <v>2</v>
      </c>
      <c r="P35" s="360"/>
      <c r="Q35" s="362"/>
      <c r="R35" s="362"/>
      <c r="S35" s="131">
        <v>4</v>
      </c>
      <c r="T35" s="106">
        <f>IF($G40=0," ",$G40)</f>
        <v>7</v>
      </c>
      <c r="U35" s="106">
        <f>IF($G46=0," ",$G46)</f>
        <v>17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 x14ac:dyDescent="0.2">
      <c r="A36" s="51"/>
      <c r="B36" s="95" t="s">
        <v>6</v>
      </c>
      <c r="C36" s="156">
        <v>2</v>
      </c>
      <c r="D36" s="358"/>
      <c r="E36" s="359">
        <v>2</v>
      </c>
      <c r="F36" s="362">
        <v>2</v>
      </c>
      <c r="G36" s="358"/>
      <c r="H36" s="360">
        <v>2</v>
      </c>
      <c r="I36" s="360">
        <v>0</v>
      </c>
      <c r="J36" s="360">
        <v>0</v>
      </c>
      <c r="K36" s="360">
        <v>2</v>
      </c>
      <c r="L36" s="361">
        <v>2</v>
      </c>
      <c r="M36" s="360">
        <v>2</v>
      </c>
      <c r="N36" s="360"/>
      <c r="O36" s="360"/>
      <c r="P36" s="360"/>
      <c r="Q36" s="362"/>
      <c r="R36" s="362"/>
      <c r="S36" s="131">
        <v>5</v>
      </c>
      <c r="T36" s="106">
        <f>IF($H40=0," ",$H40)</f>
        <v>16</v>
      </c>
      <c r="U36" s="106">
        <f>IF($H46=0," ",$H46)</f>
        <v>16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 x14ac:dyDescent="0.2">
      <c r="A37" s="51"/>
      <c r="B37" s="95" t="s">
        <v>7</v>
      </c>
      <c r="C37" s="156">
        <v>4</v>
      </c>
      <c r="D37" s="358"/>
      <c r="E37" s="359">
        <v>2</v>
      </c>
      <c r="F37" s="362">
        <v>2</v>
      </c>
      <c r="G37" s="358">
        <v>1</v>
      </c>
      <c r="H37" s="360">
        <v>4</v>
      </c>
      <c r="I37" s="360">
        <v>4</v>
      </c>
      <c r="J37" s="360">
        <v>4</v>
      </c>
      <c r="K37" s="360">
        <v>4</v>
      </c>
      <c r="L37" s="361">
        <v>4</v>
      </c>
      <c r="M37" s="360">
        <v>4</v>
      </c>
      <c r="N37" s="360"/>
      <c r="O37" s="360">
        <v>4</v>
      </c>
      <c r="P37" s="360"/>
      <c r="Q37" s="360"/>
      <c r="R37" s="360"/>
      <c r="S37" s="131">
        <v>6</v>
      </c>
      <c r="T37" s="106">
        <f>IF($I40=0," ",$I40)</f>
        <v>14</v>
      </c>
      <c r="U37" s="106">
        <f>IF($I46=0," ",$I46)</f>
        <v>9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8</v>
      </c>
      <c r="C38" s="156">
        <v>2</v>
      </c>
      <c r="D38" s="358"/>
      <c r="E38" s="359">
        <v>1</v>
      </c>
      <c r="F38" s="362">
        <v>0</v>
      </c>
      <c r="G38" s="358"/>
      <c r="H38" s="360">
        <v>2</v>
      </c>
      <c r="I38" s="360">
        <v>2</v>
      </c>
      <c r="J38" s="360">
        <v>2</v>
      </c>
      <c r="K38" s="360">
        <v>2</v>
      </c>
      <c r="L38" s="361">
        <v>2</v>
      </c>
      <c r="M38" s="360">
        <v>2</v>
      </c>
      <c r="N38" s="360"/>
      <c r="O38" s="360">
        <v>2</v>
      </c>
      <c r="P38" s="360"/>
      <c r="Q38" s="360"/>
      <c r="R38" s="360"/>
      <c r="S38" s="131">
        <v>7</v>
      </c>
      <c r="T38" s="106">
        <f>IF($J40=0," ",$J40)</f>
        <v>14</v>
      </c>
      <c r="U38" s="106">
        <f>IF($J46=0," ",$J46)</f>
        <v>16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160</v>
      </c>
      <c r="C39" s="156">
        <v>2</v>
      </c>
      <c r="D39" s="358"/>
      <c r="E39" s="359">
        <v>2</v>
      </c>
      <c r="F39" s="362">
        <v>1</v>
      </c>
      <c r="G39" s="358"/>
      <c r="H39" s="360">
        <v>2</v>
      </c>
      <c r="I39" s="360">
        <v>2</v>
      </c>
      <c r="J39" s="360">
        <v>2</v>
      </c>
      <c r="K39" s="360">
        <v>2</v>
      </c>
      <c r="L39" s="361">
        <v>2</v>
      </c>
      <c r="M39" s="360">
        <v>2</v>
      </c>
      <c r="N39" s="360"/>
      <c r="O39" s="360">
        <v>2</v>
      </c>
      <c r="P39" s="360"/>
      <c r="Q39" s="360"/>
      <c r="R39" s="360"/>
      <c r="S39" s="131">
        <v>8</v>
      </c>
      <c r="T39" s="106">
        <f>IF($K40=0," ",$K40)</f>
        <v>16</v>
      </c>
      <c r="U39" s="106">
        <f>IF($K46=0," ",$K46)</f>
        <v>9.5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1" t="s">
        <v>38</v>
      </c>
      <c r="C40" s="156">
        <f>SUM(C33:C39)</f>
        <v>16</v>
      </c>
      <c r="D40" s="423">
        <f>SUM(D33:D39)</f>
        <v>0</v>
      </c>
      <c r="E40" s="423">
        <f t="shared" ref="E40:R40" si="10">SUM(E33:E39)</f>
        <v>10.5</v>
      </c>
      <c r="F40" s="423">
        <f t="shared" si="10"/>
        <v>9.5</v>
      </c>
      <c r="G40" s="423">
        <f t="shared" si="10"/>
        <v>7</v>
      </c>
      <c r="H40" s="423">
        <f t="shared" si="10"/>
        <v>16</v>
      </c>
      <c r="I40" s="423">
        <f t="shared" si="10"/>
        <v>14</v>
      </c>
      <c r="J40" s="423">
        <f t="shared" si="10"/>
        <v>14</v>
      </c>
      <c r="K40" s="423">
        <f t="shared" si="10"/>
        <v>16</v>
      </c>
      <c r="L40" s="423">
        <f t="shared" si="10"/>
        <v>16</v>
      </c>
      <c r="M40" s="423">
        <f t="shared" si="10"/>
        <v>16</v>
      </c>
      <c r="N40" s="423">
        <f t="shared" si="10"/>
        <v>0</v>
      </c>
      <c r="O40" s="423">
        <f t="shared" si="10"/>
        <v>14</v>
      </c>
      <c r="P40" s="423">
        <f t="shared" si="10"/>
        <v>0</v>
      </c>
      <c r="Q40" s="423">
        <f t="shared" si="10"/>
        <v>0</v>
      </c>
      <c r="R40" s="423">
        <f t="shared" si="10"/>
        <v>0</v>
      </c>
      <c r="S40" s="131">
        <v>9</v>
      </c>
      <c r="T40" s="106">
        <f>IF($L40=0," ",$L40)</f>
        <v>16</v>
      </c>
      <c r="U40" s="106">
        <f>IF($L46=0," ",$L46)</f>
        <v>19.5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22"/>
      <c r="Q41" s="81"/>
      <c r="R41" s="81"/>
      <c r="S41" s="131">
        <v>10</v>
      </c>
      <c r="T41" s="106">
        <f>IF($M40=0," ",$M40)</f>
        <v>16</v>
      </c>
      <c r="U41" s="106">
        <f>IF($M46=0," ",$M46)</f>
        <v>9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 x14ac:dyDescent="0.2">
      <c r="A42" s="51"/>
      <c r="B42" s="97" t="s">
        <v>13</v>
      </c>
      <c r="C42" s="156">
        <v>10</v>
      </c>
      <c r="D42" s="371"/>
      <c r="E42" s="371">
        <v>9.5</v>
      </c>
      <c r="F42" s="371">
        <v>10</v>
      </c>
      <c r="G42" s="372">
        <v>7</v>
      </c>
      <c r="H42" s="372">
        <v>10</v>
      </c>
      <c r="I42" s="372">
        <v>7</v>
      </c>
      <c r="J42" s="372">
        <v>10</v>
      </c>
      <c r="K42" s="372">
        <v>9.5</v>
      </c>
      <c r="L42" s="372">
        <v>9.5</v>
      </c>
      <c r="M42" s="372">
        <v>9</v>
      </c>
      <c r="N42" s="372"/>
      <c r="O42" s="372">
        <v>9.5</v>
      </c>
      <c r="P42" s="372"/>
      <c r="Q42" s="372"/>
      <c r="R42" s="372"/>
      <c r="S42" s="131">
        <v>11</v>
      </c>
      <c r="T42" s="106" t="str">
        <f>IF($N40=0," ",$N40)</f>
        <v xml:space="preserve"> </v>
      </c>
      <c r="U42" s="106" t="str">
        <f>IF($N46=0," ",$N46)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">
      <c r="A43" s="51"/>
      <c r="B43" s="97" t="s">
        <v>161</v>
      </c>
      <c r="C43" s="156">
        <v>2</v>
      </c>
      <c r="D43" s="371"/>
      <c r="E43" s="371"/>
      <c r="F43" s="371"/>
      <c r="G43" s="372">
        <v>2</v>
      </c>
      <c r="H43" s="372">
        <v>2</v>
      </c>
      <c r="I43" s="372">
        <v>2</v>
      </c>
      <c r="J43" s="372">
        <v>2</v>
      </c>
      <c r="K43" s="372"/>
      <c r="L43" s="372">
        <v>2</v>
      </c>
      <c r="M43" s="372"/>
      <c r="N43" s="372"/>
      <c r="O43" s="372">
        <v>0</v>
      </c>
      <c r="P43" s="372"/>
      <c r="Q43" s="372"/>
      <c r="R43" s="372"/>
      <c r="S43" s="131">
        <v>12</v>
      </c>
      <c r="T43" s="106">
        <f>IF($O40=0," ",$O40)</f>
        <v>14</v>
      </c>
      <c r="U43" s="106">
        <f>IF($O46=0," ",$O46)</f>
        <v>11.5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15</v>
      </c>
      <c r="C44" s="156">
        <v>4</v>
      </c>
      <c r="D44" s="373"/>
      <c r="E44" s="373"/>
      <c r="F44" s="373"/>
      <c r="G44" s="374">
        <v>4</v>
      </c>
      <c r="H44" s="374">
        <v>4</v>
      </c>
      <c r="I44" s="374">
        <v>0</v>
      </c>
      <c r="J44" s="374">
        <v>4</v>
      </c>
      <c r="K44" s="374"/>
      <c r="L44" s="374">
        <v>4</v>
      </c>
      <c r="M44" s="374"/>
      <c r="N44" s="374"/>
      <c r="O44" s="374">
        <v>2</v>
      </c>
      <c r="P44" s="374"/>
      <c r="Q44" s="374"/>
      <c r="R44" s="374"/>
      <c r="S44" s="131">
        <v>13</v>
      </c>
      <c r="T44" s="106" t="str">
        <f>IF($P40=0," ",$P40)</f>
        <v xml:space="preserve"> </v>
      </c>
      <c r="U44" s="106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 x14ac:dyDescent="0.2">
      <c r="A45" s="51"/>
      <c r="B45" s="158" t="s">
        <v>227</v>
      </c>
      <c r="C45" s="156">
        <v>4</v>
      </c>
      <c r="D45" s="373"/>
      <c r="E45" s="373"/>
      <c r="F45" s="373"/>
      <c r="G45" s="374">
        <v>4</v>
      </c>
      <c r="H45" s="847">
        <v>0</v>
      </c>
      <c r="I45" s="374">
        <v>0</v>
      </c>
      <c r="J45" s="374">
        <v>0</v>
      </c>
      <c r="K45" s="374"/>
      <c r="L45" s="374">
        <v>4</v>
      </c>
      <c r="M45" s="374"/>
      <c r="N45" s="374"/>
      <c r="O45" s="374">
        <v>0</v>
      </c>
      <c r="P45" s="374"/>
      <c r="Q45" s="374"/>
      <c r="R45" s="374"/>
      <c r="S45" s="131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1"/>
      <c r="B46" s="91" t="s">
        <v>38</v>
      </c>
      <c r="C46" s="156">
        <f>SUM(C42:C45)</f>
        <v>20</v>
      </c>
      <c r="D46" s="92">
        <f>SUM(D42:D45)</f>
        <v>0</v>
      </c>
      <c r="E46" s="92">
        <f t="shared" ref="E46:R46" si="11">SUM(E42:E45)</f>
        <v>9.5</v>
      </c>
      <c r="F46" s="92">
        <f t="shared" si="11"/>
        <v>10</v>
      </c>
      <c r="G46" s="92">
        <f t="shared" si="11"/>
        <v>17</v>
      </c>
      <c r="H46" s="92">
        <f t="shared" si="11"/>
        <v>16</v>
      </c>
      <c r="I46" s="92">
        <f t="shared" si="11"/>
        <v>9</v>
      </c>
      <c r="J46" s="92">
        <f t="shared" si="11"/>
        <v>16</v>
      </c>
      <c r="K46" s="92">
        <f t="shared" si="11"/>
        <v>9.5</v>
      </c>
      <c r="L46" s="92">
        <f t="shared" si="11"/>
        <v>19.5</v>
      </c>
      <c r="M46" s="92">
        <f t="shared" si="11"/>
        <v>9</v>
      </c>
      <c r="N46" s="92">
        <f t="shared" si="11"/>
        <v>0</v>
      </c>
      <c r="O46" s="92">
        <f t="shared" si="11"/>
        <v>11.5</v>
      </c>
      <c r="P46" s="92">
        <f t="shared" si="11"/>
        <v>0</v>
      </c>
      <c r="Q46" s="92">
        <f t="shared" si="11"/>
        <v>0</v>
      </c>
      <c r="R46" s="92">
        <f t="shared" si="11"/>
        <v>0</v>
      </c>
      <c r="S46" s="131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 t="s">
        <v>350</v>
      </c>
      <c r="W46" s="29" t="s">
        <v>350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 x14ac:dyDescent="0.2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1"/>
      <c r="T47" s="20">
        <f>COUNTIF(T32:T46,"&gt;0")</f>
        <v>10</v>
      </c>
      <c r="U47" s="20">
        <f>COUNTIF(U32:U46,"&gt;0")</f>
        <v>10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3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</sheetData>
  <customSheetViews>
    <customSheetView guid="{C5D960BD-C1A6-4228-A267-A87ADCF0AB55}" scale="60" showPageBreaks="1" showGridLines="0" fitToPage="1" printArea="1">
      <pane xSplit="5" ySplit="6" topLeftCell="U7" activePane="bottomRight" state="frozen"/>
      <selection pane="bottomRight" activeCell="AH19" sqref="AH19"/>
      <pageMargins left="0.56000000000000005" right="0.57999999999999996" top="0.64" bottom="0.65" header="0.5" footer="0.5"/>
      <pageSetup paperSize="9" scale="33" fitToWidth="2" orientation="portrait" horizontalDpi="4294967293" r:id="rId1"/>
      <headerFooter alignWithMargins="0">
        <oddHeader>&amp;C2006/2007 уч.рік 5 трим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Q45" sqref="Q45"/>
      <pageMargins left="0.56000000000000005" right="0.57999999999999996" top="0.64" bottom="0.65" header="0.5" footer="0.5"/>
      <pageSetup paperSize="9" scale="33" fitToWidth="2" orientation="portrait" horizontalDpi="4294967293" r:id="rId2"/>
      <headerFooter alignWithMargins="0">
        <oddHeader>&amp;C2006/2007 уч.рік 5 трим</oddHeader>
      </headerFooter>
    </customSheetView>
    <customSheetView guid="{1C44C54F-C0A4-451D-B8A0-B8C17D7E284D}" scale="60" showPageBreaks="1" showGridLines="0" fitToPage="1" printArea="1">
      <pane xSplit="6" ySplit="6" topLeftCell="AC7" activePane="bottomRight" state="frozen"/>
      <selection pane="bottomRight" activeCell="C3" sqref="C3:C7"/>
      <pageMargins left="0.56000000000000005" right="0.57999999999999996" top="0.64" bottom="0.65" header="0.5" footer="0.5"/>
      <pageSetup paperSize="9" scale="31" fitToWidth="2" orientation="portrait" horizontalDpi="4294967293" verticalDpi="0" r:id="rId3"/>
      <headerFooter alignWithMargins="0">
        <oddHeader>&amp;C2006/2007 уч.рік 5 трим</oddHeader>
      </headerFooter>
    </customSheetView>
    <customSheetView guid="{4BCF288A-A595-4C42-82E7-535EDC2AC415}" scale="75" showPageBreaks="1" showGridLines="0" fitToPage="1" printArea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9" scale="31" fitToWidth="2" orientation="portrait" horizontalDpi="4294967293" r:id="rId4"/>
      <headerFooter alignWithMargins="0">
        <oddHeader>&amp;C2006/2007 уч.рік 5 трим</oddHeader>
      </headerFooter>
    </customSheetView>
    <customSheetView guid="{33A37079-C128-4ED3-AE01-CFA8F2347C5B}" scale="75" showPageBreaks="1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3" fitToWidth="2" orientation="landscape" r:id="rId5"/>
      <headerFooter alignWithMargins="0">
        <oddHeader>&amp;C2006/2007 уч.рік 5 трим</oddHeader>
      </headerFooter>
    </customSheetView>
    <customSheetView guid="{96BFE75B-9E94-4DC9-803C-D5A288E717C0}" scale="75" showPageBreaks="1" showGridLines="0" fitToPage="1" printArea="1">
      <pane xSplit="6" ySplit="6" topLeftCell="AQ7" activePane="bottomRight" state="frozen"/>
      <selection pane="bottomRight" activeCell="F13" sqref="F13"/>
      <pageMargins left="0.56000000000000005" right="0.57999999999999996" top="0.64" bottom="0.65" header="0.5" footer="0.5"/>
      <pageSetup paperSize="9" scale="47" fitToWidth="2" orientation="landscape" r:id="rId6"/>
      <headerFooter alignWithMargins="0">
        <oddHeader>&amp;C2006/2007 уч.рік 5 трим</oddHeader>
      </headerFooter>
    </customSheetView>
    <customSheetView guid="{9581BC83-4638-4839-B4A7-A6430282DE49}" scale="75" showPageBreaks="1" showGridLines="0" fitToPage="1" printArea="1" showRuler="0">
      <pane xSplit="6" ySplit="6" topLeftCell="AW7" activePane="bottomRight" state="frozen"/>
      <selection pane="bottomRight" activeCell="B3" sqref="B3:B7"/>
      <pageMargins left="0.37" right="0.37" top="0.64" bottom="0.65" header="0.5" footer="0.5"/>
      <pageSetup paperSize="9" scale="36" fitToWidth="2" orientation="landscape" r:id="rId7"/>
      <headerFooter alignWithMargins="0">
        <oddHeader>&amp;C2006/2007 уч.рік 5 трим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5" fitToWidth="2" orientation="landscape" r:id="rId8"/>
      <headerFooter alignWithMargins="0">
        <oddHeader>&amp;C2006/2007 уч.рік 5 трим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9"/>
      <headerFooter alignWithMargins="0">
        <oddHeader>&amp;C2006/2007 уч.рік 5 трим</oddHeader>
      </headerFooter>
    </customSheetView>
    <customSheetView guid="{63677729-B220-4674-B8DA-E23D188A7DD0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0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1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O7" activePane="bottomRight" state="frozen"/>
      <selection pane="bottomRight" activeCell="AR19" sqref="AR19"/>
      <pageMargins left="0.56000000000000005" right="0.57999999999999996" top="0.64" bottom="0.65" header="0.5" footer="0.5"/>
      <pageSetup paperSize="9" scale="48" fitToWidth="2" orientation="landscape" r:id="rId12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H7" activePane="bottomRight" state="frozen"/>
      <selection pane="bottomRight" activeCell="B13" sqref="B13"/>
      <pageMargins left="0.56000000000000005" right="0.57999999999999996" top="0.64" bottom="0.65" header="0.5" footer="0.5"/>
      <pageSetup paperSize="9" scale="48" fitToWidth="2" orientation="landscape" r:id="rId13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L7" activePane="bottomRight" state="frozen"/>
      <selection pane="bottomRight" activeCell="B2" sqref="B2:B6"/>
      <pageMargins left="0.56000000000000005" right="0.57999999999999996" top="0.64" bottom="0.65" header="0.5" footer="0.5"/>
      <pageSetup paperSize="9" scale="53" fitToWidth="2" orientation="landscape" r:id="rId16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M7" activePane="bottomRight" state="frozen"/>
      <selection pane="bottomRight" activeCell="U17" sqref="U17"/>
      <pageMargins left="0.56000000000000005" right="0.57999999999999996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G7" activePane="bottomRight" state="frozen"/>
      <selection pane="bottomRight" activeCell="AM27" sqref="AM27"/>
      <pageMargins left="0.56000000000000005" right="0.57999999999999996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V7" activePane="bottomRight" state="frozen"/>
      <selection pane="bottomRight" activeCell="BB7" sqref="BB7"/>
      <pageMargins left="0.56000000000000005" right="0.57999999999999996" top="0.64" bottom="0.65" header="0.5" footer="0.5"/>
      <pageSetup paperSize="9" scale="48" fitToWidth="2" orientation="landscape" r:id="rId22"/>
      <headerFooter alignWithMargins="0">
        <oddHeader>&amp;C2006/2007 уч.рік 5 трим</oddHeader>
      </headerFooter>
    </customSheetView>
    <customSheetView guid="{D36C8CE2-BD51-473C-907A-C6FC583FFDFD}" scale="75" showPageBreaks="1" showGridLines="0" fitToPage="1" printArea="1" showRuler="0">
      <pane xSplit="6" ySplit="6" topLeftCell="G10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3"/>
      <headerFooter alignWithMargins="0">
        <oddHeader>&amp;C2006/2007 уч.рік 5 трим</oddHeader>
      </headerFooter>
    </customSheetView>
    <customSheetView guid="{30318990-97FA-4B74-8A96-20B9CEE7B653}" scale="75" showGridLines="0" fitToPage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4"/>
      <headerFooter alignWithMargins="0">
        <oddHeader>&amp;C2006/2007 уч.рік 5 трим</oddHeader>
      </headerFooter>
    </customSheetView>
    <customSheetView guid="{3EF0F3E9-9201-4028-86FF-6B06B2998A48}" scale="75" showPageBreaks="1" showGridLines="0" fitToPage="1" printArea="1">
      <pane xSplit="6" ySplit="6" topLeftCell="AC7" activePane="bottomRight" state="frozen"/>
      <selection pane="bottomRight" activeCell="B15" sqref="B15"/>
      <pageMargins left="0.56000000000000005" right="0.57999999999999996" top="0.64" bottom="0.65" header="0.5" footer="0.5"/>
      <pageSetup paperSize="9" scale="48" fitToWidth="2" orientation="landscape" r:id="rId25"/>
      <headerFooter alignWithMargins="0">
        <oddHeader>&amp;C2006/2007 уч.рік 5 трим</oddHeader>
      </headerFooter>
    </customSheetView>
    <customSheetView guid="{54CA7618-6F98-4F47-B371-BA051FE75870}" scale="75" showGridLines="0" fitToPage="1">
      <pane xSplit="6" ySplit="6" topLeftCell="I7" activePane="bottomRight" state="frozen"/>
      <selection pane="bottomRight" activeCell="I15" sqref="I15"/>
      <pageMargins left="0.56000000000000005" right="0.57999999999999996" top="0.64" bottom="0.65" header="0.5" footer="0.5"/>
      <pageSetup paperSize="9" scale="45" fitToWidth="2" orientation="landscape" r:id="rId26"/>
      <headerFooter alignWithMargins="0">
        <oddHeader>&amp;C2006/2007 уч.рік 5 трим</oddHeader>
      </headerFooter>
    </customSheetView>
    <customSheetView guid="{0DACDB9F-1DED-4CA1-A223-ED8CF3AAE05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7" fitToWidth="2" orientation="landscape" r:id="rId27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6" fitToWidth="2" orientation="landscape" r:id="rId28"/>
      <headerFooter alignWithMargins="0">
        <oddHeader>&amp;C2006/2007 уч.рік 5 трим</oddHeader>
      </headerFooter>
    </customSheetView>
    <customSheetView guid="{52C4EB7E-D421-4F3C-9418-E2E13C53098F}" scale="75" showPageBreaks="1" showGridLines="0" fitToPage="1" printArea="1">
      <pane xSplit="6" ySplit="6" topLeftCell="Q7" activePane="bottomRight" state="frozen"/>
      <selection pane="bottomRight" activeCell="Q49" sqref="Q49"/>
      <pageMargins left="0.56000000000000005" right="0.57999999999999996" top="0.64" bottom="0.65" header="0.5" footer="0.5"/>
      <pageSetup paperSize="9" scale="47" fitToWidth="2" orientation="landscape" r:id="rId29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/>
      <headerFooter alignWithMargins="0">
        <oddHeader>&amp;C2006/2007 уч.рік 5 трим</oddHeader>
      </headerFooter>
    </customSheetView>
    <customSheetView guid="{E3076869-5D4E-4B4E-B56C-23BD0053E0A2}" scale="70" showPageBreaks="1" showGridLines="0" fitToPage="1" printArea="1">
      <pane xSplit="5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1" fitToWidth="2" orientation="portrait" horizontalDpi="4294967293" verticalDpi="200" r:id="rId30"/>
      <headerFooter alignWithMargins="0">
        <oddHeader>&amp;C2006/2007 уч.рік 5 трим</oddHeader>
      </headerFooter>
    </customSheetView>
    <customSheetView guid="{134EDDCA-7309-47EE-BAAB-632C7B2A96A3}" scale="70" showPageBreaks="1" showGridLines="0" fitToPage="1" printArea="1">
      <pane xSplit="6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2" fitToWidth="2" orientation="portrait" horizontalDpi="4294967293" r:id="rId31"/>
      <headerFooter alignWithMargins="0">
        <oddHeader>&amp;C2006/2007 уч.рік 5 трим</oddHeader>
      </headerFooter>
    </customSheetView>
    <customSheetView guid="{C2F30B35-D639-4BB4-A50F-41AB6A913442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32"/>
      <headerFooter alignWithMargins="0">
        <oddHeader>&amp;C2006/2007 уч.рік 5 трим</oddHeader>
      </headerFooter>
    </customSheetView>
    <customSheetView guid="{17400EAF-4B0B-49FE-8262-4A59DA70D10F}" scale="75" showPageBreaks="1" showGridLines="0" fitToPage="1" printArea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50" fitToWidth="2" orientation="landscape" r:id="rId33"/>
      <headerFooter alignWithMargins="0">
        <oddHeader>&amp;C2006/2007 уч.рік 5 трим</oddHeader>
      </headerFooter>
    </customSheetView>
  </customSheetViews>
  <mergeCells count="44">
    <mergeCell ref="B3:B7"/>
    <mergeCell ref="F5:F6"/>
    <mergeCell ref="G5:G6"/>
    <mergeCell ref="M3:N3"/>
    <mergeCell ref="J5:J6"/>
    <mergeCell ref="K5:K6"/>
    <mergeCell ref="M5:M6"/>
    <mergeCell ref="H3:I3"/>
    <mergeCell ref="C3:C7"/>
    <mergeCell ref="D3:D7"/>
    <mergeCell ref="F3:G3"/>
    <mergeCell ref="E3:E7"/>
    <mergeCell ref="H5:H6"/>
    <mergeCell ref="I5:I6"/>
    <mergeCell ref="V2:W2"/>
    <mergeCell ref="U5:U6"/>
    <mergeCell ref="S2:T2"/>
    <mergeCell ref="O3:Q3"/>
    <mergeCell ref="P5:P6"/>
    <mergeCell ref="O5:O6"/>
    <mergeCell ref="R5:R6"/>
    <mergeCell ref="S5:S6"/>
    <mergeCell ref="V5:V6"/>
    <mergeCell ref="Z5:Z6"/>
    <mergeCell ref="Z3:AA3"/>
    <mergeCell ref="U3:V3"/>
    <mergeCell ref="X5:X6"/>
    <mergeCell ref="W5:W6"/>
    <mergeCell ref="AF5:AF6"/>
    <mergeCell ref="AI5:AI6"/>
    <mergeCell ref="AJ5:AJ6"/>
    <mergeCell ref="AF7:AH7"/>
    <mergeCell ref="AB3:AC3"/>
    <mergeCell ref="AB5:AB6"/>
    <mergeCell ref="AE5:AE6"/>
    <mergeCell ref="AD5:AD6"/>
    <mergeCell ref="AD3:AE3"/>
    <mergeCell ref="AF3:AH3"/>
    <mergeCell ref="AL3:AM3"/>
    <mergeCell ref="AL5:AL6"/>
    <mergeCell ref="AM5:AM6"/>
    <mergeCell ref="AI7:AK7"/>
    <mergeCell ref="AG5:AG6"/>
    <mergeCell ref="AI3:AK3"/>
  </mergeCells>
  <phoneticPr fontId="1" type="noConversion"/>
  <conditionalFormatting sqref="M27:M28 F22:F23">
    <cfRule type="cellIs" dxfId="5" priority="2" stopIfTrue="1" operator="greaterThan">
      <formula>21</formula>
    </cfRule>
  </conditionalFormatting>
  <conditionalFormatting sqref="E8:E21">
    <cfRule type="cellIs" dxfId="4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33" fitToWidth="2" orientation="portrait" horizontalDpi="4294967293" r:id="rId34"/>
  <headerFooter alignWithMargins="0">
    <oddHeader>&amp;C2006/2007 уч.рік 5 трим</oddHeader>
  </headerFooter>
  <legacyDrawing r:id="rId3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145"/>
  <sheetViews>
    <sheetView showGridLines="0" zoomScale="70" zoomScaleNormal="90" workbookViewId="0">
      <pane xSplit="6" ySplit="6" topLeftCell="AF7" activePane="bottomRight" state="frozen"/>
      <selection pane="topRight" activeCell="G1" sqref="G1"/>
      <selection pane="bottomLeft" activeCell="A7" sqref="A7"/>
      <selection pane="bottomRight" activeCell="C3" sqref="C3:C7"/>
    </sheetView>
  </sheetViews>
  <sheetFormatPr defaultColWidth="9.28515625" defaultRowHeight="12.75" x14ac:dyDescent="0.2"/>
  <cols>
    <col min="1" max="1" width="4.28515625" style="1" customWidth="1"/>
    <col min="2" max="2" width="43.570312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1" style="30" customWidth="1"/>
    <col min="7" max="7" width="12.7109375" style="1" customWidth="1"/>
    <col min="8" max="8" width="9.7109375" style="1" customWidth="1"/>
    <col min="9" max="9" width="12.28515625" style="1" customWidth="1"/>
    <col min="10" max="10" width="10.42578125" style="1" customWidth="1"/>
    <col min="11" max="11" width="11.140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0.28515625" style="1" customWidth="1"/>
    <col min="16" max="16" width="9.7109375" style="1" customWidth="1"/>
    <col min="17" max="17" width="11.7109375" style="1" customWidth="1"/>
    <col min="18" max="18" width="10" style="1" customWidth="1"/>
    <col min="19" max="19" width="9.42578125" style="1" customWidth="1"/>
    <col min="20" max="20" width="9.28515625" style="1" customWidth="1"/>
    <col min="21" max="21" width="13" style="1" customWidth="1"/>
    <col min="22" max="22" width="15" style="1" customWidth="1"/>
    <col min="23" max="23" width="10.42578125" style="1" customWidth="1"/>
    <col min="24" max="24" width="13.28515625" style="1" customWidth="1"/>
    <col min="25" max="25" width="9.28515625" style="1" customWidth="1"/>
    <col min="26" max="26" width="8.42578125" style="1" customWidth="1"/>
    <col min="27" max="27" width="9.7109375" style="1" customWidth="1"/>
    <col min="28" max="28" width="10.7109375" style="1" customWidth="1"/>
    <col min="29" max="29" width="11.42578125" style="1" customWidth="1"/>
    <col min="30" max="30" width="10" style="1" customWidth="1"/>
    <col min="31" max="31" width="10.28515625" style="1" customWidth="1"/>
    <col min="32" max="32" width="10.42578125" style="1" customWidth="1"/>
    <col min="33" max="33" width="11.7109375" style="1" customWidth="1"/>
    <col min="34" max="34" width="11.42578125" style="1" customWidth="1"/>
    <col min="35" max="35" width="10.7109375" style="1" customWidth="1"/>
    <col min="36" max="36" width="11" style="1" customWidth="1"/>
    <col min="37" max="37" width="9.7109375" style="1" customWidth="1"/>
    <col min="38" max="38" width="10.710937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W1" s="1" t="s">
        <v>266</v>
      </c>
    </row>
    <row r="2" spans="1:44" ht="48.75" customHeight="1" thickBot="1" x14ac:dyDescent="0.25">
      <c r="A2" s="20"/>
      <c r="B2" s="239" t="s">
        <v>297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/>
      <c r="Z2" s="575" t="s">
        <v>176</v>
      </c>
      <c r="AA2" s="575"/>
      <c r="AB2" s="575" t="s">
        <v>176</v>
      </c>
      <c r="AC2" s="575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">
      <c r="A3" s="908"/>
      <c r="B3" s="946" t="s">
        <v>308</v>
      </c>
      <c r="C3" s="942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148" t="s">
        <v>134</v>
      </c>
      <c r="K3" s="149"/>
      <c r="L3" s="150"/>
      <c r="M3" s="888" t="s">
        <v>135</v>
      </c>
      <c r="N3" s="890"/>
      <c r="O3" s="888" t="s">
        <v>136</v>
      </c>
      <c r="P3" s="898"/>
      <c r="Q3" s="890"/>
      <c r="R3" s="138" t="s">
        <v>137</v>
      </c>
      <c r="S3" s="152"/>
      <c r="T3" s="152"/>
      <c r="U3" s="888" t="s">
        <v>138</v>
      </c>
      <c r="V3" s="890"/>
      <c r="W3" s="148" t="s">
        <v>139</v>
      </c>
      <c r="X3" s="149"/>
      <c r="Y3" s="242"/>
      <c r="Z3" s="902" t="s">
        <v>140</v>
      </c>
      <c r="AA3" s="903"/>
      <c r="AB3" s="888" t="s">
        <v>141</v>
      </c>
      <c r="AC3" s="904"/>
      <c r="AD3" s="879" t="s">
        <v>142</v>
      </c>
      <c r="AE3" s="880"/>
      <c r="AF3" s="888" t="s">
        <v>143</v>
      </c>
      <c r="AG3" s="889"/>
      <c r="AH3" s="890"/>
      <c r="AI3" s="888" t="s">
        <v>144</v>
      </c>
      <c r="AJ3" s="889"/>
      <c r="AK3" s="904"/>
      <c r="AL3" s="957" t="s">
        <v>246</v>
      </c>
      <c r="AM3" s="958"/>
    </row>
    <row r="4" spans="1:44" ht="22.5" customHeight="1" x14ac:dyDescent="0.25">
      <c r="A4" s="909"/>
      <c r="B4" s="947"/>
      <c r="C4" s="943"/>
      <c r="D4" s="916"/>
      <c r="E4" s="914"/>
      <c r="F4" s="355" t="s">
        <v>145</v>
      </c>
      <c r="G4" s="34"/>
      <c r="H4" s="355" t="s">
        <v>146</v>
      </c>
      <c r="I4" s="151"/>
      <c r="J4" s="426" t="s">
        <v>147</v>
      </c>
      <c r="K4" s="39"/>
      <c r="L4" s="46"/>
      <c r="M4" s="355" t="s">
        <v>148</v>
      </c>
      <c r="N4" s="34"/>
      <c r="O4" s="353" t="s">
        <v>149</v>
      </c>
      <c r="P4" s="354"/>
      <c r="Q4" s="23"/>
      <c r="R4" s="35"/>
      <c r="S4" s="353" t="s">
        <v>150</v>
      </c>
      <c r="T4" s="22"/>
      <c r="U4" s="353" t="s">
        <v>258</v>
      </c>
      <c r="V4" s="23"/>
      <c r="W4" s="574" t="s">
        <v>258</v>
      </c>
      <c r="X4" s="75" t="s">
        <v>237</v>
      </c>
      <c r="Y4" s="76"/>
      <c r="Z4" s="574" t="s">
        <v>258</v>
      </c>
      <c r="AA4" s="38"/>
      <c r="AB4" s="574" t="s">
        <v>258</v>
      </c>
      <c r="AC4" s="22"/>
      <c r="AD4" s="37" t="s">
        <v>151</v>
      </c>
      <c r="AE4" s="428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797" t="s">
        <v>311</v>
      </c>
      <c r="AM4" s="798"/>
    </row>
    <row r="5" spans="1:44" ht="37.35" customHeight="1" x14ac:dyDescent="0.2">
      <c r="A5" s="909"/>
      <c r="B5" s="948"/>
      <c r="C5" s="943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881" t="s">
        <v>172</v>
      </c>
      <c r="K5" s="887" t="s">
        <v>221</v>
      </c>
      <c r="L5" s="47" t="s">
        <v>152</v>
      </c>
      <c r="M5" s="881" t="s">
        <v>172</v>
      </c>
      <c r="N5" s="576" t="s">
        <v>166</v>
      </c>
      <c r="O5" s="881" t="s">
        <v>172</v>
      </c>
      <c r="P5" s="887" t="s">
        <v>220</v>
      </c>
      <c r="Q5" s="47" t="s">
        <v>152</v>
      </c>
      <c r="R5" s="894" t="s">
        <v>172</v>
      </c>
      <c r="S5" s="887" t="s">
        <v>257</v>
      </c>
      <c r="T5" s="153" t="s">
        <v>152</v>
      </c>
      <c r="U5" s="881" t="s">
        <v>172</v>
      </c>
      <c r="V5" s="883" t="s">
        <v>166</v>
      </c>
      <c r="W5" s="881" t="s">
        <v>172</v>
      </c>
      <c r="X5" s="887" t="s">
        <v>173</v>
      </c>
      <c r="Y5" s="243" t="s">
        <v>152</v>
      </c>
      <c r="Z5" s="894" t="s">
        <v>172</v>
      </c>
      <c r="AA5" s="576" t="s">
        <v>166</v>
      </c>
      <c r="AB5" s="881" t="s">
        <v>172</v>
      </c>
      <c r="AC5" s="576" t="s">
        <v>166</v>
      </c>
      <c r="AD5" s="881" t="s">
        <v>172</v>
      </c>
      <c r="AE5" s="883" t="s">
        <v>166</v>
      </c>
      <c r="AF5" s="881" t="s">
        <v>172</v>
      </c>
      <c r="AG5" s="885" t="s">
        <v>305</v>
      </c>
      <c r="AH5" s="47" t="s">
        <v>152</v>
      </c>
      <c r="AI5" s="881" t="s">
        <v>172</v>
      </c>
      <c r="AJ5" s="885" t="s">
        <v>306</v>
      </c>
      <c r="AK5" s="153" t="s">
        <v>152</v>
      </c>
      <c r="AL5" s="961" t="s">
        <v>172</v>
      </c>
      <c r="AM5" s="959" t="s">
        <v>166</v>
      </c>
    </row>
    <row r="6" spans="1:44" ht="28.9" customHeight="1" thickBot="1" x14ac:dyDescent="0.25">
      <c r="A6" s="909"/>
      <c r="B6" s="948"/>
      <c r="C6" s="943"/>
      <c r="D6" s="916"/>
      <c r="E6" s="914"/>
      <c r="F6" s="882"/>
      <c r="G6" s="884"/>
      <c r="H6" s="882"/>
      <c r="I6" s="907"/>
      <c r="J6" s="882"/>
      <c r="K6" s="886"/>
      <c r="L6" s="89">
        <v>6</v>
      </c>
      <c r="M6" s="882"/>
      <c r="N6" s="577"/>
      <c r="O6" s="882"/>
      <c r="P6" s="886"/>
      <c r="Q6" s="89">
        <v>16</v>
      </c>
      <c r="R6" s="895"/>
      <c r="S6" s="905"/>
      <c r="T6" s="154">
        <v>6</v>
      </c>
      <c r="U6" s="882"/>
      <c r="V6" s="884"/>
      <c r="W6" s="882"/>
      <c r="X6" s="886"/>
      <c r="Y6" s="244">
        <v>20</v>
      </c>
      <c r="Z6" s="895"/>
      <c r="AA6" s="577"/>
      <c r="AB6" s="882"/>
      <c r="AC6" s="577"/>
      <c r="AD6" s="882"/>
      <c r="AE6" s="884"/>
      <c r="AF6" s="882"/>
      <c r="AG6" s="886"/>
      <c r="AH6" s="89" t="s">
        <v>346</v>
      </c>
      <c r="AI6" s="882"/>
      <c r="AJ6" s="886"/>
      <c r="AK6" s="154" t="s">
        <v>347</v>
      </c>
      <c r="AL6" s="962"/>
      <c r="AM6" s="960"/>
    </row>
    <row r="7" spans="1:44" ht="16.5" thickBot="1" x14ac:dyDescent="0.3">
      <c r="A7" s="909"/>
      <c r="B7" s="948"/>
      <c r="C7" s="912"/>
      <c r="D7" s="916"/>
      <c r="E7" s="914"/>
      <c r="F7" s="87">
        <v>42387</v>
      </c>
      <c r="G7" s="471"/>
      <c r="H7" s="485">
        <v>42389</v>
      </c>
      <c r="I7" s="634"/>
      <c r="J7" s="891">
        <f>F7+14</f>
        <v>42401</v>
      </c>
      <c r="K7" s="892"/>
      <c r="L7" s="893"/>
      <c r="M7" s="949">
        <f>H7+14</f>
        <v>42403</v>
      </c>
      <c r="N7" s="950"/>
      <c r="O7" s="891">
        <f>J7+14</f>
        <v>42415</v>
      </c>
      <c r="P7" s="892"/>
      <c r="Q7" s="893"/>
      <c r="R7" s="891">
        <f>M7+14</f>
        <v>42417</v>
      </c>
      <c r="S7" s="892"/>
      <c r="T7" s="892"/>
      <c r="U7" s="891">
        <f>O7+14</f>
        <v>42429</v>
      </c>
      <c r="V7" s="893"/>
      <c r="W7" s="891">
        <f>R7+14</f>
        <v>42431</v>
      </c>
      <c r="X7" s="892"/>
      <c r="Y7" s="951"/>
      <c r="Z7" s="891">
        <f>U7+14</f>
        <v>42443</v>
      </c>
      <c r="AA7" s="893"/>
      <c r="AB7" s="949">
        <f>W7+14</f>
        <v>42445</v>
      </c>
      <c r="AC7" s="953"/>
      <c r="AD7" s="472">
        <f>Z7+14</f>
        <v>42457</v>
      </c>
      <c r="AE7" s="473"/>
      <c r="AF7" s="949">
        <f>AB7+14</f>
        <v>42459</v>
      </c>
      <c r="AG7" s="952"/>
      <c r="AH7" s="474"/>
      <c r="AI7" s="891">
        <f>AD7+14</f>
        <v>42471</v>
      </c>
      <c r="AJ7" s="892"/>
      <c r="AK7" s="892"/>
      <c r="AL7" s="799">
        <f>AF7+14</f>
        <v>42473</v>
      </c>
      <c r="AM7" s="800"/>
    </row>
    <row r="8" spans="1:44" s="844" customFormat="1" ht="18.75" x14ac:dyDescent="0.25">
      <c r="A8" s="824">
        <v>1</v>
      </c>
      <c r="B8" s="823" t="s">
        <v>401</v>
      </c>
      <c r="C8" s="825">
        <v>1</v>
      </c>
      <c r="D8" s="826">
        <f t="shared" ref="D8:D21" si="0">SUM(L8,Q8,T8,Y8,AA8,AC8,AH8,AK8)</f>
        <v>44</v>
      </c>
      <c r="E8" s="827">
        <f t="shared" ref="E8:E21" si="1">SUM(D8:D8)</f>
        <v>44</v>
      </c>
      <c r="F8" s="828"/>
      <c r="G8" s="829"/>
      <c r="H8" s="830" t="s">
        <v>344</v>
      </c>
      <c r="I8" s="831"/>
      <c r="J8" s="828"/>
      <c r="K8" s="832">
        <f>C8</f>
        <v>1</v>
      </c>
      <c r="L8" s="833"/>
      <c r="M8" s="830" t="s">
        <v>344</v>
      </c>
      <c r="N8" s="831" t="s">
        <v>344</v>
      </c>
      <c r="O8" s="834"/>
      <c r="P8" s="835">
        <f>C8</f>
        <v>1</v>
      </c>
      <c r="Q8" s="836">
        <f t="shared" ref="Q8:Q19" si="2">IF(P8=0,"",VLOOKUP(P8,Підс2,2,FALSE))</f>
        <v>12</v>
      </c>
      <c r="R8" s="828" t="s">
        <v>344</v>
      </c>
      <c r="S8" s="547">
        <f>C8</f>
        <v>1</v>
      </c>
      <c r="T8" s="409">
        <v>6</v>
      </c>
      <c r="U8" s="407" t="s">
        <v>345</v>
      </c>
      <c r="V8" s="408"/>
      <c r="W8" s="850" t="s">
        <v>345</v>
      </c>
      <c r="X8" s="825">
        <f>C8</f>
        <v>1</v>
      </c>
      <c r="Y8" s="836">
        <f t="shared" ref="Y8:Y19" si="3">IF(X8=0,"",VLOOKUP(X8,Підс2,3,FALSE))</f>
        <v>15</v>
      </c>
      <c r="Z8" s="828" t="s">
        <v>344</v>
      </c>
      <c r="AA8" s="838"/>
      <c r="AB8" s="839" t="s">
        <v>344</v>
      </c>
      <c r="AC8" s="840"/>
      <c r="AD8" s="837" t="s">
        <v>345</v>
      </c>
      <c r="AE8" s="838"/>
      <c r="AF8" s="841"/>
      <c r="AG8" s="835">
        <f>C8</f>
        <v>1</v>
      </c>
      <c r="AH8" s="842"/>
      <c r="AI8" s="435"/>
      <c r="AJ8" s="825">
        <f>C8</f>
        <v>1</v>
      </c>
      <c r="AK8" s="553">
        <v>11</v>
      </c>
      <c r="AL8" s="839"/>
      <c r="AM8" s="843"/>
    </row>
    <row r="9" spans="1:44" s="381" customFormat="1" ht="18.75" x14ac:dyDescent="0.25">
      <c r="A9" s="479">
        <v>2</v>
      </c>
      <c r="B9" s="502" t="s">
        <v>402</v>
      </c>
      <c r="C9" s="548">
        <v>2</v>
      </c>
      <c r="D9" s="475">
        <f t="shared" si="0"/>
        <v>63.5</v>
      </c>
      <c r="E9" s="506">
        <f t="shared" si="1"/>
        <v>63.5</v>
      </c>
      <c r="F9" s="718"/>
      <c r="G9" s="719"/>
      <c r="H9" s="587" t="s">
        <v>344</v>
      </c>
      <c r="I9" s="532"/>
      <c r="J9" s="722"/>
      <c r="K9" s="723">
        <f>C9</f>
        <v>2</v>
      </c>
      <c r="L9" s="420">
        <v>5.5</v>
      </c>
      <c r="M9" s="587" t="s">
        <v>345</v>
      </c>
      <c r="N9" s="532" t="s">
        <v>345</v>
      </c>
      <c r="O9" s="656"/>
      <c r="P9" s="427">
        <f t="shared" ref="P9:P19" si="4">C9</f>
        <v>2</v>
      </c>
      <c r="Q9" s="476">
        <f t="shared" si="2"/>
        <v>15</v>
      </c>
      <c r="R9" s="572" t="s">
        <v>344</v>
      </c>
      <c r="S9" s="548">
        <f>C9</f>
        <v>2</v>
      </c>
      <c r="T9" s="331">
        <v>6</v>
      </c>
      <c r="U9" s="388" t="s">
        <v>344</v>
      </c>
      <c r="V9" s="386"/>
      <c r="W9" s="785" t="s">
        <v>345</v>
      </c>
      <c r="X9" s="548">
        <f>C9</f>
        <v>2</v>
      </c>
      <c r="Y9" s="476">
        <f t="shared" si="3"/>
        <v>18</v>
      </c>
      <c r="Z9" s="572" t="s">
        <v>344</v>
      </c>
      <c r="AA9" s="386"/>
      <c r="AB9" s="387" t="s">
        <v>344</v>
      </c>
      <c r="AC9" s="384"/>
      <c r="AD9" s="388" t="s">
        <v>344</v>
      </c>
      <c r="AE9" s="386"/>
      <c r="AF9" s="674"/>
      <c r="AG9" s="427">
        <f t="shared" ref="AG9:AG19" si="5">C9</f>
        <v>2</v>
      </c>
      <c r="AH9" s="612">
        <f>3+2+3</f>
        <v>8</v>
      </c>
      <c r="AI9" s="436"/>
      <c r="AJ9" s="548">
        <f>C9</f>
        <v>2</v>
      </c>
      <c r="AK9" s="420">
        <v>11</v>
      </c>
      <c r="AL9" s="802"/>
      <c r="AM9" s="803"/>
    </row>
    <row r="10" spans="1:44" s="381" customFormat="1" ht="18.75" x14ac:dyDescent="0.25">
      <c r="A10" s="481">
        <v>3</v>
      </c>
      <c r="B10" s="502" t="s">
        <v>403</v>
      </c>
      <c r="C10" s="548">
        <v>3</v>
      </c>
      <c r="D10" s="475">
        <f t="shared" si="0"/>
        <v>45</v>
      </c>
      <c r="E10" s="506">
        <f t="shared" si="1"/>
        <v>45</v>
      </c>
      <c r="F10" s="718"/>
      <c r="G10" s="719"/>
      <c r="H10" s="587" t="s">
        <v>344</v>
      </c>
      <c r="I10" s="532"/>
      <c r="J10" s="722"/>
      <c r="K10" s="723">
        <f t="shared" ref="K10:K19" si="6">C10</f>
        <v>3</v>
      </c>
      <c r="L10" s="420">
        <v>3</v>
      </c>
      <c r="M10" s="587" t="s">
        <v>344</v>
      </c>
      <c r="N10" s="532" t="s">
        <v>344</v>
      </c>
      <c r="O10" s="656"/>
      <c r="P10" s="427">
        <f t="shared" si="4"/>
        <v>3</v>
      </c>
      <c r="Q10" s="476">
        <f t="shared" si="2"/>
        <v>9</v>
      </c>
      <c r="R10" s="572" t="s">
        <v>344</v>
      </c>
      <c r="S10" s="548">
        <f t="shared" ref="S10:S19" si="7">C10</f>
        <v>3</v>
      </c>
      <c r="T10" s="331">
        <v>6</v>
      </c>
      <c r="U10" s="388" t="s">
        <v>344</v>
      </c>
      <c r="V10" s="386"/>
      <c r="W10" s="785" t="s">
        <v>345</v>
      </c>
      <c r="X10" s="548">
        <f t="shared" ref="X10:X19" si="8">C10</f>
        <v>3</v>
      </c>
      <c r="Y10" s="476">
        <f t="shared" si="3"/>
        <v>10</v>
      </c>
      <c r="Z10" s="572" t="s">
        <v>344</v>
      </c>
      <c r="AA10" s="386"/>
      <c r="AB10" s="387" t="s">
        <v>344</v>
      </c>
      <c r="AC10" s="384"/>
      <c r="AD10" s="388" t="s">
        <v>344</v>
      </c>
      <c r="AE10" s="386"/>
      <c r="AF10" s="674"/>
      <c r="AG10" s="427">
        <f t="shared" si="5"/>
        <v>3</v>
      </c>
      <c r="AH10" s="612">
        <f>3+0+2</f>
        <v>5</v>
      </c>
      <c r="AI10" s="436"/>
      <c r="AJ10" s="548">
        <f t="shared" ref="AJ10:AJ19" si="9">C10</f>
        <v>3</v>
      </c>
      <c r="AK10" s="420">
        <f>3+3+6</f>
        <v>12</v>
      </c>
      <c r="AL10" s="802"/>
      <c r="AM10" s="803"/>
    </row>
    <row r="11" spans="1:44" s="381" customFormat="1" ht="24" customHeight="1" x14ac:dyDescent="0.25">
      <c r="A11" s="479">
        <v>4</v>
      </c>
      <c r="B11" s="709" t="s">
        <v>404</v>
      </c>
      <c r="C11" s="436">
        <v>4</v>
      </c>
      <c r="D11" s="475">
        <f t="shared" si="0"/>
        <v>50</v>
      </c>
      <c r="E11" s="506">
        <f t="shared" si="1"/>
        <v>50</v>
      </c>
      <c r="F11" s="718"/>
      <c r="G11" s="719"/>
      <c r="H11" s="587" t="s">
        <v>425</v>
      </c>
      <c r="I11" s="532"/>
      <c r="J11" s="722"/>
      <c r="K11" s="723">
        <f t="shared" si="6"/>
        <v>4</v>
      </c>
      <c r="L11" s="420">
        <v>6</v>
      </c>
      <c r="M11" s="587"/>
      <c r="N11" s="532" t="s">
        <v>344</v>
      </c>
      <c r="O11" s="656"/>
      <c r="P11" s="778">
        <f t="shared" si="4"/>
        <v>4</v>
      </c>
      <c r="Q11" s="476">
        <f t="shared" si="2"/>
        <v>8</v>
      </c>
      <c r="R11" s="572" t="s">
        <v>344</v>
      </c>
      <c r="S11" s="548">
        <f t="shared" si="7"/>
        <v>4</v>
      </c>
      <c r="T11" s="331">
        <v>6</v>
      </c>
      <c r="U11" s="388" t="s">
        <v>344</v>
      </c>
      <c r="V11" s="386"/>
      <c r="W11" s="785" t="s">
        <v>344</v>
      </c>
      <c r="X11" s="548">
        <f t="shared" si="8"/>
        <v>4</v>
      </c>
      <c r="Y11" s="476">
        <f t="shared" si="3"/>
        <v>10</v>
      </c>
      <c r="Z11" s="572" t="s">
        <v>344</v>
      </c>
      <c r="AA11" s="386"/>
      <c r="AB11" s="387" t="s">
        <v>344</v>
      </c>
      <c r="AC11" s="384"/>
      <c r="AD11" s="388" t="s">
        <v>345</v>
      </c>
      <c r="AE11" s="386"/>
      <c r="AF11" s="674"/>
      <c r="AG11" s="427">
        <f t="shared" si="5"/>
        <v>4</v>
      </c>
      <c r="AH11" s="612">
        <f>1+5+3</f>
        <v>9</v>
      </c>
      <c r="AI11" s="436"/>
      <c r="AJ11" s="548">
        <f t="shared" si="9"/>
        <v>4</v>
      </c>
      <c r="AK11" s="420">
        <v>11</v>
      </c>
      <c r="AL11" s="802"/>
      <c r="AM11" s="803"/>
    </row>
    <row r="12" spans="1:44" s="381" customFormat="1" ht="18.75" x14ac:dyDescent="0.25">
      <c r="A12" s="481">
        <v>5</v>
      </c>
      <c r="B12" s="502" t="s">
        <v>405</v>
      </c>
      <c r="C12" s="548">
        <v>5</v>
      </c>
      <c r="D12" s="475">
        <f t="shared" si="0"/>
        <v>44</v>
      </c>
      <c r="E12" s="506">
        <f t="shared" si="1"/>
        <v>44</v>
      </c>
      <c r="F12" s="718"/>
      <c r="G12" s="719"/>
      <c r="H12" s="587" t="s">
        <v>344</v>
      </c>
      <c r="I12" s="532"/>
      <c r="J12" s="722"/>
      <c r="K12" s="723">
        <f t="shared" si="6"/>
        <v>5</v>
      </c>
      <c r="L12" s="420">
        <v>2</v>
      </c>
      <c r="M12" s="587" t="s">
        <v>344</v>
      </c>
      <c r="N12" s="532" t="s">
        <v>344</v>
      </c>
      <c r="O12" s="656"/>
      <c r="P12" s="427">
        <f t="shared" si="4"/>
        <v>5</v>
      </c>
      <c r="Q12" s="476">
        <f t="shared" si="2"/>
        <v>10</v>
      </c>
      <c r="R12" s="572" t="s">
        <v>344</v>
      </c>
      <c r="S12" s="548">
        <f t="shared" si="7"/>
        <v>5</v>
      </c>
      <c r="T12" s="331">
        <v>6</v>
      </c>
      <c r="U12" s="388" t="s">
        <v>344</v>
      </c>
      <c r="V12" s="386"/>
      <c r="W12" s="785" t="s">
        <v>345</v>
      </c>
      <c r="X12" s="548">
        <f t="shared" si="8"/>
        <v>5</v>
      </c>
      <c r="Y12" s="476">
        <f t="shared" si="3"/>
        <v>10</v>
      </c>
      <c r="Z12" s="572" t="s">
        <v>344</v>
      </c>
      <c r="AA12" s="386"/>
      <c r="AB12" s="387" t="s">
        <v>345</v>
      </c>
      <c r="AC12" s="384"/>
      <c r="AD12" s="388" t="s">
        <v>344</v>
      </c>
      <c r="AE12" s="386"/>
      <c r="AF12" s="674"/>
      <c r="AG12" s="427">
        <f t="shared" si="5"/>
        <v>5</v>
      </c>
      <c r="AH12" s="331">
        <f>3+0+2</f>
        <v>5</v>
      </c>
      <c r="AI12" s="436"/>
      <c r="AJ12" s="548">
        <f t="shared" si="9"/>
        <v>5</v>
      </c>
      <c r="AK12" s="420">
        <v>11</v>
      </c>
      <c r="AL12" s="802"/>
      <c r="AM12" s="803"/>
    </row>
    <row r="13" spans="1:44" s="381" customFormat="1" ht="18.75" x14ac:dyDescent="0.25">
      <c r="A13" s="479">
        <v>6</v>
      </c>
      <c r="B13" s="845" t="s">
        <v>406</v>
      </c>
      <c r="C13" s="436">
        <v>6</v>
      </c>
      <c r="D13" s="475">
        <f t="shared" si="0"/>
        <v>53.5</v>
      </c>
      <c r="E13" s="506">
        <f t="shared" si="1"/>
        <v>53.5</v>
      </c>
      <c r="F13" s="718"/>
      <c r="G13" s="719"/>
      <c r="H13" s="587" t="s">
        <v>425</v>
      </c>
      <c r="I13" s="532"/>
      <c r="J13" s="722"/>
      <c r="K13" s="723">
        <f t="shared" si="6"/>
        <v>6</v>
      </c>
      <c r="L13" s="420">
        <v>6</v>
      </c>
      <c r="M13" s="587"/>
      <c r="N13" s="532" t="s">
        <v>344</v>
      </c>
      <c r="O13" s="656"/>
      <c r="P13" s="778">
        <f t="shared" si="4"/>
        <v>6</v>
      </c>
      <c r="Q13" s="476">
        <f t="shared" si="2"/>
        <v>11</v>
      </c>
      <c r="R13" s="572" t="s">
        <v>344</v>
      </c>
      <c r="S13" s="548">
        <f t="shared" si="7"/>
        <v>6</v>
      </c>
      <c r="T13" s="331">
        <v>6</v>
      </c>
      <c r="U13" s="388" t="s">
        <v>344</v>
      </c>
      <c r="V13" s="386"/>
      <c r="W13" s="785" t="s">
        <v>344</v>
      </c>
      <c r="X13" s="548">
        <f t="shared" si="8"/>
        <v>6</v>
      </c>
      <c r="Y13" s="476">
        <f t="shared" si="3"/>
        <v>8.5</v>
      </c>
      <c r="Z13" s="572" t="s">
        <v>344</v>
      </c>
      <c r="AA13" s="386"/>
      <c r="AB13" s="387" t="s">
        <v>344</v>
      </c>
      <c r="AC13" s="384"/>
      <c r="AD13" s="388" t="s">
        <v>345</v>
      </c>
      <c r="AE13" s="386"/>
      <c r="AF13" s="674"/>
      <c r="AG13" s="427">
        <f t="shared" si="5"/>
        <v>6</v>
      </c>
      <c r="AH13" s="331">
        <v>11</v>
      </c>
      <c r="AI13" s="436"/>
      <c r="AJ13" s="548">
        <f t="shared" si="9"/>
        <v>6</v>
      </c>
      <c r="AK13" s="420">
        <v>11</v>
      </c>
      <c r="AL13" s="802"/>
      <c r="AM13" s="803"/>
    </row>
    <row r="14" spans="1:44" s="381" customFormat="1" ht="18.75" x14ac:dyDescent="0.25">
      <c r="A14" s="481">
        <v>7</v>
      </c>
      <c r="B14" s="502" t="s">
        <v>407</v>
      </c>
      <c r="C14" s="548">
        <v>7</v>
      </c>
      <c r="D14" s="475">
        <f t="shared" si="0"/>
        <v>40</v>
      </c>
      <c r="E14" s="506">
        <f t="shared" si="1"/>
        <v>40</v>
      </c>
      <c r="F14" s="718"/>
      <c r="G14" s="719"/>
      <c r="H14" s="587" t="s">
        <v>344</v>
      </c>
      <c r="I14" s="532"/>
      <c r="J14" s="722"/>
      <c r="K14" s="723">
        <f t="shared" si="6"/>
        <v>7</v>
      </c>
      <c r="L14" s="420">
        <v>3</v>
      </c>
      <c r="M14" s="587" t="s">
        <v>345</v>
      </c>
      <c r="N14" s="532" t="s">
        <v>344</v>
      </c>
      <c r="O14" s="656"/>
      <c r="P14" s="427">
        <f t="shared" si="4"/>
        <v>7</v>
      </c>
      <c r="Q14" s="476" t="str">
        <f t="shared" si="2"/>
        <v xml:space="preserve"> </v>
      </c>
      <c r="R14" s="572" t="s">
        <v>345</v>
      </c>
      <c r="S14" s="548">
        <f t="shared" si="7"/>
        <v>7</v>
      </c>
      <c r="T14" s="331">
        <v>6</v>
      </c>
      <c r="U14" s="388" t="s">
        <v>345</v>
      </c>
      <c r="V14" s="386"/>
      <c r="W14" s="785" t="s">
        <v>345</v>
      </c>
      <c r="X14" s="548">
        <f t="shared" si="8"/>
        <v>7</v>
      </c>
      <c r="Y14" s="476">
        <f t="shared" si="3"/>
        <v>9</v>
      </c>
      <c r="Z14" s="572" t="s">
        <v>344</v>
      </c>
      <c r="AA14" s="386"/>
      <c r="AB14" s="387" t="s">
        <v>345</v>
      </c>
      <c r="AC14" s="384"/>
      <c r="AD14" s="388" t="s">
        <v>344</v>
      </c>
      <c r="AE14" s="386"/>
      <c r="AF14" s="674"/>
      <c r="AG14" s="427">
        <f t="shared" si="5"/>
        <v>7</v>
      </c>
      <c r="AH14" s="331">
        <v>11</v>
      </c>
      <c r="AI14" s="436"/>
      <c r="AJ14" s="548">
        <f t="shared" si="9"/>
        <v>7</v>
      </c>
      <c r="AK14" s="420">
        <v>11</v>
      </c>
      <c r="AL14" s="802"/>
      <c r="AM14" s="803"/>
    </row>
    <row r="15" spans="1:44" s="381" customFormat="1" ht="18.75" x14ac:dyDescent="0.25">
      <c r="A15" s="479">
        <v>8</v>
      </c>
      <c r="B15" s="845" t="s">
        <v>408</v>
      </c>
      <c r="C15" s="436">
        <v>8</v>
      </c>
      <c r="D15" s="475">
        <f t="shared" si="0"/>
        <v>39.5</v>
      </c>
      <c r="E15" s="506">
        <f t="shared" si="1"/>
        <v>39.5</v>
      </c>
      <c r="F15" s="718"/>
      <c r="G15" s="719"/>
      <c r="H15" s="587" t="s">
        <v>425</v>
      </c>
      <c r="I15" s="532"/>
      <c r="J15" s="722"/>
      <c r="K15" s="723">
        <f t="shared" si="6"/>
        <v>8</v>
      </c>
      <c r="L15" s="420">
        <v>3</v>
      </c>
      <c r="M15" s="587"/>
      <c r="N15" s="532" t="s">
        <v>344</v>
      </c>
      <c r="O15" s="656"/>
      <c r="P15" s="778">
        <f t="shared" si="4"/>
        <v>8</v>
      </c>
      <c r="Q15" s="836">
        <f t="shared" si="2"/>
        <v>16</v>
      </c>
      <c r="R15" s="572" t="s">
        <v>344</v>
      </c>
      <c r="S15" s="548">
        <f t="shared" si="7"/>
        <v>8</v>
      </c>
      <c r="T15" s="331">
        <v>6</v>
      </c>
      <c r="U15" s="388" t="s">
        <v>344</v>
      </c>
      <c r="V15" s="386"/>
      <c r="W15" s="785" t="s">
        <v>344</v>
      </c>
      <c r="X15" s="548">
        <f t="shared" si="8"/>
        <v>8</v>
      </c>
      <c r="Y15" s="846">
        <f t="shared" si="3"/>
        <v>8.5</v>
      </c>
      <c r="Z15" s="572" t="s">
        <v>344</v>
      </c>
      <c r="AA15" s="386"/>
      <c r="AB15" s="387" t="s">
        <v>344</v>
      </c>
      <c r="AC15" s="384"/>
      <c r="AD15" s="388" t="s">
        <v>345</v>
      </c>
      <c r="AE15" s="386"/>
      <c r="AF15" s="674"/>
      <c r="AG15" s="427">
        <f t="shared" si="5"/>
        <v>8</v>
      </c>
      <c r="AH15" s="331"/>
      <c r="AI15" s="436"/>
      <c r="AJ15" s="548">
        <f t="shared" si="9"/>
        <v>8</v>
      </c>
      <c r="AK15" s="851">
        <f>3+3</f>
        <v>6</v>
      </c>
      <c r="AL15" s="802"/>
      <c r="AM15" s="803"/>
    </row>
    <row r="16" spans="1:44" s="381" customFormat="1" ht="18" customHeight="1" x14ac:dyDescent="0.25">
      <c r="A16" s="481">
        <v>9</v>
      </c>
      <c r="B16" s="625" t="s">
        <v>409</v>
      </c>
      <c r="C16" s="548">
        <v>9</v>
      </c>
      <c r="D16" s="475">
        <f t="shared" si="0"/>
        <v>37</v>
      </c>
      <c r="E16" s="506">
        <f t="shared" si="1"/>
        <v>37</v>
      </c>
      <c r="F16" s="718"/>
      <c r="G16" s="719"/>
      <c r="H16" s="587" t="s">
        <v>345</v>
      </c>
      <c r="I16" s="532"/>
      <c r="J16" s="722"/>
      <c r="K16" s="723">
        <f t="shared" si="6"/>
        <v>9</v>
      </c>
      <c r="L16" s="420"/>
      <c r="M16" s="587" t="s">
        <v>345</v>
      </c>
      <c r="N16" s="532" t="s">
        <v>344</v>
      </c>
      <c r="O16" s="656"/>
      <c r="P16" s="427">
        <f t="shared" si="4"/>
        <v>9</v>
      </c>
      <c r="Q16" s="476">
        <f t="shared" si="2"/>
        <v>6</v>
      </c>
      <c r="R16" s="572" t="s">
        <v>345</v>
      </c>
      <c r="S16" s="548">
        <f t="shared" si="7"/>
        <v>9</v>
      </c>
      <c r="T16" s="331">
        <v>6</v>
      </c>
      <c r="U16" s="388" t="s">
        <v>345</v>
      </c>
      <c r="V16" s="386"/>
      <c r="W16" s="785" t="s">
        <v>345</v>
      </c>
      <c r="X16" s="548">
        <f t="shared" si="8"/>
        <v>9</v>
      </c>
      <c r="Y16" s="476">
        <f t="shared" si="3"/>
        <v>11</v>
      </c>
      <c r="Z16" s="572" t="s">
        <v>345</v>
      </c>
      <c r="AA16" s="386"/>
      <c r="AB16" s="387" t="s">
        <v>345</v>
      </c>
      <c r="AC16" s="384"/>
      <c r="AD16" s="388" t="s">
        <v>345</v>
      </c>
      <c r="AE16" s="386"/>
      <c r="AF16" s="674"/>
      <c r="AG16" s="427">
        <f t="shared" si="5"/>
        <v>9</v>
      </c>
      <c r="AH16" s="331">
        <f>3+5</f>
        <v>8</v>
      </c>
      <c r="AI16" s="436"/>
      <c r="AJ16" s="548">
        <f t="shared" si="9"/>
        <v>9</v>
      </c>
      <c r="AK16" s="420">
        <f>3+3</f>
        <v>6</v>
      </c>
      <c r="AL16" s="802"/>
      <c r="AM16" s="803"/>
    </row>
    <row r="17" spans="1:51" s="381" customFormat="1" ht="18.75" x14ac:dyDescent="0.25">
      <c r="A17" s="479">
        <v>10</v>
      </c>
      <c r="B17" s="709" t="s">
        <v>410</v>
      </c>
      <c r="C17" s="436">
        <v>10</v>
      </c>
      <c r="D17" s="475">
        <f t="shared" si="0"/>
        <v>37.5</v>
      </c>
      <c r="E17" s="506">
        <f t="shared" si="1"/>
        <v>37.5</v>
      </c>
      <c r="F17" s="718"/>
      <c r="G17" s="719"/>
      <c r="H17" s="587" t="s">
        <v>425</v>
      </c>
      <c r="I17" s="532"/>
      <c r="J17" s="722"/>
      <c r="K17" s="723">
        <f t="shared" si="6"/>
        <v>10</v>
      </c>
      <c r="L17" s="420">
        <v>5</v>
      </c>
      <c r="M17" s="587"/>
      <c r="N17" s="532" t="s">
        <v>344</v>
      </c>
      <c r="O17" s="656"/>
      <c r="P17" s="778">
        <f t="shared" si="4"/>
        <v>10</v>
      </c>
      <c r="Q17" s="476">
        <f t="shared" si="2"/>
        <v>3.5</v>
      </c>
      <c r="R17" s="572" t="s">
        <v>344</v>
      </c>
      <c r="S17" s="548">
        <f t="shared" si="7"/>
        <v>10</v>
      </c>
      <c r="T17" s="852">
        <v>6</v>
      </c>
      <c r="U17" s="388" t="s">
        <v>344</v>
      </c>
      <c r="V17" s="386"/>
      <c r="W17" s="785" t="s">
        <v>344</v>
      </c>
      <c r="X17" s="548">
        <f t="shared" si="8"/>
        <v>10</v>
      </c>
      <c r="Y17" s="476">
        <f t="shared" si="3"/>
        <v>7</v>
      </c>
      <c r="Z17" s="572" t="s">
        <v>344</v>
      </c>
      <c r="AA17" s="386"/>
      <c r="AB17" s="387" t="s">
        <v>344</v>
      </c>
      <c r="AC17" s="384"/>
      <c r="AD17" s="388" t="s">
        <v>345</v>
      </c>
      <c r="AE17" s="386"/>
      <c r="AF17" s="674"/>
      <c r="AG17" s="427">
        <f t="shared" si="5"/>
        <v>10</v>
      </c>
      <c r="AH17" s="331">
        <f>3+1+3</f>
        <v>7</v>
      </c>
      <c r="AI17" s="436"/>
      <c r="AJ17" s="548">
        <f t="shared" si="9"/>
        <v>10</v>
      </c>
      <c r="AK17" s="420">
        <f>3+3+3</f>
        <v>9</v>
      </c>
      <c r="AL17" s="802"/>
      <c r="AM17" s="803"/>
    </row>
    <row r="18" spans="1:51" s="381" customFormat="1" ht="18.75" x14ac:dyDescent="0.25">
      <c r="A18" s="481">
        <v>11</v>
      </c>
      <c r="B18" s="502" t="s">
        <v>411</v>
      </c>
      <c r="C18" s="548">
        <v>11</v>
      </c>
      <c r="D18" s="475">
        <f t="shared" si="0"/>
        <v>38</v>
      </c>
      <c r="E18" s="506">
        <f t="shared" si="1"/>
        <v>38</v>
      </c>
      <c r="F18" s="718"/>
      <c r="G18" s="719"/>
      <c r="H18" s="587" t="s">
        <v>344</v>
      </c>
      <c r="I18" s="532"/>
      <c r="J18" s="722"/>
      <c r="K18" s="723">
        <f t="shared" si="6"/>
        <v>11</v>
      </c>
      <c r="L18" s="420">
        <v>5</v>
      </c>
      <c r="M18" s="587" t="s">
        <v>345</v>
      </c>
      <c r="N18" s="532" t="s">
        <v>344</v>
      </c>
      <c r="O18" s="656"/>
      <c r="P18" s="427">
        <f t="shared" si="4"/>
        <v>11</v>
      </c>
      <c r="Q18" s="476">
        <f t="shared" si="2"/>
        <v>5.5</v>
      </c>
      <c r="R18" s="572" t="s">
        <v>344</v>
      </c>
      <c r="S18" s="548">
        <f t="shared" si="7"/>
        <v>11</v>
      </c>
      <c r="T18" s="331">
        <v>6</v>
      </c>
      <c r="U18" s="388" t="s">
        <v>344</v>
      </c>
      <c r="V18" s="386"/>
      <c r="W18" s="785" t="s">
        <v>344</v>
      </c>
      <c r="X18" s="548">
        <f t="shared" si="8"/>
        <v>11</v>
      </c>
      <c r="Y18" s="476">
        <f t="shared" si="3"/>
        <v>10</v>
      </c>
      <c r="Z18" s="572" t="s">
        <v>344</v>
      </c>
      <c r="AA18" s="386"/>
      <c r="AB18" s="387" t="s">
        <v>345</v>
      </c>
      <c r="AC18" s="384"/>
      <c r="AD18" s="388" t="s">
        <v>344</v>
      </c>
      <c r="AE18" s="386"/>
      <c r="AF18" s="674"/>
      <c r="AG18" s="427">
        <f t="shared" si="5"/>
        <v>11</v>
      </c>
      <c r="AH18" s="331">
        <f>1.5+4+0</f>
        <v>5.5</v>
      </c>
      <c r="AI18" s="436"/>
      <c r="AJ18" s="548">
        <f t="shared" si="9"/>
        <v>11</v>
      </c>
      <c r="AK18" s="420">
        <f>3+3+0</f>
        <v>6</v>
      </c>
      <c r="AL18" s="802"/>
      <c r="AM18" s="803"/>
    </row>
    <row r="19" spans="1:51" s="381" customFormat="1" ht="23.25" customHeight="1" x14ac:dyDescent="0.25">
      <c r="A19" s="479">
        <v>12</v>
      </c>
      <c r="B19" s="502" t="s">
        <v>426</v>
      </c>
      <c r="C19" s="548">
        <v>12</v>
      </c>
      <c r="D19" s="475">
        <f t="shared" si="0"/>
        <v>24</v>
      </c>
      <c r="E19" s="506">
        <f t="shared" si="1"/>
        <v>24</v>
      </c>
      <c r="F19" s="718"/>
      <c r="G19" s="719"/>
      <c r="H19" s="587" t="s">
        <v>344</v>
      </c>
      <c r="I19" s="532"/>
      <c r="J19" s="722"/>
      <c r="K19" s="723">
        <f t="shared" si="6"/>
        <v>12</v>
      </c>
      <c r="L19" s="420">
        <v>2</v>
      </c>
      <c r="M19" s="587" t="s">
        <v>345</v>
      </c>
      <c r="N19" s="532" t="s">
        <v>345</v>
      </c>
      <c r="O19" s="656"/>
      <c r="P19" s="427">
        <f t="shared" si="4"/>
        <v>12</v>
      </c>
      <c r="Q19" s="476">
        <f t="shared" si="2"/>
        <v>10</v>
      </c>
      <c r="R19" s="735" t="s">
        <v>345</v>
      </c>
      <c r="S19" s="548">
        <f t="shared" si="7"/>
        <v>12</v>
      </c>
      <c r="T19" s="331">
        <v>6</v>
      </c>
      <c r="U19" s="388" t="s">
        <v>345</v>
      </c>
      <c r="V19" s="386"/>
      <c r="W19" s="786" t="s">
        <v>345</v>
      </c>
      <c r="X19" s="548">
        <f t="shared" si="8"/>
        <v>12</v>
      </c>
      <c r="Y19" s="476" t="str">
        <f t="shared" si="3"/>
        <v xml:space="preserve"> </v>
      </c>
      <c r="Z19" s="572" t="s">
        <v>345</v>
      </c>
      <c r="AA19" s="386"/>
      <c r="AB19" s="387" t="s">
        <v>345</v>
      </c>
      <c r="AC19" s="497"/>
      <c r="AD19" s="388" t="s">
        <v>345</v>
      </c>
      <c r="AE19" s="386"/>
      <c r="AF19" s="675"/>
      <c r="AG19" s="427">
        <f t="shared" si="5"/>
        <v>12</v>
      </c>
      <c r="AH19" s="331">
        <f>3+0+3</f>
        <v>6</v>
      </c>
      <c r="AI19" s="419"/>
      <c r="AJ19" s="548">
        <f t="shared" si="9"/>
        <v>12</v>
      </c>
      <c r="AK19" s="613"/>
      <c r="AL19" s="802"/>
      <c r="AM19" s="803"/>
    </row>
    <row r="20" spans="1:51" s="381" customFormat="1" ht="18.75" x14ac:dyDescent="0.25">
      <c r="A20" s="481">
        <v>13</v>
      </c>
      <c r="B20" s="870" t="s">
        <v>450</v>
      </c>
      <c r="C20" s="548">
        <v>13</v>
      </c>
      <c r="D20" s="475">
        <f t="shared" si="0"/>
        <v>0</v>
      </c>
      <c r="E20" s="506">
        <f t="shared" si="1"/>
        <v>0</v>
      </c>
      <c r="F20" s="718"/>
      <c r="G20" s="719"/>
      <c r="H20" s="587"/>
      <c r="I20" s="532"/>
      <c r="J20" s="722"/>
      <c r="K20" s="723">
        <f t="shared" ref="K20" si="10">C20</f>
        <v>13</v>
      </c>
      <c r="L20" s="420"/>
      <c r="M20" s="587"/>
      <c r="N20" s="532"/>
      <c r="O20" s="656"/>
      <c r="P20" s="427">
        <f t="shared" ref="P20:P21" si="11">C20</f>
        <v>13</v>
      </c>
      <c r="Q20" s="476" t="str">
        <f t="shared" ref="Q20:Q21" si="12">IF(P20=0,"",VLOOKUP(P20,Підс2,2,FALSE))</f>
        <v xml:space="preserve"> </v>
      </c>
      <c r="R20" s="736"/>
      <c r="S20" s="548">
        <f t="shared" ref="S20:S21" si="13">C20</f>
        <v>13</v>
      </c>
      <c r="T20" s="331"/>
      <c r="U20" s="388"/>
      <c r="V20" s="386"/>
      <c r="W20" s="787"/>
      <c r="X20" s="548">
        <f t="shared" ref="X20:X21" si="14">C20</f>
        <v>13</v>
      </c>
      <c r="Y20" s="476" t="str">
        <f t="shared" ref="Y20:Y21" si="15">IF(X20=0,"",VLOOKUP(X20,Підс2,3,FALSE))</f>
        <v xml:space="preserve"> </v>
      </c>
      <c r="Z20" s="572"/>
      <c r="AA20" s="386"/>
      <c r="AB20" s="387"/>
      <c r="AC20" s="497"/>
      <c r="AD20" s="388"/>
      <c r="AE20" s="386"/>
      <c r="AF20" s="676"/>
      <c r="AG20" s="427">
        <f t="shared" ref="AG20:AG21" si="16">C20</f>
        <v>13</v>
      </c>
      <c r="AH20" s="331"/>
      <c r="AI20" s="515"/>
      <c r="AJ20" s="548">
        <f t="shared" ref="AJ20" si="17">C20</f>
        <v>13</v>
      </c>
      <c r="AK20" s="613"/>
      <c r="AL20" s="802"/>
      <c r="AM20" s="803"/>
    </row>
    <row r="21" spans="1:51" s="381" customFormat="1" ht="18.75" thickBot="1" x14ac:dyDescent="0.3">
      <c r="A21" s="482">
        <v>14</v>
      </c>
      <c r="B21" s="438"/>
      <c r="C21" s="510"/>
      <c r="D21" s="395">
        <f t="shared" si="0"/>
        <v>0</v>
      </c>
      <c r="E21" s="507">
        <f t="shared" si="1"/>
        <v>0</v>
      </c>
      <c r="F21" s="720"/>
      <c r="G21" s="721"/>
      <c r="H21" s="588"/>
      <c r="I21" s="533"/>
      <c r="J21" s="724"/>
      <c r="K21" s="725"/>
      <c r="L21" s="399"/>
      <c r="M21" s="588"/>
      <c r="N21" s="397"/>
      <c r="O21" s="657"/>
      <c r="P21" s="427">
        <f t="shared" si="11"/>
        <v>0</v>
      </c>
      <c r="Q21" s="476" t="str">
        <f t="shared" si="12"/>
        <v/>
      </c>
      <c r="R21" s="737"/>
      <c r="S21" s="548">
        <f t="shared" si="13"/>
        <v>0</v>
      </c>
      <c r="T21" s="820"/>
      <c r="U21" s="401"/>
      <c r="V21" s="399"/>
      <c r="W21" s="788"/>
      <c r="X21" s="548">
        <f t="shared" si="14"/>
        <v>0</v>
      </c>
      <c r="Y21" s="483" t="str">
        <f t="shared" si="15"/>
        <v/>
      </c>
      <c r="Z21" s="401"/>
      <c r="AA21" s="399"/>
      <c r="AB21" s="400"/>
      <c r="AC21" s="498"/>
      <c r="AD21" s="401"/>
      <c r="AE21" s="399"/>
      <c r="AF21" s="677"/>
      <c r="AG21" s="427">
        <f t="shared" si="16"/>
        <v>0</v>
      </c>
      <c r="AH21" s="397"/>
      <c r="AI21" s="516"/>
      <c r="AJ21" s="539"/>
      <c r="AK21" s="549"/>
      <c r="AL21" s="804"/>
      <c r="AM21" s="805"/>
    </row>
    <row r="22" spans="1:51" ht="18" x14ac:dyDescent="0.25">
      <c r="A22" s="100"/>
      <c r="B22" s="70"/>
      <c r="C22" s="101"/>
      <c r="D22" s="102"/>
      <c r="E22" s="102"/>
      <c r="F22" s="103" t="s">
        <v>431</v>
      </c>
      <c r="G22" s="79"/>
      <c r="H22" s="79"/>
      <c r="I22" s="79"/>
      <c r="J22" s="79" t="s">
        <v>432</v>
      </c>
      <c r="K22" s="79"/>
      <c r="L22" s="104">
        <f>COUNT(L8:L21)</f>
        <v>10</v>
      </c>
      <c r="M22" s="20"/>
      <c r="N22" s="79"/>
      <c r="O22" s="79" t="s">
        <v>433</v>
      </c>
      <c r="P22" s="79"/>
      <c r="Q22" s="104">
        <f>COUNT(Q8:Q21)</f>
        <v>11</v>
      </c>
      <c r="R22" s="20" t="s">
        <v>438</v>
      </c>
      <c r="S22" s="79"/>
      <c r="T22" s="821">
        <f>COUNT(T8:T21)</f>
        <v>12</v>
      </c>
      <c r="U22" s="20" t="s">
        <v>444</v>
      </c>
      <c r="V22" s="20"/>
      <c r="W22" s="203"/>
      <c r="X22" s="204"/>
      <c r="Y22" s="20"/>
      <c r="Z22" s="79"/>
      <c r="AA22" s="94"/>
      <c r="AB22" s="79"/>
      <c r="AC22" s="79"/>
      <c r="AD22" s="79"/>
      <c r="AE22" s="79"/>
      <c r="AF22" s="20"/>
      <c r="AG22" s="79"/>
      <c r="AH22" s="79"/>
      <c r="AI22" s="79"/>
      <c r="AJ22" s="79"/>
      <c r="AK22" s="94"/>
      <c r="AL22" s="79"/>
      <c r="AM22" s="20"/>
      <c r="AN22" s="45"/>
      <c r="AO22" s="44"/>
      <c r="AP22" s="25"/>
      <c r="AR22" s="20"/>
      <c r="AW22" s="20"/>
    </row>
    <row r="23" spans="1:51" ht="18.75" x14ac:dyDescent="0.25">
      <c r="A23" s="100"/>
      <c r="B23" s="502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1" ht="18" x14ac:dyDescent="0.25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44"/>
      <c r="AO24" s="45"/>
      <c r="AP24" s="44"/>
      <c r="AQ24" s="25"/>
    </row>
    <row r="25" spans="1:51" ht="15" x14ac:dyDescent="0.2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75" x14ac:dyDescent="0.25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75" x14ac:dyDescent="0.25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75" x14ac:dyDescent="0.2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75" x14ac:dyDescent="0.25">
      <c r="A29" s="52"/>
      <c r="B29" s="49"/>
      <c r="C29" s="26"/>
      <c r="D29" s="26"/>
      <c r="E29" s="26"/>
      <c r="F29" s="26"/>
      <c r="G29" s="20"/>
      <c r="H29" s="20" t="s">
        <v>348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75" x14ac:dyDescent="0.25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70.5" customHeight="1" x14ac:dyDescent="0.2">
      <c r="A31" s="52"/>
      <c r="B31" s="49"/>
      <c r="C31" s="26"/>
      <c r="D31" s="730" t="s">
        <v>401</v>
      </c>
      <c r="E31" s="730" t="s">
        <v>402</v>
      </c>
      <c r="F31" s="730" t="s">
        <v>403</v>
      </c>
      <c r="G31" s="731" t="s">
        <v>404</v>
      </c>
      <c r="H31" s="731" t="s">
        <v>405</v>
      </c>
      <c r="I31" s="731" t="s">
        <v>406</v>
      </c>
      <c r="J31" s="731" t="s">
        <v>407</v>
      </c>
      <c r="K31" s="731" t="s">
        <v>408</v>
      </c>
      <c r="L31" s="731" t="s">
        <v>409</v>
      </c>
      <c r="M31" s="731" t="s">
        <v>410</v>
      </c>
      <c r="N31" s="731" t="s">
        <v>411</v>
      </c>
      <c r="O31" s="731" t="s">
        <v>426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51" ht="26.25" customHeight="1" x14ac:dyDescent="0.2">
      <c r="A32" s="52"/>
      <c r="B32" s="93" t="s">
        <v>234</v>
      </c>
      <c r="C32" s="82" t="s">
        <v>152</v>
      </c>
      <c r="D32" s="98">
        <v>1</v>
      </c>
      <c r="E32" s="98">
        <v>2</v>
      </c>
      <c r="F32" s="98">
        <v>3</v>
      </c>
      <c r="G32" s="98">
        <v>4</v>
      </c>
      <c r="H32" s="99">
        <v>5</v>
      </c>
      <c r="I32" s="99">
        <v>6</v>
      </c>
      <c r="J32" s="99">
        <v>7</v>
      </c>
      <c r="K32" s="99">
        <v>8</v>
      </c>
      <c r="L32" s="99">
        <v>9</v>
      </c>
      <c r="M32" s="99">
        <v>10</v>
      </c>
      <c r="N32" s="99">
        <v>11</v>
      </c>
      <c r="O32" s="99">
        <v>12</v>
      </c>
      <c r="P32" s="99">
        <v>13</v>
      </c>
      <c r="Q32" s="99">
        <v>14</v>
      </c>
      <c r="R32" s="99">
        <v>15</v>
      </c>
      <c r="S32" s="116" t="s">
        <v>236</v>
      </c>
      <c r="T32" s="116" t="s">
        <v>170</v>
      </c>
      <c r="U32" s="116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15.75" x14ac:dyDescent="0.2">
      <c r="A33" s="51"/>
      <c r="B33" s="95" t="s">
        <v>232</v>
      </c>
      <c r="C33" s="83"/>
      <c r="D33" s="80"/>
      <c r="E33" s="80"/>
      <c r="F33" s="80"/>
      <c r="G33" s="80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131">
        <v>1</v>
      </c>
      <c r="T33" s="106">
        <f>IF($D41=0," ",$D41)</f>
        <v>12</v>
      </c>
      <c r="U33" s="106">
        <f>IF($D47=0," ",$D47)</f>
        <v>15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8" x14ac:dyDescent="0.2">
      <c r="A34" s="51"/>
      <c r="B34" s="95" t="s">
        <v>1</v>
      </c>
      <c r="C34" s="156">
        <v>2</v>
      </c>
      <c r="D34" s="358">
        <v>2</v>
      </c>
      <c r="E34" s="358">
        <v>2</v>
      </c>
      <c r="F34" s="358">
        <v>2</v>
      </c>
      <c r="G34" s="822">
        <v>1</v>
      </c>
      <c r="H34" s="360">
        <v>2</v>
      </c>
      <c r="I34" s="360">
        <v>2</v>
      </c>
      <c r="J34" s="360"/>
      <c r="K34" s="360">
        <v>2</v>
      </c>
      <c r="L34" s="360">
        <v>2</v>
      </c>
      <c r="M34" s="360">
        <v>1.5</v>
      </c>
      <c r="N34" s="360">
        <v>1.5</v>
      </c>
      <c r="O34" s="360">
        <v>0</v>
      </c>
      <c r="P34" s="360"/>
      <c r="Q34" s="360"/>
      <c r="R34" s="360"/>
      <c r="S34" s="131">
        <v>2</v>
      </c>
      <c r="T34" s="106">
        <f>IF($E41=0," ",$E41)</f>
        <v>15</v>
      </c>
      <c r="U34" s="106">
        <f>IF($E47=0," ",$E47)</f>
        <v>18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3</v>
      </c>
      <c r="C35" s="156">
        <v>2</v>
      </c>
      <c r="D35" s="358">
        <v>0</v>
      </c>
      <c r="E35" s="358">
        <v>2</v>
      </c>
      <c r="F35" s="358">
        <v>1.5</v>
      </c>
      <c r="G35" s="822">
        <v>1</v>
      </c>
      <c r="H35" s="360">
        <v>2</v>
      </c>
      <c r="I35" s="360">
        <v>2</v>
      </c>
      <c r="J35" s="360"/>
      <c r="K35" s="360">
        <v>2</v>
      </c>
      <c r="L35" s="360">
        <v>2</v>
      </c>
      <c r="M35" s="360">
        <v>0</v>
      </c>
      <c r="N35" s="360">
        <v>1.5</v>
      </c>
      <c r="O35" s="360">
        <v>2</v>
      </c>
      <c r="P35" s="360"/>
      <c r="Q35" s="360"/>
      <c r="R35" s="360"/>
      <c r="S35" s="131">
        <v>3</v>
      </c>
      <c r="T35" s="106">
        <f>IF($F41=0," ",$F41)</f>
        <v>9</v>
      </c>
      <c r="U35" s="106">
        <f>IF($F47=0," ",$F47)</f>
        <v>10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95" t="s">
        <v>5</v>
      </c>
      <c r="C36" s="156">
        <v>2</v>
      </c>
      <c r="D36" s="358">
        <v>2</v>
      </c>
      <c r="E36" s="358">
        <v>2</v>
      </c>
      <c r="F36" s="358">
        <v>1.5</v>
      </c>
      <c r="G36" s="822">
        <v>0</v>
      </c>
      <c r="H36" s="360">
        <v>1</v>
      </c>
      <c r="I36" s="743">
        <v>1</v>
      </c>
      <c r="J36" s="360"/>
      <c r="K36" s="360">
        <v>2</v>
      </c>
      <c r="L36" s="743">
        <v>0</v>
      </c>
      <c r="M36" s="360">
        <v>0</v>
      </c>
      <c r="N36" s="360">
        <v>1.5</v>
      </c>
      <c r="O36" s="360">
        <v>0</v>
      </c>
      <c r="P36" s="360"/>
      <c r="Q36" s="360"/>
      <c r="R36" s="360"/>
      <c r="S36" s="131">
        <v>4</v>
      </c>
      <c r="T36" s="106">
        <f>IF($G41=0," ",$G41)</f>
        <v>8</v>
      </c>
      <c r="U36" s="106">
        <f>IF($G47=0," ",$G47)</f>
        <v>10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95" t="s">
        <v>6</v>
      </c>
      <c r="C37" s="156">
        <v>2</v>
      </c>
      <c r="D37" s="358">
        <v>2</v>
      </c>
      <c r="E37" s="358">
        <v>2</v>
      </c>
      <c r="F37" s="358">
        <v>2</v>
      </c>
      <c r="G37" s="358">
        <v>2</v>
      </c>
      <c r="H37" s="360">
        <v>1</v>
      </c>
      <c r="I37" s="743">
        <v>0</v>
      </c>
      <c r="J37" s="360"/>
      <c r="K37" s="360">
        <v>2</v>
      </c>
      <c r="L37" s="743">
        <v>0</v>
      </c>
      <c r="M37" s="360">
        <v>2</v>
      </c>
      <c r="N37" s="360">
        <v>1</v>
      </c>
      <c r="O37" s="360">
        <v>0</v>
      </c>
      <c r="P37" s="360"/>
      <c r="Q37" s="360"/>
      <c r="R37" s="360"/>
      <c r="S37" s="131">
        <v>5</v>
      </c>
      <c r="T37" s="106">
        <f>IF($H41=0," ",$H41)</f>
        <v>10</v>
      </c>
      <c r="U37" s="106">
        <f>IF($H47=0," ",$H47)</f>
        <v>10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7</v>
      </c>
      <c r="C38" s="156">
        <v>4</v>
      </c>
      <c r="D38" s="358">
        <v>3</v>
      </c>
      <c r="E38" s="358">
        <v>3</v>
      </c>
      <c r="F38" s="358">
        <v>0</v>
      </c>
      <c r="G38" s="358">
        <v>4</v>
      </c>
      <c r="H38" s="360">
        <v>4</v>
      </c>
      <c r="I38" s="360">
        <v>4</v>
      </c>
      <c r="J38" s="360"/>
      <c r="K38" s="360">
        <v>4</v>
      </c>
      <c r="L38" s="743">
        <v>0</v>
      </c>
      <c r="M38" s="360">
        <v>0</v>
      </c>
      <c r="N38" s="360">
        <v>0</v>
      </c>
      <c r="O38" s="360">
        <v>4</v>
      </c>
      <c r="P38" s="360"/>
      <c r="Q38" s="360"/>
      <c r="R38" s="360"/>
      <c r="S38" s="131">
        <v>6</v>
      </c>
      <c r="T38" s="106">
        <f>IF($I41=0," ",$I41)</f>
        <v>11</v>
      </c>
      <c r="U38" s="106">
        <f>IF($I47=0," ",$I47)</f>
        <v>8.5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8</v>
      </c>
      <c r="C39" s="156">
        <v>2</v>
      </c>
      <c r="D39" s="358">
        <v>1</v>
      </c>
      <c r="E39" s="358">
        <v>2</v>
      </c>
      <c r="F39" s="358">
        <v>0</v>
      </c>
      <c r="G39" s="822">
        <v>0</v>
      </c>
      <c r="H39" s="360"/>
      <c r="I39" s="360">
        <v>0</v>
      </c>
      <c r="J39" s="360"/>
      <c r="K39" s="360">
        <v>2</v>
      </c>
      <c r="L39" s="360">
        <v>0</v>
      </c>
      <c r="M39" s="360">
        <v>0</v>
      </c>
      <c r="N39" s="360">
        <v>0</v>
      </c>
      <c r="O39" s="360">
        <v>2</v>
      </c>
      <c r="P39" s="360"/>
      <c r="Q39" s="360"/>
      <c r="R39" s="360"/>
      <c r="S39" s="131">
        <v>7</v>
      </c>
      <c r="T39" s="106" t="str">
        <f>IF($J41=0," ",$J41)</f>
        <v xml:space="preserve"> </v>
      </c>
      <c r="U39" s="106">
        <f>IF($J47=0," ",$J47)</f>
        <v>9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5" t="s">
        <v>160</v>
      </c>
      <c r="C40" s="156">
        <v>2</v>
      </c>
      <c r="D40" s="358">
        <v>2</v>
      </c>
      <c r="E40" s="358">
        <v>2</v>
      </c>
      <c r="F40" s="358">
        <v>2</v>
      </c>
      <c r="G40" s="743">
        <v>0</v>
      </c>
      <c r="H40" s="360"/>
      <c r="I40" s="360">
        <v>2</v>
      </c>
      <c r="J40" s="360"/>
      <c r="K40" s="360">
        <v>2</v>
      </c>
      <c r="L40" s="360">
        <v>2</v>
      </c>
      <c r="M40" s="360">
        <v>0</v>
      </c>
      <c r="N40" s="360">
        <v>0</v>
      </c>
      <c r="O40" s="360">
        <v>2</v>
      </c>
      <c r="P40" s="360"/>
      <c r="Q40" s="360"/>
      <c r="R40" s="360"/>
      <c r="S40" s="131">
        <v>8</v>
      </c>
      <c r="T40" s="106">
        <f>IF($K41=0," ",$K41)</f>
        <v>16</v>
      </c>
      <c r="U40" s="106">
        <f>IF($K47=0," ",$K47)</f>
        <v>8.5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91" t="s">
        <v>38</v>
      </c>
      <c r="C41" s="92">
        <f>SUM(C34:C40)</f>
        <v>16</v>
      </c>
      <c r="D41" s="424">
        <f>SUM(D34:D40)</f>
        <v>12</v>
      </c>
      <c r="E41" s="424">
        <f t="shared" ref="E41:R41" si="18">SUM(E34:E40)</f>
        <v>15</v>
      </c>
      <c r="F41" s="424">
        <f t="shared" si="18"/>
        <v>9</v>
      </c>
      <c r="G41" s="424">
        <f t="shared" si="18"/>
        <v>8</v>
      </c>
      <c r="H41" s="424">
        <f t="shared" si="18"/>
        <v>10</v>
      </c>
      <c r="I41" s="424">
        <f t="shared" si="18"/>
        <v>11</v>
      </c>
      <c r="J41" s="424">
        <f t="shared" si="18"/>
        <v>0</v>
      </c>
      <c r="K41" s="424">
        <f t="shared" si="18"/>
        <v>16</v>
      </c>
      <c r="L41" s="424">
        <f t="shared" si="18"/>
        <v>6</v>
      </c>
      <c r="M41" s="424">
        <f t="shared" si="18"/>
        <v>3.5</v>
      </c>
      <c r="N41" s="424">
        <f t="shared" si="18"/>
        <v>5.5</v>
      </c>
      <c r="O41" s="424">
        <f t="shared" si="18"/>
        <v>10</v>
      </c>
      <c r="P41" s="424">
        <f t="shared" si="18"/>
        <v>0</v>
      </c>
      <c r="Q41" s="424">
        <f t="shared" si="18"/>
        <v>0</v>
      </c>
      <c r="R41" s="424">
        <f t="shared" si="18"/>
        <v>0</v>
      </c>
      <c r="S41" s="131">
        <v>9</v>
      </c>
      <c r="T41" s="106">
        <f>IF($L41=0," ",$L41)</f>
        <v>6</v>
      </c>
      <c r="U41" s="106">
        <f>IF($L47=0," ",$L47)</f>
        <v>11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75" x14ac:dyDescent="0.2">
      <c r="A42" s="51"/>
      <c r="B42" s="96" t="s">
        <v>10</v>
      </c>
      <c r="C42" s="84"/>
      <c r="D42" s="85"/>
      <c r="E42" s="85"/>
      <c r="F42" s="85"/>
      <c r="G42" s="86"/>
      <c r="H42" s="86"/>
      <c r="I42" s="86"/>
      <c r="J42" s="86"/>
      <c r="K42" s="86"/>
      <c r="L42" s="86"/>
      <c r="M42" s="86"/>
      <c r="N42" s="86"/>
      <c r="O42" s="86"/>
      <c r="P42" s="422"/>
      <c r="Q42" s="86"/>
      <c r="R42" s="81"/>
      <c r="S42" s="131">
        <v>10</v>
      </c>
      <c r="T42" s="106">
        <f>IF($M41=0," ",$M41)</f>
        <v>3.5</v>
      </c>
      <c r="U42" s="106">
        <f>IF($M47=0," ",$M47)</f>
        <v>7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">
      <c r="A43" s="51"/>
      <c r="B43" s="97" t="s">
        <v>13</v>
      </c>
      <c r="C43" s="156">
        <v>10</v>
      </c>
      <c r="D43" s="371">
        <v>9</v>
      </c>
      <c r="E43" s="371">
        <v>10</v>
      </c>
      <c r="F43" s="371">
        <v>10</v>
      </c>
      <c r="G43" s="372">
        <v>10</v>
      </c>
      <c r="H43" s="372">
        <v>10</v>
      </c>
      <c r="I43" s="372">
        <v>8.5</v>
      </c>
      <c r="J43" s="372">
        <v>9</v>
      </c>
      <c r="K43" s="372">
        <v>8.5</v>
      </c>
      <c r="L43" s="372">
        <v>9</v>
      </c>
      <c r="M43" s="372">
        <v>7</v>
      </c>
      <c r="N43" s="848">
        <v>8</v>
      </c>
      <c r="O43" s="372"/>
      <c r="P43" s="372"/>
      <c r="Q43" s="372"/>
      <c r="R43" s="372"/>
      <c r="S43" s="131">
        <v>11</v>
      </c>
      <c r="T43" s="106">
        <f>IF($N41=0," ",$N41)</f>
        <v>5.5</v>
      </c>
      <c r="U43" s="106">
        <f>IF($N47=0," ",$N47)</f>
        <v>10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161</v>
      </c>
      <c r="C44" s="156">
        <v>2</v>
      </c>
      <c r="D44" s="371">
        <v>2</v>
      </c>
      <c r="E44" s="371">
        <v>2</v>
      </c>
      <c r="F44" s="371"/>
      <c r="G44" s="372"/>
      <c r="H44" s="372"/>
      <c r="I44" s="372"/>
      <c r="J44" s="372"/>
      <c r="K44" s="372"/>
      <c r="L44" s="372">
        <v>2</v>
      </c>
      <c r="M44" s="372">
        <v>0</v>
      </c>
      <c r="N44" s="372">
        <v>2</v>
      </c>
      <c r="O44" s="372"/>
      <c r="P44" s="372"/>
      <c r="Q44" s="372"/>
      <c r="R44" s="372"/>
      <c r="S44" s="131">
        <v>12</v>
      </c>
      <c r="T44" s="106">
        <f>IF($O41=0," ",$O41)</f>
        <v>10</v>
      </c>
      <c r="U44" s="106" t="str">
        <f>IF($O47=0," ",$O47)</f>
        <v xml:space="preserve"> 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8" x14ac:dyDescent="0.2">
      <c r="A45" s="51"/>
      <c r="B45" s="97" t="s">
        <v>15</v>
      </c>
      <c r="C45" s="156">
        <v>4</v>
      </c>
      <c r="D45" s="371">
        <v>4</v>
      </c>
      <c r="E45" s="373">
        <v>4</v>
      </c>
      <c r="F45" s="373"/>
      <c r="G45" s="374"/>
      <c r="H45" s="374"/>
      <c r="I45" s="374"/>
      <c r="J45" s="371"/>
      <c r="K45" s="374"/>
      <c r="L45" s="374"/>
      <c r="M45" s="374">
        <v>0</v>
      </c>
      <c r="N45" s="374">
        <v>0</v>
      </c>
      <c r="O45" s="374"/>
      <c r="P45" s="374"/>
      <c r="Q45" s="374"/>
      <c r="R45" s="374"/>
      <c r="S45" s="131">
        <v>13</v>
      </c>
      <c r="T45" s="106" t="str">
        <f>IF($P41=0," ",$P41)</f>
        <v xml:space="preserve"> </v>
      </c>
      <c r="U45" s="106" t="str">
        <f>IF($P47=0," ",$P47)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1"/>
      <c r="B46" s="158" t="s">
        <v>227</v>
      </c>
      <c r="C46" s="156">
        <v>4</v>
      </c>
      <c r="D46" s="373">
        <v>0</v>
      </c>
      <c r="E46" s="849">
        <v>2</v>
      </c>
      <c r="F46" s="373"/>
      <c r="G46" s="374"/>
      <c r="H46" s="374"/>
      <c r="I46" s="374"/>
      <c r="J46" s="371"/>
      <c r="K46" s="374"/>
      <c r="L46" s="374"/>
      <c r="M46" s="374">
        <v>0</v>
      </c>
      <c r="N46" s="374">
        <v>0</v>
      </c>
      <c r="O46" s="374"/>
      <c r="P46" s="374"/>
      <c r="Q46" s="374"/>
      <c r="R46" s="374"/>
      <c r="S46" s="131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.75" x14ac:dyDescent="0.2">
      <c r="A47" s="51"/>
      <c r="B47" s="91" t="s">
        <v>38</v>
      </c>
      <c r="C47" s="92">
        <f>SUM(C43:C46)</f>
        <v>20</v>
      </c>
      <c r="D47" s="92">
        <f>SUM(D43:D46)</f>
        <v>15</v>
      </c>
      <c r="E47" s="92">
        <f t="shared" ref="E47:R47" si="19">SUM(E43:E46)</f>
        <v>18</v>
      </c>
      <c r="F47" s="92">
        <f t="shared" si="19"/>
        <v>10</v>
      </c>
      <c r="G47" s="92">
        <f t="shared" si="19"/>
        <v>10</v>
      </c>
      <c r="H47" s="92">
        <f t="shared" si="19"/>
        <v>10</v>
      </c>
      <c r="I47" s="92">
        <f t="shared" si="19"/>
        <v>8.5</v>
      </c>
      <c r="J47" s="92">
        <f t="shared" si="19"/>
        <v>9</v>
      </c>
      <c r="K47" s="92">
        <f t="shared" si="19"/>
        <v>8.5</v>
      </c>
      <c r="L47" s="92">
        <f t="shared" si="19"/>
        <v>11</v>
      </c>
      <c r="M47" s="92">
        <f t="shared" si="19"/>
        <v>7</v>
      </c>
      <c r="N47" s="92">
        <f t="shared" si="19"/>
        <v>10</v>
      </c>
      <c r="O47" s="92">
        <f t="shared" si="19"/>
        <v>0</v>
      </c>
      <c r="P47" s="92">
        <f t="shared" si="19"/>
        <v>0</v>
      </c>
      <c r="Q47" s="92">
        <f t="shared" si="19"/>
        <v>0</v>
      </c>
      <c r="R47" s="92">
        <f t="shared" si="19"/>
        <v>0</v>
      </c>
      <c r="S47" s="131">
        <v>15</v>
      </c>
      <c r="T47" s="106" t="str">
        <f>IF($R41=0," ",$R41)</f>
        <v xml:space="preserve"> </v>
      </c>
      <c r="U47" s="106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32"/>
      <c r="T48" s="20">
        <f>COUNTIF(T33:T47,"&gt;0")</f>
        <v>11</v>
      </c>
      <c r="U48" s="20">
        <f>COUNTIF(U33:U47,"&gt;0")</f>
        <v>11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5"/>
      <c r="C50" s="56"/>
      <c r="D50" s="56"/>
      <c r="E50" s="56"/>
      <c r="F50" s="5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  <row r="145" spans="1:2" x14ac:dyDescent="0.2">
      <c r="A145" s="51"/>
      <c r="B145" s="53"/>
    </row>
  </sheetData>
  <customSheetViews>
    <customSheetView guid="{C5D960BD-C1A6-4228-A267-A87ADCF0AB55}" scale="70" showPageBreaks="1" showGridLines="0" fitToPage="1" printArea="1">
      <pane xSplit="6" ySplit="6" topLeftCell="AF7" activePane="bottomRight" state="frozen"/>
      <selection pane="bottomRight" activeCell="C3" sqref="C3:C7"/>
      <pageMargins left="0.56000000000000005" right="0.25" top="0.64" bottom="0.65" header="0.5" footer="0.5"/>
      <pageSetup scale="37" fitToWidth="2" orientation="portrait" r:id="rId1"/>
      <headerFooter alignWithMargins="0">
        <oddHeader>&amp;C</oddHeader>
      </headerFooter>
    </customSheetView>
    <customSheetView guid="{6C8D603E-9A1B-49F4-AEFE-06707C7BCD53}" scale="90" showPageBreaks="1" showGridLines="0" fitToPage="1" printArea="1">
      <pane xSplit="6" ySplit="6" topLeftCell="V7" activePane="bottomRight" state="frozen"/>
      <selection pane="bottomRight" activeCell="Y8" sqref="Y8"/>
      <pageMargins left="0.56000000000000005" right="0.25" top="0.64" bottom="0.65" header="0.5" footer="0.5"/>
      <pageSetup scale="37" fitToWidth="2" orientation="portrait" r:id="rId2"/>
      <headerFooter alignWithMargins="0">
        <oddHeader>&amp;C</oddHeader>
      </headerFooter>
    </customSheetView>
    <customSheetView guid="{1C44C54F-C0A4-451D-B8A0-B8C17D7E284D}" scale="70" showGridLines="0" fitToPage="1">
      <pane xSplit="6" ySplit="6" topLeftCell="AF7" activePane="bottomRight" state="frozen"/>
      <selection pane="bottomRight" activeCell="C3" sqref="C3:C7"/>
      <pageMargins left="0.56000000000000005" right="0.25" top="0.64" bottom="0.65" header="0.5" footer="0.5"/>
      <pageSetup scale="41" fitToWidth="2" orientation="portrait" r:id="rId3"/>
      <headerFooter alignWithMargins="0">
        <oddHeader>&amp;C</oddHeader>
      </headerFooter>
    </customSheetView>
    <customSheetView guid="{4BCF288A-A595-4C42-82E7-535EDC2AC415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4"/>
      <headerFooter alignWithMargins="0">
        <oddHeader>&amp;C</oddHeader>
      </headerFooter>
    </customSheetView>
    <customSheetView guid="{C2F30B35-D639-4BB4-A50F-41AB6A913442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5"/>
      <headerFooter alignWithMargins="0">
        <oddHeader>&amp;C</oddHeader>
      </headerFooter>
    </customSheetView>
    <customSheetView guid="{17400EAF-4B0B-49FE-8262-4A59DA70D10F}" scale="70" showPageBreaks="1" showGridLines="0" fitToPage="1" printArea="1">
      <pane xSplit="6" ySplit="6" topLeftCell="AF7" activePane="bottomRight" state="frozen"/>
      <selection pane="bottomRight" activeCell="C3" sqref="C3:C7"/>
      <pageMargins left="0.56000000000000005" right="0.25" top="0.64" bottom="0.65" header="0.5" footer="0.5"/>
      <pageSetup scale="37" fitToWidth="2" orientation="portrait" r:id="rId6"/>
      <headerFooter alignWithMargins="0">
        <oddHeader>&amp;C</oddHeader>
      </headerFooter>
    </customSheetView>
  </customSheetViews>
  <mergeCells count="53">
    <mergeCell ref="AB7:AC7"/>
    <mergeCell ref="AF7:AG7"/>
    <mergeCell ref="AI7:AK7"/>
    <mergeCell ref="J7:L7"/>
    <mergeCell ref="M7:N7"/>
    <mergeCell ref="O7:Q7"/>
    <mergeCell ref="R7:T7"/>
    <mergeCell ref="U7:V7"/>
    <mergeCell ref="W7:Y7"/>
    <mergeCell ref="AM5:AM6"/>
    <mergeCell ref="W5:W6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  <mergeCell ref="AL5:AL6"/>
    <mergeCell ref="AF3:AH3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M3:N3"/>
    <mergeCell ref="O3:Q3"/>
    <mergeCell ref="U3:V3"/>
    <mergeCell ref="Z3:AA3"/>
    <mergeCell ref="AB3:AC3"/>
    <mergeCell ref="O5:O6"/>
    <mergeCell ref="AD3:AE3"/>
    <mergeCell ref="S2:T2"/>
    <mergeCell ref="V2:W2"/>
    <mergeCell ref="A3:A7"/>
    <mergeCell ref="B3:B7"/>
    <mergeCell ref="C3:C7"/>
    <mergeCell ref="D3:D7"/>
    <mergeCell ref="E3:E7"/>
    <mergeCell ref="F3:G3"/>
    <mergeCell ref="H3:I3"/>
    <mergeCell ref="V5:V6"/>
    <mergeCell ref="P5:P6"/>
    <mergeCell ref="R5:R6"/>
    <mergeCell ref="S5:S6"/>
    <mergeCell ref="U5:U6"/>
    <mergeCell ref="Z7:AA7"/>
  </mergeCells>
  <conditionalFormatting sqref="M29 F22:F24">
    <cfRule type="cellIs" dxfId="3" priority="2" stopIfTrue="1" operator="greaterThan">
      <formula>21</formula>
    </cfRule>
  </conditionalFormatting>
  <conditionalFormatting sqref="E8:E21">
    <cfRule type="cellIs" dxfId="2" priority="1" stopIfTrue="1" operator="greaterThan">
      <formula>21</formula>
    </cfRule>
  </conditionalFormatting>
  <pageMargins left="0.56000000000000005" right="0.25" top="0.64" bottom="0.65" header="0.5" footer="0.5"/>
  <pageSetup scale="37" fitToWidth="2" orientation="portrait" r:id="rId7"/>
  <headerFooter alignWithMargins="0">
    <oddHeader>&amp;C</oddHeader>
  </headerFooter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144"/>
  <sheetViews>
    <sheetView showGridLines="0" tabSelected="1" zoomScale="60" zoomScaleNormal="93" workbookViewId="0">
      <pane xSplit="6" ySplit="6" topLeftCell="H7" activePane="bottomRight" state="frozen"/>
      <selection pane="topRight" activeCell="G1" sqref="G1"/>
      <selection pane="bottomLeft" activeCell="A7" sqref="A7"/>
      <selection pane="bottomRight" activeCell="L27" sqref="L27"/>
    </sheetView>
  </sheetViews>
  <sheetFormatPr defaultColWidth="9.28515625" defaultRowHeight="12.75" x14ac:dyDescent="0.2"/>
  <cols>
    <col min="1" max="1" width="4.28515625" style="1" customWidth="1"/>
    <col min="2" max="2" width="49.570312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3.85546875" style="30" customWidth="1"/>
    <col min="7" max="7" width="11.28515625" style="1" customWidth="1"/>
    <col min="8" max="8" width="13.42578125" style="1" customWidth="1"/>
    <col min="9" max="9" width="12.28515625" style="1" customWidth="1"/>
    <col min="10" max="10" width="13.7109375" style="1" customWidth="1"/>
    <col min="11" max="11" width="11.28515625" style="1" customWidth="1"/>
    <col min="12" max="12" width="10.42578125" style="1" customWidth="1"/>
    <col min="13" max="13" width="15.85546875" style="1" customWidth="1"/>
    <col min="14" max="14" width="15.7109375" style="1" customWidth="1"/>
    <col min="15" max="15" width="16.140625" style="1" customWidth="1"/>
    <col min="16" max="16" width="9.7109375" style="1" customWidth="1"/>
    <col min="17" max="17" width="13.28515625" style="1" customWidth="1"/>
    <col min="18" max="18" width="14.5703125" style="1" customWidth="1"/>
    <col min="19" max="19" width="11.28515625" style="1" customWidth="1"/>
    <col min="20" max="20" width="12" style="1" customWidth="1"/>
    <col min="21" max="21" width="13" style="1" customWidth="1"/>
    <col min="22" max="22" width="10.5703125" style="1" customWidth="1"/>
    <col min="23" max="23" width="12.7109375" style="1" customWidth="1"/>
    <col min="24" max="24" width="13.28515625" style="1" customWidth="1"/>
    <col min="25" max="25" width="9.28515625" style="1" customWidth="1"/>
    <col min="26" max="26" width="12.85546875" style="1" customWidth="1"/>
    <col min="27" max="27" width="9.7109375" style="1" customWidth="1"/>
    <col min="28" max="28" width="10.7109375" style="1" customWidth="1"/>
    <col min="29" max="29" width="10.28515625" style="1" customWidth="1"/>
    <col min="30" max="30" width="12.4257812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0.7109375" style="1" customWidth="1"/>
    <col min="36" max="37" width="11" style="1" customWidth="1"/>
    <col min="38" max="38" width="10.7109375" style="1" customWidth="1"/>
    <col min="39" max="39" width="9.85546875" style="1" customWidth="1"/>
    <col min="40" max="40" width="10.7109375" style="1" customWidth="1"/>
    <col min="41" max="41" width="10" style="1" customWidth="1"/>
    <col min="42" max="42" width="10.28515625" style="1" customWidth="1"/>
    <col min="43" max="43" width="11.28515625" style="1" customWidth="1"/>
    <col min="44" max="44" width="8" style="1" customWidth="1"/>
    <col min="45" max="45" width="10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285156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X1" s="1" t="s">
        <v>266</v>
      </c>
    </row>
    <row r="2" spans="1:44" ht="26.25" customHeight="1" thickBot="1" x14ac:dyDescent="0.25">
      <c r="A2" s="21"/>
      <c r="B2" s="239" t="s">
        <v>297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 t="s">
        <v>207</v>
      </c>
      <c r="Z2" s="575" t="s">
        <v>176</v>
      </c>
      <c r="AA2" s="575"/>
      <c r="AB2" s="575" t="s">
        <v>176</v>
      </c>
      <c r="AC2" s="575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">
      <c r="A3" s="240"/>
      <c r="B3" s="954" t="s">
        <v>309</v>
      </c>
      <c r="C3" s="942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148" t="s">
        <v>134</v>
      </c>
      <c r="K3" s="149"/>
      <c r="L3" s="150"/>
      <c r="M3" s="888" t="s">
        <v>135</v>
      </c>
      <c r="N3" s="890"/>
      <c r="O3" s="888" t="s">
        <v>136</v>
      </c>
      <c r="P3" s="898"/>
      <c r="Q3" s="890"/>
      <c r="R3" s="138" t="s">
        <v>137</v>
      </c>
      <c r="S3" s="152"/>
      <c r="T3" s="152"/>
      <c r="U3" s="888" t="s">
        <v>138</v>
      </c>
      <c r="V3" s="890"/>
      <c r="W3" s="148" t="s">
        <v>139</v>
      </c>
      <c r="X3" s="149"/>
      <c r="Y3" s="150"/>
      <c r="Z3" s="902" t="s">
        <v>140</v>
      </c>
      <c r="AA3" s="903"/>
      <c r="AB3" s="888" t="s">
        <v>141</v>
      </c>
      <c r="AC3" s="904"/>
      <c r="AD3" s="879" t="s">
        <v>142</v>
      </c>
      <c r="AE3" s="880"/>
      <c r="AF3" s="888" t="s">
        <v>143</v>
      </c>
      <c r="AG3" s="889"/>
      <c r="AH3" s="890"/>
      <c r="AI3" s="888" t="s">
        <v>144</v>
      </c>
      <c r="AJ3" s="889"/>
      <c r="AK3" s="890"/>
      <c r="AL3" s="957" t="s">
        <v>246</v>
      </c>
      <c r="AM3" s="958"/>
    </row>
    <row r="4" spans="1:44" ht="22.5" customHeight="1" x14ac:dyDescent="0.25">
      <c r="A4" s="241"/>
      <c r="B4" s="955"/>
      <c r="C4" s="943"/>
      <c r="D4" s="916"/>
      <c r="E4" s="914"/>
      <c r="F4" s="355" t="s">
        <v>145</v>
      </c>
      <c r="G4" s="34"/>
      <c r="H4" s="355" t="s">
        <v>146</v>
      </c>
      <c r="I4" s="151"/>
      <c r="J4" s="426" t="s">
        <v>147</v>
      </c>
      <c r="K4" s="39"/>
      <c r="L4" s="46"/>
      <c r="M4" s="355" t="s">
        <v>148</v>
      </c>
      <c r="N4" s="34"/>
      <c r="O4" s="353" t="s">
        <v>149</v>
      </c>
      <c r="P4" s="354"/>
      <c r="Q4" s="23"/>
      <c r="R4" s="35"/>
      <c r="S4" s="353" t="s">
        <v>150</v>
      </c>
      <c r="T4" s="22"/>
      <c r="U4" s="353" t="s">
        <v>258</v>
      </c>
      <c r="V4" s="23"/>
      <c r="W4" s="574" t="s">
        <v>258</v>
      </c>
      <c r="X4" s="75" t="s">
        <v>237</v>
      </c>
      <c r="Y4" s="76"/>
      <c r="Z4" s="574" t="s">
        <v>258</v>
      </c>
      <c r="AA4" s="38"/>
      <c r="AB4" s="574" t="s">
        <v>258</v>
      </c>
      <c r="AC4" s="22"/>
      <c r="AD4" s="37" t="s">
        <v>151</v>
      </c>
      <c r="AE4" s="428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797" t="s">
        <v>311</v>
      </c>
      <c r="AM4" s="798"/>
    </row>
    <row r="5" spans="1:44" ht="37.35" customHeight="1" x14ac:dyDescent="0.2">
      <c r="A5" s="241"/>
      <c r="B5" s="956"/>
      <c r="C5" s="943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881" t="s">
        <v>172</v>
      </c>
      <c r="K5" s="887" t="s">
        <v>221</v>
      </c>
      <c r="L5" s="47" t="s">
        <v>152</v>
      </c>
      <c r="M5" s="881" t="s">
        <v>172</v>
      </c>
      <c r="N5" s="576" t="s">
        <v>166</v>
      </c>
      <c r="O5" s="881" t="s">
        <v>172</v>
      </c>
      <c r="P5" s="887" t="s">
        <v>220</v>
      </c>
      <c r="Q5" s="47" t="s">
        <v>152</v>
      </c>
      <c r="R5" s="894" t="s">
        <v>172</v>
      </c>
      <c r="S5" s="887" t="s">
        <v>257</v>
      </c>
      <c r="T5" s="183" t="s">
        <v>152</v>
      </c>
      <c r="U5" s="881" t="s">
        <v>172</v>
      </c>
      <c r="V5" s="883" t="s">
        <v>166</v>
      </c>
      <c r="W5" s="881" t="s">
        <v>172</v>
      </c>
      <c r="X5" s="887" t="s">
        <v>173</v>
      </c>
      <c r="Y5" s="47" t="s">
        <v>152</v>
      </c>
      <c r="Z5" s="894" t="s">
        <v>172</v>
      </c>
      <c r="AA5" s="576" t="s">
        <v>166</v>
      </c>
      <c r="AB5" s="881" t="s">
        <v>172</v>
      </c>
      <c r="AC5" s="576" t="s">
        <v>166</v>
      </c>
      <c r="AD5" s="881" t="s">
        <v>172</v>
      </c>
      <c r="AE5" s="883" t="s">
        <v>166</v>
      </c>
      <c r="AF5" s="881" t="s">
        <v>172</v>
      </c>
      <c r="AG5" s="885" t="s">
        <v>305</v>
      </c>
      <c r="AH5" s="47" t="s">
        <v>152</v>
      </c>
      <c r="AI5" s="881" t="s">
        <v>172</v>
      </c>
      <c r="AJ5" s="885" t="s">
        <v>306</v>
      </c>
      <c r="AK5" s="47" t="s">
        <v>152</v>
      </c>
      <c r="AL5" s="961" t="s">
        <v>172</v>
      </c>
      <c r="AM5" s="959" t="s">
        <v>166</v>
      </c>
    </row>
    <row r="6" spans="1:44" ht="28.9" customHeight="1" thickBot="1" x14ac:dyDescent="0.25">
      <c r="A6" s="241"/>
      <c r="B6" s="956"/>
      <c r="C6" s="943"/>
      <c r="D6" s="916"/>
      <c r="E6" s="914"/>
      <c r="F6" s="882"/>
      <c r="G6" s="884"/>
      <c r="H6" s="882"/>
      <c r="I6" s="907"/>
      <c r="J6" s="882"/>
      <c r="K6" s="886"/>
      <c r="L6" s="89">
        <v>6</v>
      </c>
      <c r="M6" s="882"/>
      <c r="N6" s="577"/>
      <c r="O6" s="882"/>
      <c r="P6" s="886"/>
      <c r="Q6" s="89">
        <v>16</v>
      </c>
      <c r="R6" s="895"/>
      <c r="S6" s="905"/>
      <c r="T6" s="184">
        <v>6</v>
      </c>
      <c r="U6" s="882"/>
      <c r="V6" s="884"/>
      <c r="W6" s="882"/>
      <c r="X6" s="886"/>
      <c r="Y6" s="89">
        <v>20</v>
      </c>
      <c r="Z6" s="895"/>
      <c r="AA6" s="577"/>
      <c r="AB6" s="882"/>
      <c r="AC6" s="577"/>
      <c r="AD6" s="882"/>
      <c r="AE6" s="884"/>
      <c r="AF6" s="882"/>
      <c r="AG6" s="886"/>
      <c r="AH6" s="89" t="s">
        <v>346</v>
      </c>
      <c r="AI6" s="882"/>
      <c r="AJ6" s="886"/>
      <c r="AK6" s="89" t="s">
        <v>347</v>
      </c>
      <c r="AL6" s="962"/>
      <c r="AM6" s="960"/>
    </row>
    <row r="7" spans="1:44" ht="22.5" customHeight="1" thickBot="1" x14ac:dyDescent="0.3">
      <c r="A7" s="241"/>
      <c r="B7" s="956"/>
      <c r="C7" s="912"/>
      <c r="D7" s="916"/>
      <c r="E7" s="914"/>
      <c r="F7" s="87">
        <v>42383</v>
      </c>
      <c r="G7" s="88"/>
      <c r="H7" s="87">
        <f>F7+7</f>
        <v>42390</v>
      </c>
      <c r="I7" s="490"/>
      <c r="J7" s="205">
        <f>H7+7</f>
        <v>42397</v>
      </c>
      <c r="K7" s="206"/>
      <c r="L7" s="207"/>
      <c r="M7" s="139">
        <f>J7+7</f>
        <v>42404</v>
      </c>
      <c r="N7" s="140"/>
      <c r="O7" s="205">
        <f>M7+7</f>
        <v>42411</v>
      </c>
      <c r="P7" s="206"/>
      <c r="Q7" s="207"/>
      <c r="R7" s="205">
        <f>O7+7</f>
        <v>42418</v>
      </c>
      <c r="S7" s="206"/>
      <c r="T7" s="207"/>
      <c r="U7" s="205">
        <f>R7+7</f>
        <v>42425</v>
      </c>
      <c r="V7" s="207"/>
      <c r="W7" s="205">
        <f>U7+7</f>
        <v>42432</v>
      </c>
      <c r="X7" s="206"/>
      <c r="Y7" s="207"/>
      <c r="Z7" s="205">
        <f>W7+7</f>
        <v>42439</v>
      </c>
      <c r="AA7" s="207"/>
      <c r="AB7" s="205">
        <f>Z7+7</f>
        <v>42446</v>
      </c>
      <c r="AC7" s="207"/>
      <c r="AD7" s="205">
        <f>AB7+7</f>
        <v>42453</v>
      </c>
      <c r="AE7" s="207"/>
      <c r="AF7" s="891">
        <f>AD7+7</f>
        <v>42460</v>
      </c>
      <c r="AG7" s="892"/>
      <c r="AH7" s="893"/>
      <c r="AI7" s="891">
        <f>AF7+7</f>
        <v>42467</v>
      </c>
      <c r="AJ7" s="892"/>
      <c r="AK7" s="892"/>
      <c r="AL7" s="806">
        <f>AI7+7</f>
        <v>42474</v>
      </c>
      <c r="AM7" s="807"/>
    </row>
    <row r="8" spans="1:44" s="381" customFormat="1" ht="26.25" customHeight="1" thickBot="1" x14ac:dyDescent="0.3">
      <c r="A8" s="499">
        <v>1</v>
      </c>
      <c r="B8" s="710" t="s">
        <v>412</v>
      </c>
      <c r="C8" s="547">
        <v>15</v>
      </c>
      <c r="D8" s="378">
        <f t="shared" ref="D8:D21" si="0">SUM(L8,Q8,T8,Y8,AA8,AC8,AH8,AK8)</f>
        <v>49.5</v>
      </c>
      <c r="E8" s="521">
        <f t="shared" ref="E8:E21" si="1">SUM(D8:D8)</f>
        <v>49.5</v>
      </c>
      <c r="F8" s="405" t="s">
        <v>344</v>
      </c>
      <c r="G8" s="523"/>
      <c r="H8" s="405" t="s">
        <v>344</v>
      </c>
      <c r="I8" s="520"/>
      <c r="J8" s="715" t="s">
        <v>344</v>
      </c>
      <c r="K8" s="547">
        <f>C8</f>
        <v>15</v>
      </c>
      <c r="L8" s="592">
        <v>5</v>
      </c>
      <c r="M8" s="505" t="s">
        <v>345</v>
      </c>
      <c r="N8" s="408"/>
      <c r="O8" s="792" t="s">
        <v>344</v>
      </c>
      <c r="P8" s="427">
        <f>C8</f>
        <v>15</v>
      </c>
      <c r="Q8" s="476">
        <f t="shared" ref="Q8:Q20" si="2">IF(P8=0,"",VLOOKUP(P8,Підс3,2,FALSE))</f>
        <v>7.5</v>
      </c>
      <c r="R8" s="738" t="s">
        <v>344</v>
      </c>
      <c r="S8" s="547">
        <f>C8</f>
        <v>15</v>
      </c>
      <c r="T8" s="553">
        <v>6</v>
      </c>
      <c r="U8" s="740" t="s">
        <v>345</v>
      </c>
      <c r="V8" s="380"/>
      <c r="W8" s="789" t="s">
        <v>344</v>
      </c>
      <c r="X8" s="547">
        <f>C8</f>
        <v>15</v>
      </c>
      <c r="Y8" s="541">
        <f t="shared" ref="Y8:Y20" si="3">IF(X8=0,"",VLOOKUP(X8,Підс3,3,FALSE))</f>
        <v>14</v>
      </c>
      <c r="Z8" s="379" t="s">
        <v>344</v>
      </c>
      <c r="AA8" s="380"/>
      <c r="AB8" s="407"/>
      <c r="AC8" s="408"/>
      <c r="AD8" s="379"/>
      <c r="AE8" s="380"/>
      <c r="AF8" s="668"/>
      <c r="AG8" s="427">
        <f>C8</f>
        <v>15</v>
      </c>
      <c r="AH8" s="408">
        <f>3+5+3</f>
        <v>11</v>
      </c>
      <c r="AI8" s="375"/>
      <c r="AJ8" s="547">
        <f>C8</f>
        <v>15</v>
      </c>
      <c r="AK8" s="380">
        <f>3+3</f>
        <v>6</v>
      </c>
      <c r="AL8" s="808"/>
      <c r="AM8" s="801"/>
    </row>
    <row r="9" spans="1:44" s="415" customFormat="1" ht="18.75" x14ac:dyDescent="0.25">
      <c r="A9" s="481">
        <v>2</v>
      </c>
      <c r="B9" s="709" t="s">
        <v>413</v>
      </c>
      <c r="C9" s="330">
        <v>14</v>
      </c>
      <c r="D9" s="508">
        <f t="shared" si="0"/>
        <v>0</v>
      </c>
      <c r="E9" s="352">
        <f t="shared" si="1"/>
        <v>0</v>
      </c>
      <c r="F9" s="387" t="s">
        <v>344</v>
      </c>
      <c r="G9" s="526"/>
      <c r="H9" s="405" t="s">
        <v>345</v>
      </c>
      <c r="I9" s="538"/>
      <c r="J9" s="568" t="s">
        <v>345</v>
      </c>
      <c r="K9" s="330">
        <f>C9</f>
        <v>14</v>
      </c>
      <c r="L9" s="593"/>
      <c r="M9" s="388" t="s">
        <v>345</v>
      </c>
      <c r="N9" s="412"/>
      <c r="O9" s="793" t="s">
        <v>345</v>
      </c>
      <c r="P9" s="427">
        <f t="shared" ref="P9:P20" si="4">C9</f>
        <v>14</v>
      </c>
      <c r="Q9" s="476" t="str">
        <f t="shared" si="2"/>
        <v xml:space="preserve"> </v>
      </c>
      <c r="R9" s="573" t="s">
        <v>345</v>
      </c>
      <c r="S9" s="330">
        <f>C9</f>
        <v>14</v>
      </c>
      <c r="T9" s="420"/>
      <c r="U9" s="741" t="s">
        <v>345</v>
      </c>
      <c r="V9" s="517"/>
      <c r="W9" s="790" t="s">
        <v>345</v>
      </c>
      <c r="X9" s="330">
        <f>C9</f>
        <v>14</v>
      </c>
      <c r="Y9" s="542" t="str">
        <f t="shared" si="3"/>
        <v xml:space="preserve"> </v>
      </c>
      <c r="Z9" s="413" t="s">
        <v>345</v>
      </c>
      <c r="AA9" s="411"/>
      <c r="AB9" s="414"/>
      <c r="AC9" s="511"/>
      <c r="AD9" s="413"/>
      <c r="AE9" s="411"/>
      <c r="AF9" s="669"/>
      <c r="AG9" s="427">
        <f t="shared" ref="AG9:AG20" si="5">C9</f>
        <v>14</v>
      </c>
      <c r="AH9" s="512"/>
      <c r="AI9" s="410"/>
      <c r="AJ9" s="330">
        <f>C9</f>
        <v>14</v>
      </c>
      <c r="AK9" s="497"/>
      <c r="AL9" s="809"/>
      <c r="AM9" s="810"/>
    </row>
    <row r="10" spans="1:44" s="381" customFormat="1" ht="18.75" x14ac:dyDescent="0.25">
      <c r="A10" s="500">
        <v>3</v>
      </c>
      <c r="B10" s="502" t="s">
        <v>443</v>
      </c>
      <c r="C10" s="247">
        <v>11</v>
      </c>
      <c r="D10" s="508">
        <f t="shared" si="0"/>
        <v>0</v>
      </c>
      <c r="E10" s="352">
        <f t="shared" si="1"/>
        <v>0</v>
      </c>
      <c r="F10" s="387" t="s">
        <v>344</v>
      </c>
      <c r="G10" s="527"/>
      <c r="H10" s="387" t="s">
        <v>344</v>
      </c>
      <c r="I10" s="524"/>
      <c r="J10" s="716" t="s">
        <v>345</v>
      </c>
      <c r="K10" s="330">
        <f t="shared" ref="K10:K20" si="6">C10</f>
        <v>11</v>
      </c>
      <c r="L10" s="593"/>
      <c r="M10" s="388" t="s">
        <v>345</v>
      </c>
      <c r="N10" s="386"/>
      <c r="O10" s="794" t="s">
        <v>345</v>
      </c>
      <c r="P10" s="427">
        <f t="shared" si="4"/>
        <v>11</v>
      </c>
      <c r="Q10" s="476" t="str">
        <f t="shared" si="2"/>
        <v xml:space="preserve"> </v>
      </c>
      <c r="R10" s="636" t="s">
        <v>344</v>
      </c>
      <c r="S10" s="330">
        <f t="shared" ref="S10:S20" si="7">C10</f>
        <v>11</v>
      </c>
      <c r="T10" s="796"/>
      <c r="U10" s="742" t="s">
        <v>345</v>
      </c>
      <c r="V10" s="497"/>
      <c r="W10" s="791" t="s">
        <v>345</v>
      </c>
      <c r="X10" s="330">
        <f t="shared" ref="X10:X20" si="8">C10</f>
        <v>11</v>
      </c>
      <c r="Y10" s="542" t="str">
        <f t="shared" si="3"/>
        <v xml:space="preserve"> </v>
      </c>
      <c r="Z10" s="387" t="s">
        <v>345</v>
      </c>
      <c r="AA10" s="384"/>
      <c r="AB10" s="388"/>
      <c r="AC10" s="512"/>
      <c r="AD10" s="387"/>
      <c r="AE10" s="384"/>
      <c r="AF10" s="670"/>
      <c r="AG10" s="427">
        <f t="shared" si="5"/>
        <v>11</v>
      </c>
      <c r="AH10" s="512"/>
      <c r="AI10" s="391"/>
      <c r="AJ10" s="330">
        <f t="shared" ref="AJ10:AJ20" si="9">C10</f>
        <v>11</v>
      </c>
      <c r="AK10" s="497"/>
      <c r="AL10" s="811"/>
      <c r="AM10" s="803"/>
    </row>
    <row r="11" spans="1:44" s="381" customFormat="1" ht="18.75" x14ac:dyDescent="0.25">
      <c r="A11" s="481">
        <v>4</v>
      </c>
      <c r="B11" s="502" t="s">
        <v>415</v>
      </c>
      <c r="C11" s="330">
        <v>13</v>
      </c>
      <c r="D11" s="508">
        <f t="shared" si="0"/>
        <v>56</v>
      </c>
      <c r="E11" s="352">
        <f t="shared" si="1"/>
        <v>56</v>
      </c>
      <c r="F11" s="387" t="s">
        <v>344</v>
      </c>
      <c r="G11" s="527"/>
      <c r="H11" s="387" t="s">
        <v>344</v>
      </c>
      <c r="I11" s="524"/>
      <c r="J11" s="716" t="s">
        <v>344</v>
      </c>
      <c r="K11" s="330">
        <f t="shared" si="6"/>
        <v>13</v>
      </c>
      <c r="L11" s="593">
        <v>4</v>
      </c>
      <c r="M11" s="388" t="s">
        <v>344</v>
      </c>
      <c r="N11" s="386"/>
      <c r="O11" s="793" t="s">
        <v>344</v>
      </c>
      <c r="P11" s="427">
        <f t="shared" si="4"/>
        <v>13</v>
      </c>
      <c r="Q11" s="476">
        <f t="shared" si="2"/>
        <v>16</v>
      </c>
      <c r="R11" s="573" t="s">
        <v>344</v>
      </c>
      <c r="S11" s="330">
        <f t="shared" si="7"/>
        <v>13</v>
      </c>
      <c r="T11" s="420">
        <v>6</v>
      </c>
      <c r="U11" s="741" t="s">
        <v>344</v>
      </c>
      <c r="V11" s="497"/>
      <c r="W11" s="790" t="s">
        <v>344</v>
      </c>
      <c r="X11" s="330">
        <f t="shared" si="8"/>
        <v>13</v>
      </c>
      <c r="Y11" s="542">
        <f t="shared" si="3"/>
        <v>10</v>
      </c>
      <c r="Z11" s="387" t="s">
        <v>344</v>
      </c>
      <c r="AA11" s="384"/>
      <c r="AB11" s="388"/>
      <c r="AC11" s="386"/>
      <c r="AD11" s="387"/>
      <c r="AE11" s="384"/>
      <c r="AF11" s="671"/>
      <c r="AG11" s="427">
        <f t="shared" si="5"/>
        <v>13</v>
      </c>
      <c r="AH11" s="386">
        <f>3+3+3</f>
        <v>9</v>
      </c>
      <c r="AI11" s="382"/>
      <c r="AJ11" s="330">
        <f t="shared" si="9"/>
        <v>13</v>
      </c>
      <c r="AK11" s="384">
        <f>3+3+5</f>
        <v>11</v>
      </c>
      <c r="AL11" s="811"/>
      <c r="AM11" s="803"/>
    </row>
    <row r="12" spans="1:44" s="381" customFormat="1" ht="18.75" x14ac:dyDescent="0.25">
      <c r="A12" s="500">
        <v>5</v>
      </c>
      <c r="B12" s="502" t="s">
        <v>416</v>
      </c>
      <c r="C12" s="247">
        <v>12</v>
      </c>
      <c r="D12" s="508">
        <f t="shared" ref="D12" si="10">SUM(L12,Q12,T12,Y12,AA12,AC12,AH12,AK12)</f>
        <v>39</v>
      </c>
      <c r="E12" s="352">
        <f t="shared" ref="E12" si="11">SUM(D12:D12)</f>
        <v>39</v>
      </c>
      <c r="F12" s="387" t="s">
        <v>344</v>
      </c>
      <c r="G12" s="527"/>
      <c r="H12" s="387" t="s">
        <v>344</v>
      </c>
      <c r="I12" s="524"/>
      <c r="J12" s="568" t="s">
        <v>344</v>
      </c>
      <c r="K12" s="330">
        <f t="shared" si="6"/>
        <v>12</v>
      </c>
      <c r="L12" s="593">
        <v>2</v>
      </c>
      <c r="M12" s="388" t="s">
        <v>344</v>
      </c>
      <c r="N12" s="386"/>
      <c r="O12" s="794" t="s">
        <v>344</v>
      </c>
      <c r="P12" s="427">
        <f t="shared" si="4"/>
        <v>12</v>
      </c>
      <c r="Q12" s="476">
        <f t="shared" si="2"/>
        <v>6</v>
      </c>
      <c r="R12" s="636" t="s">
        <v>344</v>
      </c>
      <c r="S12" s="330">
        <f t="shared" si="7"/>
        <v>12</v>
      </c>
      <c r="T12" s="420">
        <v>2</v>
      </c>
      <c r="U12" s="742" t="s">
        <v>344</v>
      </c>
      <c r="V12" s="384"/>
      <c r="W12" s="791" t="s">
        <v>345</v>
      </c>
      <c r="X12" s="330">
        <f t="shared" si="8"/>
        <v>12</v>
      </c>
      <c r="Y12" s="542">
        <f t="shared" si="3"/>
        <v>13</v>
      </c>
      <c r="Z12" s="387" t="s">
        <v>345</v>
      </c>
      <c r="AA12" s="384"/>
      <c r="AB12" s="388"/>
      <c r="AC12" s="386"/>
      <c r="AD12" s="387"/>
      <c r="AE12" s="384"/>
      <c r="AF12" s="670"/>
      <c r="AG12" s="427">
        <f t="shared" si="5"/>
        <v>12</v>
      </c>
      <c r="AH12" s="386">
        <f>3+0+3</f>
        <v>6</v>
      </c>
      <c r="AI12" s="391"/>
      <c r="AJ12" s="330">
        <f t="shared" si="9"/>
        <v>12</v>
      </c>
      <c r="AK12" s="384">
        <f>2.5+2.5+5</f>
        <v>10</v>
      </c>
      <c r="AL12" s="811"/>
      <c r="AM12" s="803"/>
    </row>
    <row r="13" spans="1:44" s="381" customFormat="1" ht="18.75" x14ac:dyDescent="0.25">
      <c r="A13" s="481">
        <v>6</v>
      </c>
      <c r="B13" s="502" t="s">
        <v>430</v>
      </c>
      <c r="C13" s="330">
        <v>10</v>
      </c>
      <c r="D13" s="508">
        <f>SUM(L12,Q13,T13,Y13,AA13,AC13,AH13,AK13)</f>
        <v>59.5</v>
      </c>
      <c r="E13" s="352">
        <f t="shared" si="1"/>
        <v>59.5</v>
      </c>
      <c r="F13" s="387" t="s">
        <v>344</v>
      </c>
      <c r="G13" s="527"/>
      <c r="H13" s="387" t="s">
        <v>344</v>
      </c>
      <c r="I13" s="524"/>
      <c r="J13" s="716" t="s">
        <v>344</v>
      </c>
      <c r="K13" s="330">
        <f t="shared" si="6"/>
        <v>10</v>
      </c>
      <c r="L13" s="593"/>
      <c r="M13" s="388" t="s">
        <v>345</v>
      </c>
      <c r="N13" s="386"/>
      <c r="O13" s="793" t="s">
        <v>344</v>
      </c>
      <c r="P13" s="427">
        <f t="shared" si="4"/>
        <v>10</v>
      </c>
      <c r="Q13" s="476">
        <f t="shared" si="2"/>
        <v>16</v>
      </c>
      <c r="R13" s="573" t="s">
        <v>344</v>
      </c>
      <c r="S13" s="330">
        <f t="shared" si="7"/>
        <v>10</v>
      </c>
      <c r="T13" s="420">
        <v>6</v>
      </c>
      <c r="U13" s="741" t="s">
        <v>344</v>
      </c>
      <c r="V13" s="384"/>
      <c r="W13" s="790" t="s">
        <v>344</v>
      </c>
      <c r="X13" s="330">
        <f t="shared" si="8"/>
        <v>10</v>
      </c>
      <c r="Y13" s="542">
        <f t="shared" si="3"/>
        <v>19</v>
      </c>
      <c r="Z13" s="387" t="s">
        <v>344</v>
      </c>
      <c r="AA13" s="384"/>
      <c r="AB13" s="388"/>
      <c r="AC13" s="386"/>
      <c r="AD13" s="387"/>
      <c r="AE13" s="384"/>
      <c r="AF13" s="671"/>
      <c r="AG13" s="427">
        <f t="shared" si="5"/>
        <v>10</v>
      </c>
      <c r="AH13" s="386">
        <f>11</f>
        <v>11</v>
      </c>
      <c r="AI13" s="382"/>
      <c r="AJ13" s="330">
        <f t="shared" si="9"/>
        <v>10</v>
      </c>
      <c r="AK13" s="384">
        <f>3+2.5</f>
        <v>5.5</v>
      </c>
      <c r="AL13" s="811"/>
      <c r="AM13" s="803"/>
    </row>
    <row r="14" spans="1:44" s="418" customFormat="1" ht="18.75" x14ac:dyDescent="0.25">
      <c r="A14" s="500">
        <v>7</v>
      </c>
      <c r="B14" s="502" t="s">
        <v>418</v>
      </c>
      <c r="C14" s="247">
        <v>9</v>
      </c>
      <c r="D14" s="508">
        <f t="shared" si="0"/>
        <v>0</v>
      </c>
      <c r="E14" s="352">
        <f t="shared" si="1"/>
        <v>0</v>
      </c>
      <c r="F14" s="387" t="s">
        <v>345</v>
      </c>
      <c r="G14" s="527"/>
      <c r="H14" s="387" t="s">
        <v>345</v>
      </c>
      <c r="I14" s="524"/>
      <c r="J14" s="716" t="s">
        <v>345</v>
      </c>
      <c r="K14" s="330">
        <f t="shared" si="6"/>
        <v>9</v>
      </c>
      <c r="L14" s="593"/>
      <c r="M14" s="388" t="s">
        <v>345</v>
      </c>
      <c r="N14" s="386"/>
      <c r="O14" s="794" t="s">
        <v>345</v>
      </c>
      <c r="P14" s="427">
        <f t="shared" si="4"/>
        <v>9</v>
      </c>
      <c r="Q14" s="476" t="str">
        <f t="shared" si="2"/>
        <v xml:space="preserve"> </v>
      </c>
      <c r="R14" s="636" t="s">
        <v>345</v>
      </c>
      <c r="S14" s="330">
        <f t="shared" si="7"/>
        <v>9</v>
      </c>
      <c r="T14" s="420"/>
      <c r="U14" s="742" t="s">
        <v>345</v>
      </c>
      <c r="V14" s="497"/>
      <c r="W14" s="791" t="s">
        <v>345</v>
      </c>
      <c r="X14" s="330">
        <f t="shared" si="8"/>
        <v>9</v>
      </c>
      <c r="Y14" s="542" t="str">
        <f t="shared" si="3"/>
        <v xml:space="preserve"> </v>
      </c>
      <c r="Z14" s="387" t="s">
        <v>345</v>
      </c>
      <c r="AA14" s="384"/>
      <c r="AB14" s="388"/>
      <c r="AC14" s="512"/>
      <c r="AD14" s="387"/>
      <c r="AE14" s="384"/>
      <c r="AF14" s="670"/>
      <c r="AG14" s="427">
        <f t="shared" si="5"/>
        <v>9</v>
      </c>
      <c r="AH14" s="386"/>
      <c r="AI14" s="391"/>
      <c r="AJ14" s="330">
        <f t="shared" si="9"/>
        <v>9</v>
      </c>
      <c r="AK14" s="497"/>
      <c r="AL14" s="811"/>
      <c r="AM14" s="812"/>
    </row>
    <row r="15" spans="1:44" s="415" customFormat="1" ht="18.75" x14ac:dyDescent="0.25">
      <c r="A15" s="481">
        <v>8</v>
      </c>
      <c r="B15" s="502" t="s">
        <v>434</v>
      </c>
      <c r="C15" s="330">
        <v>8</v>
      </c>
      <c r="D15" s="508">
        <f t="shared" si="0"/>
        <v>0</v>
      </c>
      <c r="E15" s="352">
        <f t="shared" si="1"/>
        <v>0</v>
      </c>
      <c r="F15" s="387" t="s">
        <v>345</v>
      </c>
      <c r="G15" s="526"/>
      <c r="H15" s="387" t="s">
        <v>345</v>
      </c>
      <c r="I15" s="538"/>
      <c r="J15" s="568" t="s">
        <v>345</v>
      </c>
      <c r="K15" s="330">
        <f t="shared" si="6"/>
        <v>8</v>
      </c>
      <c r="L15" s="593"/>
      <c r="M15" s="388" t="s">
        <v>345</v>
      </c>
      <c r="N15" s="412"/>
      <c r="O15" s="793" t="s">
        <v>345</v>
      </c>
      <c r="P15" s="427">
        <f t="shared" si="4"/>
        <v>8</v>
      </c>
      <c r="Q15" s="476" t="str">
        <f t="shared" si="2"/>
        <v xml:space="preserve"> </v>
      </c>
      <c r="R15" s="573" t="s">
        <v>345</v>
      </c>
      <c r="S15" s="330">
        <f t="shared" si="7"/>
        <v>8</v>
      </c>
      <c r="T15" s="420"/>
      <c r="U15" s="741" t="s">
        <v>345</v>
      </c>
      <c r="V15" s="517"/>
      <c r="W15" s="790" t="s">
        <v>345</v>
      </c>
      <c r="X15" s="330">
        <f t="shared" si="8"/>
        <v>8</v>
      </c>
      <c r="Y15" s="542" t="str">
        <f t="shared" si="3"/>
        <v xml:space="preserve"> </v>
      </c>
      <c r="Z15" s="413" t="s">
        <v>345</v>
      </c>
      <c r="AA15" s="411"/>
      <c r="AB15" s="414"/>
      <c r="AC15" s="511"/>
      <c r="AD15" s="413"/>
      <c r="AE15" s="411"/>
      <c r="AF15" s="669"/>
      <c r="AG15" s="427">
        <f t="shared" si="5"/>
        <v>8</v>
      </c>
      <c r="AH15" s="386"/>
      <c r="AI15" s="410"/>
      <c r="AJ15" s="330">
        <f t="shared" si="9"/>
        <v>8</v>
      </c>
      <c r="AK15" s="497"/>
      <c r="AL15" s="809"/>
      <c r="AM15" s="810"/>
    </row>
    <row r="16" spans="1:44" s="381" customFormat="1" ht="18.75" x14ac:dyDescent="0.25">
      <c r="A16" s="500">
        <v>9</v>
      </c>
      <c r="B16" s="502" t="s">
        <v>435</v>
      </c>
      <c r="C16" s="247">
        <v>7</v>
      </c>
      <c r="D16" s="508">
        <f t="shared" si="0"/>
        <v>0</v>
      </c>
      <c r="E16" s="352">
        <f t="shared" si="1"/>
        <v>0</v>
      </c>
      <c r="F16" s="387" t="s">
        <v>345</v>
      </c>
      <c r="G16" s="527"/>
      <c r="H16" s="387" t="s">
        <v>345</v>
      </c>
      <c r="I16" s="524"/>
      <c r="J16" s="716" t="s">
        <v>345</v>
      </c>
      <c r="K16" s="330">
        <f t="shared" si="6"/>
        <v>7</v>
      </c>
      <c r="L16" s="593"/>
      <c r="M16" s="388" t="s">
        <v>345</v>
      </c>
      <c r="N16" s="386"/>
      <c r="O16" s="794" t="s">
        <v>345</v>
      </c>
      <c r="P16" s="427">
        <f t="shared" si="4"/>
        <v>7</v>
      </c>
      <c r="Q16" s="476" t="str">
        <f t="shared" si="2"/>
        <v xml:space="preserve"> </v>
      </c>
      <c r="R16" s="636" t="s">
        <v>345</v>
      </c>
      <c r="S16" s="330">
        <f t="shared" si="7"/>
        <v>7</v>
      </c>
      <c r="T16" s="796"/>
      <c r="U16" s="742" t="s">
        <v>345</v>
      </c>
      <c r="V16" s="497"/>
      <c r="W16" s="791" t="s">
        <v>345</v>
      </c>
      <c r="X16" s="330">
        <f t="shared" si="8"/>
        <v>7</v>
      </c>
      <c r="Y16" s="542" t="str">
        <f t="shared" si="3"/>
        <v xml:space="preserve"> </v>
      </c>
      <c r="Z16" s="387" t="s">
        <v>345</v>
      </c>
      <c r="AA16" s="384"/>
      <c r="AB16" s="388"/>
      <c r="AC16" s="512"/>
      <c r="AD16" s="387"/>
      <c r="AE16" s="384"/>
      <c r="AF16" s="670"/>
      <c r="AG16" s="427">
        <f t="shared" si="5"/>
        <v>7</v>
      </c>
      <c r="AH16" s="386"/>
      <c r="AI16" s="391"/>
      <c r="AJ16" s="330">
        <f t="shared" si="9"/>
        <v>7</v>
      </c>
      <c r="AK16" s="497"/>
      <c r="AL16" s="811"/>
      <c r="AM16" s="803"/>
    </row>
    <row r="17" spans="1:54" s="381" customFormat="1" ht="18.75" x14ac:dyDescent="0.25">
      <c r="A17" s="481">
        <v>10</v>
      </c>
      <c r="B17" s="502" t="s">
        <v>421</v>
      </c>
      <c r="C17" s="330">
        <v>5</v>
      </c>
      <c r="D17" s="508">
        <f t="shared" si="0"/>
        <v>36</v>
      </c>
      <c r="E17" s="352">
        <f t="shared" si="1"/>
        <v>36</v>
      </c>
      <c r="F17" s="387" t="s">
        <v>345</v>
      </c>
      <c r="G17" s="527"/>
      <c r="H17" s="387" t="s">
        <v>344</v>
      </c>
      <c r="I17" s="524"/>
      <c r="J17" s="716" t="s">
        <v>344</v>
      </c>
      <c r="K17" s="330">
        <f t="shared" si="6"/>
        <v>5</v>
      </c>
      <c r="L17" s="593">
        <v>2</v>
      </c>
      <c r="M17" s="388" t="s">
        <v>344</v>
      </c>
      <c r="N17" s="386"/>
      <c r="O17" s="793" t="s">
        <v>345</v>
      </c>
      <c r="P17" s="427">
        <f t="shared" si="4"/>
        <v>5</v>
      </c>
      <c r="Q17" s="476">
        <f t="shared" si="2"/>
        <v>12</v>
      </c>
      <c r="R17" s="573" t="s">
        <v>344</v>
      </c>
      <c r="S17" s="330">
        <f t="shared" si="7"/>
        <v>5</v>
      </c>
      <c r="T17" s="420">
        <v>6</v>
      </c>
      <c r="U17" s="741" t="s">
        <v>344</v>
      </c>
      <c r="V17" s="497"/>
      <c r="W17" s="790" t="s">
        <v>344</v>
      </c>
      <c r="X17" s="330">
        <f t="shared" si="8"/>
        <v>5</v>
      </c>
      <c r="Y17" s="542">
        <f t="shared" si="3"/>
        <v>10</v>
      </c>
      <c r="Z17" s="387" t="s">
        <v>344</v>
      </c>
      <c r="AA17" s="384"/>
      <c r="AB17" s="388"/>
      <c r="AC17" s="512"/>
      <c r="AD17" s="387"/>
      <c r="AE17" s="384"/>
      <c r="AF17" s="671"/>
      <c r="AG17" s="427">
        <f t="shared" si="5"/>
        <v>5</v>
      </c>
      <c r="AH17" s="386"/>
      <c r="AI17" s="382"/>
      <c r="AJ17" s="330">
        <f t="shared" si="9"/>
        <v>5</v>
      </c>
      <c r="AK17" s="497">
        <f>3+3</f>
        <v>6</v>
      </c>
      <c r="AL17" s="811"/>
      <c r="AM17" s="803"/>
    </row>
    <row r="18" spans="1:54" s="381" customFormat="1" ht="18.75" x14ac:dyDescent="0.25">
      <c r="A18" s="500">
        <v>11</v>
      </c>
      <c r="B18" s="502" t="s">
        <v>422</v>
      </c>
      <c r="C18" s="247">
        <v>6</v>
      </c>
      <c r="D18" s="508">
        <f t="shared" si="0"/>
        <v>45</v>
      </c>
      <c r="E18" s="352">
        <f t="shared" si="1"/>
        <v>45</v>
      </c>
      <c r="F18" s="387" t="s">
        <v>344</v>
      </c>
      <c r="G18" s="524"/>
      <c r="H18" s="387" t="s">
        <v>349</v>
      </c>
      <c r="I18" s="524"/>
      <c r="J18" s="568" t="s">
        <v>344</v>
      </c>
      <c r="K18" s="330">
        <f t="shared" si="6"/>
        <v>6</v>
      </c>
      <c r="L18" s="593">
        <v>5</v>
      </c>
      <c r="M18" s="388" t="s">
        <v>344</v>
      </c>
      <c r="N18" s="386"/>
      <c r="O18" s="794" t="s">
        <v>344</v>
      </c>
      <c r="P18" s="427">
        <f t="shared" si="4"/>
        <v>6</v>
      </c>
      <c r="Q18" s="476">
        <f t="shared" si="2"/>
        <v>15</v>
      </c>
      <c r="R18" s="636" t="s">
        <v>344</v>
      </c>
      <c r="S18" s="330">
        <f t="shared" si="7"/>
        <v>6</v>
      </c>
      <c r="T18" s="420">
        <v>6</v>
      </c>
      <c r="U18" s="387" t="s">
        <v>344</v>
      </c>
      <c r="V18" s="384"/>
      <c r="W18" s="791" t="s">
        <v>344</v>
      </c>
      <c r="X18" s="330">
        <f t="shared" si="8"/>
        <v>6</v>
      </c>
      <c r="Y18" s="542">
        <f t="shared" si="3"/>
        <v>9.5</v>
      </c>
      <c r="Z18" s="387" t="s">
        <v>344</v>
      </c>
      <c r="AA18" s="384"/>
      <c r="AB18" s="388"/>
      <c r="AC18" s="512"/>
      <c r="AD18" s="387"/>
      <c r="AE18" s="384"/>
      <c r="AF18" s="670"/>
      <c r="AG18" s="427">
        <f t="shared" si="5"/>
        <v>6</v>
      </c>
      <c r="AH18" s="386">
        <f>1.5+2+1.5</f>
        <v>5</v>
      </c>
      <c r="AI18" s="391"/>
      <c r="AJ18" s="330">
        <f t="shared" si="9"/>
        <v>6</v>
      </c>
      <c r="AK18" s="497">
        <f>3+1.5</f>
        <v>4.5</v>
      </c>
      <c r="AL18" s="811"/>
      <c r="AM18" s="803"/>
    </row>
    <row r="19" spans="1:54" s="381" customFormat="1" ht="18.75" x14ac:dyDescent="0.25">
      <c r="A19" s="481">
        <v>12</v>
      </c>
      <c r="B19" s="625" t="s">
        <v>423</v>
      </c>
      <c r="C19" s="330">
        <v>4</v>
      </c>
      <c r="D19" s="508">
        <f t="shared" si="0"/>
        <v>2</v>
      </c>
      <c r="E19" s="352">
        <f t="shared" si="1"/>
        <v>2</v>
      </c>
      <c r="F19" s="387" t="s">
        <v>344</v>
      </c>
      <c r="G19" s="524"/>
      <c r="H19" s="387" t="s">
        <v>344</v>
      </c>
      <c r="I19" s="524"/>
      <c r="J19" s="716" t="s">
        <v>344</v>
      </c>
      <c r="K19" s="330">
        <f t="shared" si="6"/>
        <v>4</v>
      </c>
      <c r="L19" s="593">
        <v>2</v>
      </c>
      <c r="M19" s="388" t="s">
        <v>344</v>
      </c>
      <c r="N19" s="386"/>
      <c r="O19" s="794" t="s">
        <v>344</v>
      </c>
      <c r="P19" s="427">
        <f t="shared" si="4"/>
        <v>4</v>
      </c>
      <c r="Q19" s="476" t="str">
        <f t="shared" si="2"/>
        <v xml:space="preserve"> </v>
      </c>
      <c r="R19" s="636" t="s">
        <v>344</v>
      </c>
      <c r="S19" s="330">
        <f t="shared" si="7"/>
        <v>4</v>
      </c>
      <c r="T19" s="420"/>
      <c r="U19" s="387" t="s">
        <v>344</v>
      </c>
      <c r="V19" s="384"/>
      <c r="W19" s="791" t="s">
        <v>344</v>
      </c>
      <c r="X19" s="330">
        <f t="shared" si="8"/>
        <v>4</v>
      </c>
      <c r="Y19" s="542" t="str">
        <f t="shared" si="3"/>
        <v xml:space="preserve"> </v>
      </c>
      <c r="Z19" s="387" t="s">
        <v>344</v>
      </c>
      <c r="AA19" s="384"/>
      <c r="AB19" s="388"/>
      <c r="AC19" s="512"/>
      <c r="AD19" s="387"/>
      <c r="AE19" s="384"/>
      <c r="AF19" s="670"/>
      <c r="AG19" s="427">
        <f t="shared" si="5"/>
        <v>4</v>
      </c>
      <c r="AH19" s="386"/>
      <c r="AI19" s="391"/>
      <c r="AJ19" s="330">
        <f t="shared" si="9"/>
        <v>4</v>
      </c>
      <c r="AK19" s="497"/>
      <c r="AL19" s="811"/>
      <c r="AM19" s="803"/>
    </row>
    <row r="20" spans="1:54" s="381" customFormat="1" ht="18.75" x14ac:dyDescent="0.25">
      <c r="A20" s="500">
        <v>13</v>
      </c>
      <c r="B20" s="845" t="s">
        <v>424</v>
      </c>
      <c r="C20" s="247">
        <v>3</v>
      </c>
      <c r="D20" s="508">
        <f t="shared" si="0"/>
        <v>37</v>
      </c>
      <c r="E20" s="352">
        <f t="shared" si="1"/>
        <v>37</v>
      </c>
      <c r="F20" s="387" t="s">
        <v>344</v>
      </c>
      <c r="G20" s="524"/>
      <c r="H20" s="387" t="s">
        <v>344</v>
      </c>
      <c r="I20" s="524"/>
      <c r="J20" s="568" t="s">
        <v>344</v>
      </c>
      <c r="K20" s="330">
        <f t="shared" si="6"/>
        <v>3</v>
      </c>
      <c r="L20" s="593">
        <v>3</v>
      </c>
      <c r="M20" s="388" t="s">
        <v>345</v>
      </c>
      <c r="N20" s="386"/>
      <c r="O20" s="794" t="s">
        <v>345</v>
      </c>
      <c r="P20" s="427">
        <f t="shared" si="4"/>
        <v>3</v>
      </c>
      <c r="Q20" s="836">
        <f t="shared" si="2"/>
        <v>7</v>
      </c>
      <c r="R20" s="736" t="s">
        <v>345</v>
      </c>
      <c r="S20" s="330">
        <f t="shared" si="7"/>
        <v>3</v>
      </c>
      <c r="T20" s="420">
        <v>6</v>
      </c>
      <c r="U20" s="387" t="s">
        <v>345</v>
      </c>
      <c r="V20" s="562"/>
      <c r="W20" s="791" t="s">
        <v>345</v>
      </c>
      <c r="X20" s="330">
        <f t="shared" si="8"/>
        <v>3</v>
      </c>
      <c r="Y20" s="542">
        <f t="shared" si="3"/>
        <v>7</v>
      </c>
      <c r="Z20" s="387" t="s">
        <v>345</v>
      </c>
      <c r="AA20" s="384"/>
      <c r="AB20" s="388"/>
      <c r="AC20" s="386"/>
      <c r="AD20" s="387"/>
      <c r="AE20" s="384"/>
      <c r="AF20" s="672"/>
      <c r="AG20" s="427">
        <f t="shared" si="5"/>
        <v>3</v>
      </c>
      <c r="AH20" s="386">
        <f>3+5</f>
        <v>8</v>
      </c>
      <c r="AI20" s="518"/>
      <c r="AJ20" s="330">
        <f t="shared" si="9"/>
        <v>3</v>
      </c>
      <c r="AK20" s="384">
        <f>0+3+3</f>
        <v>6</v>
      </c>
      <c r="AL20" s="811"/>
      <c r="AM20" s="803"/>
    </row>
    <row r="21" spans="1:54" s="381" customFormat="1" ht="19.5" thickBot="1" x14ac:dyDescent="0.3">
      <c r="A21" s="501">
        <v>14</v>
      </c>
      <c r="B21" s="503"/>
      <c r="C21" s="330">
        <v>2</v>
      </c>
      <c r="D21" s="509">
        <f t="shared" si="0"/>
        <v>0</v>
      </c>
      <c r="E21" s="522">
        <f t="shared" si="1"/>
        <v>0</v>
      </c>
      <c r="F21" s="400"/>
      <c r="G21" s="525"/>
      <c r="H21" s="400"/>
      <c r="I21" s="525"/>
      <c r="J21" s="717"/>
      <c r="K21" s="595"/>
      <c r="L21" s="594"/>
      <c r="M21" s="401"/>
      <c r="N21" s="399"/>
      <c r="O21" s="795"/>
      <c r="P21" s="427">
        <f t="shared" ref="P21" si="12">C21</f>
        <v>2</v>
      </c>
      <c r="Q21" s="246"/>
      <c r="R21" s="739"/>
      <c r="S21" s="330">
        <f t="shared" ref="S21" si="13">C21</f>
        <v>2</v>
      </c>
      <c r="T21" s="429"/>
      <c r="U21" s="400"/>
      <c r="V21" s="563"/>
      <c r="W21" s="561"/>
      <c r="X21" s="330">
        <f t="shared" ref="X21" si="14">C21</f>
        <v>2</v>
      </c>
      <c r="Y21" s="542" t="str">
        <f t="shared" ref="Y21" si="15">IF(X21=0,"",VLOOKUP(X21,Підс3,3,FALSE))</f>
        <v xml:space="preserve"> </v>
      </c>
      <c r="Z21" s="400"/>
      <c r="AA21" s="397"/>
      <c r="AB21" s="401"/>
      <c r="AC21" s="399"/>
      <c r="AD21" s="400"/>
      <c r="AE21" s="397"/>
      <c r="AF21" s="673"/>
      <c r="AG21" s="427">
        <f t="shared" ref="AG21" si="16">C21</f>
        <v>2</v>
      </c>
      <c r="AH21" s="399"/>
      <c r="AI21" s="519"/>
      <c r="AJ21" s="330"/>
      <c r="AK21" s="397"/>
      <c r="AL21" s="813"/>
      <c r="AM21" s="805"/>
    </row>
    <row r="22" spans="1:54" ht="18" x14ac:dyDescent="0.25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7</v>
      </c>
      <c r="M22" s="20"/>
      <c r="N22" s="79"/>
      <c r="O22" s="104" t="s">
        <v>436</v>
      </c>
      <c r="P22" s="79"/>
      <c r="Q22" s="104">
        <f>COUNT(Q8:Q21)</f>
        <v>7</v>
      </c>
      <c r="R22" s="79" t="s">
        <v>437</v>
      </c>
      <c r="S22" s="79"/>
      <c r="T22" s="104">
        <f>COUNT(T8:T21)</f>
        <v>7</v>
      </c>
      <c r="U22" s="79" t="s">
        <v>442</v>
      </c>
      <c r="V22" s="104">
        <f>COUNT(P8:P21)</f>
        <v>14</v>
      </c>
      <c r="W22" s="94"/>
      <c r="X22" s="79"/>
      <c r="Y22" s="104">
        <f>COUNT(Y8:Y21)</f>
        <v>7</v>
      </c>
      <c r="Z22" s="79"/>
      <c r="AA22" s="94"/>
      <c r="AB22" s="79"/>
      <c r="AC22" s="79"/>
      <c r="AD22" s="79"/>
      <c r="AE22" s="79"/>
      <c r="AF22" s="104"/>
      <c r="AG22" s="79"/>
      <c r="AH22" s="104">
        <f>COUNT(AH8:AH21)</f>
        <v>6</v>
      </c>
      <c r="AI22" s="79"/>
      <c r="AJ22" s="79"/>
      <c r="AK22" s="104">
        <f>COUNT(AK8:AK21)</f>
        <v>7</v>
      </c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13</v>
      </c>
      <c r="AZ22" s="29"/>
      <c r="BA22" s="29"/>
      <c r="BB22" s="29"/>
    </row>
    <row r="23" spans="1:54" ht="18" x14ac:dyDescent="0.25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 x14ac:dyDescent="0.2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.75" x14ac:dyDescent="0.2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.75" x14ac:dyDescent="0.2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75" x14ac:dyDescent="0.25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75" x14ac:dyDescent="0.2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731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75" x14ac:dyDescent="0.25">
      <c r="A29" s="52"/>
      <c r="B29" s="49"/>
      <c r="C29" s="26"/>
      <c r="D29" s="26"/>
      <c r="E29" s="26"/>
      <c r="F29" s="26"/>
      <c r="G29" s="20"/>
      <c r="H29" s="20" t="s">
        <v>348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68.25" customHeight="1" x14ac:dyDescent="0.2">
      <c r="A30" s="52"/>
      <c r="B30" s="49"/>
      <c r="C30" s="26"/>
      <c r="E30" s="26"/>
      <c r="F30" s="730" t="s">
        <v>424</v>
      </c>
      <c r="G30" s="731" t="s">
        <v>423</v>
      </c>
      <c r="H30" s="731" t="s">
        <v>421</v>
      </c>
      <c r="I30" s="731" t="s">
        <v>422</v>
      </c>
      <c r="J30" s="731" t="s">
        <v>420</v>
      </c>
      <c r="K30" s="731" t="s">
        <v>419</v>
      </c>
      <c r="L30" s="731" t="s">
        <v>418</v>
      </c>
      <c r="M30" s="731" t="s">
        <v>417</v>
      </c>
      <c r="N30" s="731" t="s">
        <v>429</v>
      </c>
      <c r="O30" s="731" t="s">
        <v>416</v>
      </c>
      <c r="P30" s="731" t="s">
        <v>415</v>
      </c>
      <c r="Q30" s="731" t="s">
        <v>413</v>
      </c>
      <c r="R30" s="731" t="s">
        <v>412</v>
      </c>
      <c r="S30" s="20"/>
      <c r="T30" s="20"/>
      <c r="U30" s="20"/>
      <c r="V30" s="20"/>
      <c r="W30" s="20"/>
      <c r="X30" s="20"/>
      <c r="Y30" s="20"/>
      <c r="Z30" s="20"/>
    </row>
    <row r="31" spans="1:54" ht="26.25" customHeight="1" x14ac:dyDescent="0.2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6" t="s">
        <v>236</v>
      </c>
      <c r="T31" s="116" t="s">
        <v>170</v>
      </c>
      <c r="U31" s="116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 x14ac:dyDescent="0.2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06" t="str">
        <f>IF($D40=0," ",$D40)</f>
        <v xml:space="preserve"> </v>
      </c>
      <c r="U32" s="106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 x14ac:dyDescent="0.2">
      <c r="A33" s="51"/>
      <c r="B33" s="95" t="s">
        <v>1</v>
      </c>
      <c r="C33" s="156">
        <v>2</v>
      </c>
      <c r="D33" s="358"/>
      <c r="E33" s="359"/>
      <c r="F33" s="358">
        <v>1</v>
      </c>
      <c r="G33" s="358"/>
      <c r="H33" s="360">
        <v>2</v>
      </c>
      <c r="I33" s="360">
        <v>2</v>
      </c>
      <c r="J33" s="360"/>
      <c r="K33" s="360"/>
      <c r="L33" s="361"/>
      <c r="M33" s="360">
        <v>2</v>
      </c>
      <c r="N33" s="360"/>
      <c r="O33" s="360">
        <v>2</v>
      </c>
      <c r="P33" s="358">
        <v>2</v>
      </c>
      <c r="Q33" s="360"/>
      <c r="R33" s="358">
        <v>2</v>
      </c>
      <c r="S33" s="131">
        <v>2</v>
      </c>
      <c r="T33" s="106" t="str">
        <f>IF($E40=0," ",$E40)</f>
        <v xml:space="preserve"> </v>
      </c>
      <c r="U33" s="106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 x14ac:dyDescent="0.2">
      <c r="A34" s="51"/>
      <c r="B34" s="95" t="s">
        <v>3</v>
      </c>
      <c r="C34" s="156">
        <v>2</v>
      </c>
      <c r="D34" s="358"/>
      <c r="E34" s="359"/>
      <c r="F34" s="362">
        <v>1</v>
      </c>
      <c r="G34" s="358"/>
      <c r="H34" s="360">
        <v>2</v>
      </c>
      <c r="I34" s="360">
        <v>2</v>
      </c>
      <c r="J34" s="360"/>
      <c r="K34" s="360"/>
      <c r="L34" s="361"/>
      <c r="M34" s="360">
        <v>2</v>
      </c>
      <c r="N34" s="360"/>
      <c r="O34" s="360">
        <v>0</v>
      </c>
      <c r="P34" s="362">
        <v>2</v>
      </c>
      <c r="Q34" s="360"/>
      <c r="R34" s="362">
        <v>2</v>
      </c>
      <c r="S34" s="131">
        <v>3</v>
      </c>
      <c r="T34" s="106">
        <f>IF($F40=0," ",$F40)</f>
        <v>7</v>
      </c>
      <c r="U34" s="106">
        <f>IF($F46=0," ",$F46)</f>
        <v>7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5</v>
      </c>
      <c r="C35" s="156">
        <v>2</v>
      </c>
      <c r="D35" s="358"/>
      <c r="E35" s="359"/>
      <c r="F35" s="362">
        <v>1</v>
      </c>
      <c r="G35" s="358"/>
      <c r="H35" s="360">
        <v>2</v>
      </c>
      <c r="I35" s="360">
        <v>2</v>
      </c>
      <c r="J35" s="360"/>
      <c r="K35" s="360"/>
      <c r="L35" s="361"/>
      <c r="M35" s="360">
        <v>2</v>
      </c>
      <c r="N35" s="360"/>
      <c r="O35" s="360">
        <v>0</v>
      </c>
      <c r="P35" s="362">
        <v>2</v>
      </c>
      <c r="Q35" s="360"/>
      <c r="R35" s="362">
        <v>2</v>
      </c>
      <c r="S35" s="131">
        <v>4</v>
      </c>
      <c r="T35" s="106" t="str">
        <f>IF($G40=0," ",$G40)</f>
        <v xml:space="preserve"> </v>
      </c>
      <c r="U35" s="106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 x14ac:dyDescent="0.2">
      <c r="A36" s="51"/>
      <c r="B36" s="95" t="s">
        <v>6</v>
      </c>
      <c r="C36" s="156">
        <v>2</v>
      </c>
      <c r="D36" s="358"/>
      <c r="E36" s="359"/>
      <c r="F36" s="362"/>
      <c r="G36" s="358"/>
      <c r="H36" s="360">
        <v>2</v>
      </c>
      <c r="I36" s="743">
        <v>1</v>
      </c>
      <c r="J36" s="360"/>
      <c r="K36" s="360"/>
      <c r="L36" s="361"/>
      <c r="M36" s="360">
        <v>2</v>
      </c>
      <c r="N36" s="360"/>
      <c r="O36" s="360">
        <v>0</v>
      </c>
      <c r="P36" s="362">
        <v>2</v>
      </c>
      <c r="Q36" s="360"/>
      <c r="R36" s="362">
        <v>1.5</v>
      </c>
      <c r="S36" s="131">
        <v>5</v>
      </c>
      <c r="T36" s="106">
        <f>IF($H40=0," ",$H40)</f>
        <v>12</v>
      </c>
      <c r="U36" s="106">
        <f>IF($H46=0," ",$H46)</f>
        <v>10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 x14ac:dyDescent="0.2">
      <c r="A37" s="51"/>
      <c r="B37" s="95" t="s">
        <v>7</v>
      </c>
      <c r="C37" s="156">
        <v>4</v>
      </c>
      <c r="D37" s="358"/>
      <c r="E37" s="359"/>
      <c r="F37" s="362">
        <v>3</v>
      </c>
      <c r="G37" s="358"/>
      <c r="H37" s="743">
        <v>2</v>
      </c>
      <c r="I37" s="360">
        <v>4</v>
      </c>
      <c r="J37" s="360"/>
      <c r="K37" s="360"/>
      <c r="L37" s="361"/>
      <c r="M37" s="360">
        <v>4</v>
      </c>
      <c r="N37" s="360"/>
      <c r="O37" s="360">
        <v>4</v>
      </c>
      <c r="P37" s="362">
        <v>4</v>
      </c>
      <c r="Q37" s="360"/>
      <c r="R37" s="360">
        <v>0</v>
      </c>
      <c r="S37" s="131">
        <v>6</v>
      </c>
      <c r="T37" s="106">
        <f>IF($I40=0," ",$I40)</f>
        <v>15</v>
      </c>
      <c r="U37" s="106">
        <f>IF($I46=0," ",$I46)</f>
        <v>9.5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8</v>
      </c>
      <c r="C38" s="156">
        <v>2</v>
      </c>
      <c r="D38" s="358"/>
      <c r="E38" s="359"/>
      <c r="F38" s="362">
        <v>0</v>
      </c>
      <c r="G38" s="358"/>
      <c r="H38" s="360">
        <v>2</v>
      </c>
      <c r="I38" s="360">
        <v>2</v>
      </c>
      <c r="J38" s="360"/>
      <c r="K38" s="360"/>
      <c r="L38" s="361"/>
      <c r="M38" s="360">
        <v>2</v>
      </c>
      <c r="N38" s="360"/>
      <c r="O38" s="360">
        <v>0</v>
      </c>
      <c r="P38" s="362">
        <v>2</v>
      </c>
      <c r="Q38" s="360"/>
      <c r="R38" s="360"/>
      <c r="S38" s="131">
        <v>7</v>
      </c>
      <c r="T38" s="106" t="str">
        <f>IF($J40=0," ",$J40)</f>
        <v xml:space="preserve"> </v>
      </c>
      <c r="U38" s="106" t="str">
        <f>IF($J46=0," ",$J46)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160</v>
      </c>
      <c r="C39" s="156">
        <v>2</v>
      </c>
      <c r="D39" s="358"/>
      <c r="E39" s="359"/>
      <c r="F39" s="362">
        <v>1</v>
      </c>
      <c r="G39" s="358"/>
      <c r="H39" s="360">
        <v>0</v>
      </c>
      <c r="I39" s="360">
        <v>2</v>
      </c>
      <c r="J39" s="360"/>
      <c r="K39" s="360"/>
      <c r="L39" s="361"/>
      <c r="M39" s="360">
        <v>2</v>
      </c>
      <c r="N39" s="360"/>
      <c r="O39" s="360">
        <v>0</v>
      </c>
      <c r="P39" s="362">
        <v>2</v>
      </c>
      <c r="Q39" s="360"/>
      <c r="R39" s="360">
        <v>0</v>
      </c>
      <c r="S39" s="131">
        <v>8</v>
      </c>
      <c r="T39" s="106" t="str">
        <f>IF($K40=0," ",$K40)</f>
        <v xml:space="preserve"> </v>
      </c>
      <c r="U39" s="106" t="str">
        <f>IF($K46=0," ",$K46)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1" t="s">
        <v>38</v>
      </c>
      <c r="C40" s="156">
        <f>SUM(C33:C39)</f>
        <v>16</v>
      </c>
      <c r="D40" s="423">
        <f>SUM(D33:D39)</f>
        <v>0</v>
      </c>
      <c r="E40" s="423">
        <f t="shared" ref="E40:R40" si="17">SUM(E33:E39)</f>
        <v>0</v>
      </c>
      <c r="F40" s="423">
        <f t="shared" si="17"/>
        <v>7</v>
      </c>
      <c r="G40" s="423">
        <f t="shared" si="17"/>
        <v>0</v>
      </c>
      <c r="H40" s="423">
        <f t="shared" si="17"/>
        <v>12</v>
      </c>
      <c r="I40" s="423">
        <f t="shared" si="17"/>
        <v>15</v>
      </c>
      <c r="J40" s="423">
        <f t="shared" si="17"/>
        <v>0</v>
      </c>
      <c r="K40" s="423">
        <f t="shared" si="17"/>
        <v>0</v>
      </c>
      <c r="L40" s="423">
        <f t="shared" si="17"/>
        <v>0</v>
      </c>
      <c r="M40" s="423">
        <f t="shared" si="17"/>
        <v>16</v>
      </c>
      <c r="N40" s="423">
        <f t="shared" si="17"/>
        <v>0</v>
      </c>
      <c r="O40" s="423">
        <f t="shared" si="17"/>
        <v>6</v>
      </c>
      <c r="P40" s="423">
        <f t="shared" si="17"/>
        <v>16</v>
      </c>
      <c r="Q40" s="423">
        <f t="shared" si="17"/>
        <v>0</v>
      </c>
      <c r="R40" s="423">
        <f t="shared" si="17"/>
        <v>7.5</v>
      </c>
      <c r="S40" s="131">
        <v>9</v>
      </c>
      <c r="T40" s="106" t="str">
        <f>IF($L40=0," ",$L40)</f>
        <v xml:space="preserve"> </v>
      </c>
      <c r="U40" s="106" t="str">
        <f>IF($L46=0," ",$L46)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22"/>
      <c r="Q41" s="86"/>
      <c r="R41" s="81"/>
      <c r="S41" s="131">
        <v>10</v>
      </c>
      <c r="T41" s="106">
        <f>IF($M40=0," ",$M40)</f>
        <v>16</v>
      </c>
      <c r="U41" s="106">
        <f>IF($M46=0," ",$M46)</f>
        <v>19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 x14ac:dyDescent="0.2">
      <c r="A42" s="51"/>
      <c r="B42" s="97" t="s">
        <v>13</v>
      </c>
      <c r="C42" s="156">
        <v>10</v>
      </c>
      <c r="D42" s="371"/>
      <c r="E42" s="371"/>
      <c r="F42" s="371">
        <v>7</v>
      </c>
      <c r="G42" s="372"/>
      <c r="H42" s="372">
        <v>10</v>
      </c>
      <c r="I42" s="372">
        <v>9.5</v>
      </c>
      <c r="J42" s="372"/>
      <c r="K42" s="372"/>
      <c r="L42" s="372"/>
      <c r="M42" s="372">
        <v>10</v>
      </c>
      <c r="N42" s="372"/>
      <c r="O42" s="372">
        <v>9</v>
      </c>
      <c r="P42" s="372">
        <v>10</v>
      </c>
      <c r="Q42" s="372"/>
      <c r="R42" s="372">
        <v>9</v>
      </c>
      <c r="S42" s="131">
        <v>11</v>
      </c>
      <c r="T42" s="106" t="str">
        <f>IF($N40=0," ",$N40)</f>
        <v xml:space="preserve"> </v>
      </c>
      <c r="U42" s="106" t="str">
        <f>IF($N46=0," ",$N46)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">
      <c r="A43" s="51"/>
      <c r="B43" s="97" t="s">
        <v>161</v>
      </c>
      <c r="C43" s="156">
        <v>2</v>
      </c>
      <c r="D43" s="371"/>
      <c r="E43" s="371"/>
      <c r="F43" s="371"/>
      <c r="G43" s="372"/>
      <c r="H43" s="372"/>
      <c r="I43" s="372"/>
      <c r="J43" s="372"/>
      <c r="K43" s="372"/>
      <c r="L43" s="372"/>
      <c r="M43" s="372">
        <v>1</v>
      </c>
      <c r="N43" s="372"/>
      <c r="O43" s="372">
        <v>2</v>
      </c>
      <c r="P43" s="372"/>
      <c r="Q43" s="372"/>
      <c r="R43" s="372">
        <v>1</v>
      </c>
      <c r="S43" s="131">
        <v>12</v>
      </c>
      <c r="T43" s="106">
        <f>IF($O40=0," ",$O40)</f>
        <v>6</v>
      </c>
      <c r="U43" s="106">
        <f>IF($O46=0," ",$O46)</f>
        <v>13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15</v>
      </c>
      <c r="C44" s="156">
        <v>4</v>
      </c>
      <c r="D44" s="373"/>
      <c r="E44" s="373"/>
      <c r="F44" s="373"/>
      <c r="G44" s="374"/>
      <c r="H44" s="374"/>
      <c r="I44" s="374"/>
      <c r="J44" s="374"/>
      <c r="K44" s="374"/>
      <c r="L44" s="374"/>
      <c r="M44" s="374">
        <v>4</v>
      </c>
      <c r="N44" s="374"/>
      <c r="O44" s="374">
        <v>2</v>
      </c>
      <c r="P44" s="374"/>
      <c r="Q44" s="374"/>
      <c r="R44" s="374">
        <v>4</v>
      </c>
      <c r="S44" s="131">
        <v>13</v>
      </c>
      <c r="T44" s="106">
        <f>IF($P40=0," ",$P40)</f>
        <v>16</v>
      </c>
      <c r="U44" s="106">
        <f>IF($P46=0," ",$P46)</f>
        <v>10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 x14ac:dyDescent="0.2">
      <c r="A45" s="51"/>
      <c r="B45" s="158" t="s">
        <v>227</v>
      </c>
      <c r="C45" s="156">
        <v>4</v>
      </c>
      <c r="D45" s="373"/>
      <c r="E45" s="373"/>
      <c r="F45" s="373"/>
      <c r="G45" s="374"/>
      <c r="H45" s="374"/>
      <c r="I45" s="374"/>
      <c r="J45" s="374"/>
      <c r="K45" s="374"/>
      <c r="L45" s="374"/>
      <c r="M45" s="374">
        <v>4</v>
      </c>
      <c r="N45" s="374"/>
      <c r="O45" s="374">
        <v>0</v>
      </c>
      <c r="P45" s="374"/>
      <c r="Q45" s="374"/>
      <c r="R45" s="374">
        <v>0</v>
      </c>
      <c r="S45" s="131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1"/>
      <c r="B46" s="91" t="s">
        <v>38</v>
      </c>
      <c r="C46" s="156">
        <f>SUM(C42:C45)</f>
        <v>20</v>
      </c>
      <c r="D46" s="92">
        <f>SUM(D42:D45)</f>
        <v>0</v>
      </c>
      <c r="E46" s="92">
        <f t="shared" ref="E46:R46" si="18">SUM(E42:E45)</f>
        <v>0</v>
      </c>
      <c r="F46" s="92">
        <f t="shared" si="18"/>
        <v>7</v>
      </c>
      <c r="G46" s="92">
        <f t="shared" si="18"/>
        <v>0</v>
      </c>
      <c r="H46" s="92">
        <f t="shared" si="18"/>
        <v>10</v>
      </c>
      <c r="I46" s="92">
        <f t="shared" si="18"/>
        <v>9.5</v>
      </c>
      <c r="J46" s="92">
        <f t="shared" si="18"/>
        <v>0</v>
      </c>
      <c r="K46" s="92">
        <f t="shared" si="18"/>
        <v>0</v>
      </c>
      <c r="L46" s="92">
        <f t="shared" si="18"/>
        <v>0</v>
      </c>
      <c r="M46" s="92">
        <f t="shared" si="18"/>
        <v>19</v>
      </c>
      <c r="N46" s="92">
        <f t="shared" si="18"/>
        <v>0</v>
      </c>
      <c r="O46" s="92">
        <f t="shared" si="18"/>
        <v>13</v>
      </c>
      <c r="P46" s="92">
        <f t="shared" si="18"/>
        <v>10</v>
      </c>
      <c r="Q46" s="92">
        <f t="shared" si="18"/>
        <v>0</v>
      </c>
      <c r="R46" s="92">
        <f t="shared" si="18"/>
        <v>14</v>
      </c>
      <c r="S46" s="131">
        <v>15</v>
      </c>
      <c r="T46" s="106">
        <f>IF($R40=0," ",$R40)</f>
        <v>7.5</v>
      </c>
      <c r="U46" s="106">
        <f>IF($R46=0," ",$R46)</f>
        <v>14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 x14ac:dyDescent="0.2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1"/>
      <c r="T47" s="20">
        <f>COUNTIF(T32:T46,"&gt;0")</f>
        <v>7</v>
      </c>
      <c r="U47" s="20">
        <f>COUNTIF(U32:U46,"&gt;0")</f>
        <v>7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3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</sheetData>
  <customSheetViews>
    <customSheetView guid="{C5D960BD-C1A6-4228-A267-A87ADCF0AB55}" scale="60" showPageBreaks="1" showGridLines="0" fitToPage="1" printArea="1">
      <pane xSplit="6" ySplit="6" topLeftCell="H7" activePane="bottomRight" state="frozen"/>
      <selection pane="bottomRight" activeCell="L27" sqref="L27"/>
      <pageMargins left="0.56000000000000005" right="0.57999999999999996" top="0.64" bottom="0.65" header="0.5" footer="0.5"/>
      <pageSetup scale="32" fitToWidth="2" orientation="portrait" r:id="rId1"/>
      <headerFooter alignWithMargins="0">
        <oddHeader>&amp;C2006/2007 уч.рік 5 трим</oddHeader>
      </headerFooter>
    </customSheetView>
    <customSheetView guid="{6C8D603E-9A1B-49F4-AEFE-06707C7BCD53}" scale="85" showPageBreaks="1" showGridLines="0" fitToPage="1" printArea="1">
      <pane xSplit="6" ySplit="6" topLeftCell="AB7" activePane="bottomRight" state="frozen"/>
      <selection pane="bottomRight" activeCell="AH9" sqref="AH9"/>
      <pageMargins left="0.56000000000000005" right="0.57999999999999996" top="0.64" bottom="0.65" header="0.5" footer="0.5"/>
      <pageSetup scale="32" fitToWidth="2" orientation="portrait" r:id="rId2"/>
      <headerFooter alignWithMargins="0">
        <oddHeader>&amp;C2006/2007 уч.рік 5 трим</oddHeader>
      </headerFooter>
    </customSheetView>
    <customSheetView guid="{1C44C54F-C0A4-451D-B8A0-B8C17D7E284D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3"/>
      <headerFooter alignWithMargins="0">
        <oddHeader>&amp;C2006/2007 уч.рік 5 трим</oddHeader>
      </headerFooter>
    </customSheetView>
    <customSheetView guid="{4BCF288A-A595-4C42-82E7-535EDC2AC415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4"/>
      <headerFooter alignWithMargins="0">
        <oddHeader>&amp;C2006/2007 уч.рік 5 трим</oddHeader>
      </headerFooter>
    </customSheetView>
    <customSheetView guid="{C2F30B35-D639-4BB4-A50F-41AB6A913442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5"/>
      <headerFooter alignWithMargins="0">
        <oddHeader>&amp;C2006/2007 уч.рік 5 трим</oddHeader>
      </headerFooter>
    </customSheetView>
    <customSheetView guid="{17400EAF-4B0B-49FE-8262-4A59DA70D10F}" scale="60" showPageBreaks="1" showGridLines="0" fitToPage="1" printArea="1">
      <pane xSplit="6" ySplit="6" topLeftCell="G7" activePane="bottomRight" state="frozen"/>
      <selection pane="bottomRight" activeCell="AH17" sqref="AH17"/>
      <pageMargins left="0.56000000000000005" right="0.57999999999999996" top="0.64" bottom="0.65" header="0.5" footer="0.5"/>
      <pageSetup scale="32" fitToWidth="2" orientation="portrait" r:id="rId6"/>
      <headerFooter alignWithMargins="0">
        <oddHeader>&amp;C2006/2007 уч.рік 5 трим</oddHeader>
      </headerFooter>
    </customSheetView>
  </customSheetViews>
  <mergeCells count="44">
    <mergeCell ref="AL5:AL6"/>
    <mergeCell ref="AM5:AM6"/>
    <mergeCell ref="AI7:AK7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O5:O6"/>
    <mergeCell ref="O3:Q3"/>
    <mergeCell ref="U3:V3"/>
    <mergeCell ref="Z3:AA3"/>
    <mergeCell ref="AB3:AC3"/>
    <mergeCell ref="AD3:AE3"/>
    <mergeCell ref="P5:P6"/>
    <mergeCell ref="AF3:AH3"/>
    <mergeCell ref="S2:T2"/>
    <mergeCell ref="V2:W2"/>
    <mergeCell ref="B3:B7"/>
    <mergeCell ref="C3:C7"/>
    <mergeCell ref="D3:D7"/>
    <mergeCell ref="E3:E7"/>
    <mergeCell ref="F3:G3"/>
    <mergeCell ref="H3:I3"/>
    <mergeCell ref="M3:N3"/>
    <mergeCell ref="W5:W6"/>
    <mergeCell ref="R5:R6"/>
    <mergeCell ref="S5:S6"/>
    <mergeCell ref="U5:U6"/>
    <mergeCell ref="V5:V6"/>
    <mergeCell ref="AF7:AH7"/>
  </mergeCells>
  <conditionalFormatting sqref="M27:M28 F22:F23">
    <cfRule type="cellIs" dxfId="1" priority="2" stopIfTrue="1" operator="greaterThan">
      <formula>21</formula>
    </cfRule>
  </conditionalFormatting>
  <conditionalFormatting sqref="E8:E21">
    <cfRule type="cellIs" dxfId="0" priority="1" stopIfTrue="1" operator="greaterThan">
      <formula>21</formula>
    </cfRule>
  </conditionalFormatting>
  <pageMargins left="0.56000000000000005" right="0.57999999999999996" top="0.64" bottom="0.65" header="0.5" footer="0.5"/>
  <pageSetup scale="32" fitToWidth="2" orientation="portrait" r:id="rId7"/>
  <headerFooter alignWithMargins="0">
    <oddHeader>&amp;C2006/2007 уч.рік 5 трим</oddHeader>
  </headerFooter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workbookViewId="0">
      <selection activeCell="B28" sqref="B28:B40"/>
    </sheetView>
  </sheetViews>
  <sheetFormatPr defaultRowHeight="12.75" x14ac:dyDescent="0.2"/>
  <cols>
    <col min="2" max="2" width="37.85546875" customWidth="1"/>
    <col min="5" max="5" width="4.5703125" customWidth="1"/>
  </cols>
  <sheetData>
    <row r="1" spans="1:5" x14ac:dyDescent="0.2">
      <c r="A1">
        <v>1</v>
      </c>
      <c r="B1" t="s">
        <v>321</v>
      </c>
      <c r="C1" s="643">
        <v>0</v>
      </c>
      <c r="D1" s="643">
        <v>1</v>
      </c>
      <c r="E1" s="643">
        <v>1</v>
      </c>
    </row>
    <row r="2" spans="1:5" x14ac:dyDescent="0.2">
      <c r="A2">
        <v>1</v>
      </c>
      <c r="B2" t="s">
        <v>322</v>
      </c>
      <c r="C2" s="643">
        <v>67</v>
      </c>
      <c r="D2" s="643">
        <v>24.847826086956523</v>
      </c>
      <c r="E2" s="643">
        <v>91.84782608695653</v>
      </c>
    </row>
    <row r="3" spans="1:5" x14ac:dyDescent="0.2">
      <c r="A3">
        <v>1</v>
      </c>
      <c r="B3" t="s">
        <v>326</v>
      </c>
      <c r="C3" s="643">
        <v>50.5</v>
      </c>
      <c r="D3" s="643">
        <v>25.978260869565219</v>
      </c>
      <c r="E3" s="643">
        <v>76.478260869565219</v>
      </c>
    </row>
    <row r="4" spans="1:5" x14ac:dyDescent="0.2">
      <c r="A4">
        <v>1</v>
      </c>
      <c r="B4" t="s">
        <v>327</v>
      </c>
      <c r="C4" s="643">
        <v>56</v>
      </c>
      <c r="D4" s="643">
        <v>22.239130434782609</v>
      </c>
      <c r="E4" s="643">
        <v>78.239130434782609</v>
      </c>
    </row>
    <row r="5" spans="1:5" x14ac:dyDescent="0.2">
      <c r="A5">
        <v>1</v>
      </c>
      <c r="B5" t="s">
        <v>328</v>
      </c>
      <c r="C5" s="643">
        <v>0</v>
      </c>
      <c r="D5" s="643">
        <v>16.826086956521738</v>
      </c>
      <c r="E5" s="643">
        <v>16.826086956521738</v>
      </c>
    </row>
    <row r="6" spans="1:5" x14ac:dyDescent="0.2">
      <c r="A6">
        <v>1</v>
      </c>
      <c r="B6" t="s">
        <v>329</v>
      </c>
      <c r="C6" s="643">
        <v>48</v>
      </c>
      <c r="D6" s="643">
        <v>17.5</v>
      </c>
      <c r="E6" s="643">
        <v>65.5</v>
      </c>
    </row>
    <row r="7" spans="1:5" x14ac:dyDescent="0.2">
      <c r="A7">
        <v>1</v>
      </c>
      <c r="B7" t="s">
        <v>330</v>
      </c>
      <c r="C7" s="643">
        <v>67.5</v>
      </c>
      <c r="D7" s="643">
        <v>12.608695652173912</v>
      </c>
      <c r="E7" s="643">
        <v>80.108695652173907</v>
      </c>
    </row>
    <row r="8" spans="1:5" x14ac:dyDescent="0.2">
      <c r="A8">
        <v>1</v>
      </c>
      <c r="B8" t="s">
        <v>333</v>
      </c>
      <c r="C8" s="643">
        <v>70</v>
      </c>
      <c r="D8" s="643">
        <v>19.956521739130434</v>
      </c>
      <c r="E8" s="643">
        <v>89.956521739130437</v>
      </c>
    </row>
    <row r="9" spans="1:5" x14ac:dyDescent="0.2">
      <c r="A9">
        <v>1</v>
      </c>
      <c r="B9" t="s">
        <v>335</v>
      </c>
      <c r="C9" s="643">
        <v>38</v>
      </c>
      <c r="D9" s="643">
        <v>22.239130434782609</v>
      </c>
      <c r="E9" s="643">
        <v>60.239130434782609</v>
      </c>
    </row>
    <row r="10" spans="1:5" x14ac:dyDescent="0.2">
      <c r="A10">
        <v>1</v>
      </c>
      <c r="B10" t="s">
        <v>339</v>
      </c>
      <c r="C10" s="643">
        <v>0</v>
      </c>
      <c r="D10" s="643">
        <v>0</v>
      </c>
      <c r="E10" s="643">
        <v>0</v>
      </c>
    </row>
    <row r="11" spans="1:5" x14ac:dyDescent="0.2">
      <c r="A11">
        <v>1</v>
      </c>
      <c r="B11" t="s">
        <v>343</v>
      </c>
      <c r="C11" s="643">
        <v>70</v>
      </c>
      <c r="D11" s="643">
        <v>28.086956521739129</v>
      </c>
      <c r="E11" s="643">
        <v>98.086956521739125</v>
      </c>
    </row>
    <row r="12" spans="1:5" x14ac:dyDescent="0.2">
      <c r="A12">
        <v>2</v>
      </c>
      <c r="B12" t="s">
        <v>320</v>
      </c>
      <c r="C12" s="643">
        <v>33.5</v>
      </c>
      <c r="D12" s="643">
        <v>5.9130434782608692</v>
      </c>
      <c r="E12" s="643">
        <v>39.413043478260867</v>
      </c>
    </row>
    <row r="13" spans="1:5" x14ac:dyDescent="0.2">
      <c r="A13">
        <v>2</v>
      </c>
      <c r="B13" t="s">
        <v>307</v>
      </c>
      <c r="C13" s="643">
        <v>4</v>
      </c>
      <c r="D13" s="643">
        <v>6.5434782608695654</v>
      </c>
      <c r="E13" s="643">
        <v>10.543478260869566</v>
      </c>
    </row>
    <row r="14" spans="1:5" x14ac:dyDescent="0.2">
      <c r="A14">
        <v>2</v>
      </c>
      <c r="B14" t="s">
        <v>323</v>
      </c>
      <c r="C14" s="643">
        <v>0</v>
      </c>
      <c r="D14" s="643">
        <v>7.1956521739130439</v>
      </c>
      <c r="E14" s="643">
        <v>7.1956521739130439</v>
      </c>
    </row>
    <row r="15" spans="1:5" x14ac:dyDescent="0.2">
      <c r="A15">
        <v>2</v>
      </c>
      <c r="B15" t="s">
        <v>324</v>
      </c>
      <c r="C15" s="643">
        <v>68</v>
      </c>
      <c r="D15" s="643">
        <v>9.3260869565217384</v>
      </c>
      <c r="E15" s="643">
        <v>77.326086956521735</v>
      </c>
    </row>
    <row r="16" spans="1:5" x14ac:dyDescent="0.2">
      <c r="A16">
        <v>2</v>
      </c>
      <c r="B16" t="s">
        <v>325</v>
      </c>
      <c r="C16" s="643">
        <v>0</v>
      </c>
      <c r="D16" s="643">
        <v>14.043478260869565</v>
      </c>
      <c r="E16" s="643">
        <v>14.043478260869565</v>
      </c>
    </row>
    <row r="17" spans="1:5" x14ac:dyDescent="0.2">
      <c r="A17">
        <v>2</v>
      </c>
      <c r="B17" t="s">
        <v>331</v>
      </c>
      <c r="C17" s="643">
        <v>44</v>
      </c>
      <c r="D17" s="643">
        <v>16.195652173913043</v>
      </c>
      <c r="E17" s="643">
        <v>60.195652173913047</v>
      </c>
    </row>
    <row r="18" spans="1:5" x14ac:dyDescent="0.2">
      <c r="A18">
        <v>2</v>
      </c>
      <c r="B18" t="s">
        <v>332</v>
      </c>
      <c r="C18" s="643">
        <v>52</v>
      </c>
      <c r="D18" s="643">
        <v>8.0434782608695663</v>
      </c>
      <c r="E18" s="643">
        <v>60.043478260869563</v>
      </c>
    </row>
    <row r="19" spans="1:5" x14ac:dyDescent="0.2">
      <c r="A19">
        <v>2</v>
      </c>
      <c r="B19" t="s">
        <v>334</v>
      </c>
      <c r="C19" s="643">
        <v>14</v>
      </c>
      <c r="D19" s="643">
        <v>1.8043478260869565</v>
      </c>
      <c r="E19" s="643">
        <v>15.804347826086957</v>
      </c>
    </row>
    <row r="20" spans="1:5" x14ac:dyDescent="0.2">
      <c r="A20">
        <v>2</v>
      </c>
      <c r="B20" t="s">
        <v>336</v>
      </c>
      <c r="C20" s="643">
        <v>15</v>
      </c>
      <c r="D20" s="643">
        <v>7.1956521739130439</v>
      </c>
      <c r="E20" s="643">
        <v>22.195652173913043</v>
      </c>
    </row>
    <row r="21" spans="1:5" x14ac:dyDescent="0.2">
      <c r="A21">
        <v>2</v>
      </c>
      <c r="B21" t="s">
        <v>337</v>
      </c>
      <c r="C21" s="643">
        <v>48</v>
      </c>
      <c r="D21" s="643">
        <v>12.434782608695652</v>
      </c>
      <c r="E21" s="643">
        <v>60.434782608695656</v>
      </c>
    </row>
    <row r="22" spans="1:5" x14ac:dyDescent="0.2">
      <c r="A22">
        <v>2</v>
      </c>
      <c r="B22" t="s">
        <v>338</v>
      </c>
      <c r="C22" s="643">
        <v>48</v>
      </c>
      <c r="D22" s="643">
        <v>1.8043478260869565</v>
      </c>
      <c r="E22" s="643">
        <v>49.804347826086953</v>
      </c>
    </row>
    <row r="23" spans="1:5" x14ac:dyDescent="0.2">
      <c r="A23">
        <v>2</v>
      </c>
      <c r="B23" t="s">
        <v>340</v>
      </c>
      <c r="C23" s="643">
        <v>0</v>
      </c>
      <c r="D23" s="643">
        <v>0</v>
      </c>
      <c r="E23" s="643">
        <v>0</v>
      </c>
    </row>
    <row r="24" spans="1:5" x14ac:dyDescent="0.2">
      <c r="A24">
        <v>2</v>
      </c>
      <c r="B24" t="s">
        <v>341</v>
      </c>
      <c r="C24" s="643">
        <v>62</v>
      </c>
      <c r="D24" s="643">
        <v>14.891304347826088</v>
      </c>
      <c r="E24" s="643">
        <v>76.891304347826093</v>
      </c>
    </row>
    <row r="25" spans="1:5" x14ac:dyDescent="0.2">
      <c r="A25">
        <v>2</v>
      </c>
      <c r="B25" t="s">
        <v>342</v>
      </c>
      <c r="C25" s="643">
        <v>14</v>
      </c>
      <c r="D25" s="643">
        <v>13.086956521739131</v>
      </c>
      <c r="E25" s="643">
        <v>27.086956521739133</v>
      </c>
    </row>
    <row r="27" spans="1:5" ht="13.5" thickBot="1" x14ac:dyDescent="0.25"/>
    <row r="28" spans="1:5" ht="18.75" x14ac:dyDescent="0.2">
      <c r="B28" s="710" t="s">
        <v>412</v>
      </c>
    </row>
    <row r="29" spans="1:5" ht="18.75" x14ac:dyDescent="0.2">
      <c r="B29" s="502" t="s">
        <v>413</v>
      </c>
    </row>
    <row r="30" spans="1:5" ht="18.75" x14ac:dyDescent="0.2">
      <c r="B30" s="502" t="s">
        <v>414</v>
      </c>
    </row>
    <row r="31" spans="1:5" ht="18.75" x14ac:dyDescent="0.2">
      <c r="B31" s="502" t="s">
        <v>415</v>
      </c>
    </row>
    <row r="32" spans="1:5" ht="18.75" x14ac:dyDescent="0.2">
      <c r="B32" s="502" t="s">
        <v>416</v>
      </c>
    </row>
    <row r="33" spans="2:2" ht="18.75" x14ac:dyDescent="0.2">
      <c r="B33" s="502" t="s">
        <v>417</v>
      </c>
    </row>
    <row r="34" spans="2:2" ht="18.75" x14ac:dyDescent="0.2">
      <c r="B34" s="502" t="s">
        <v>418</v>
      </c>
    </row>
    <row r="35" spans="2:2" ht="18.75" x14ac:dyDescent="0.2">
      <c r="B35" s="502" t="s">
        <v>419</v>
      </c>
    </row>
    <row r="36" spans="2:2" ht="18.75" x14ac:dyDescent="0.2">
      <c r="B36" s="502" t="s">
        <v>420</v>
      </c>
    </row>
    <row r="37" spans="2:2" ht="18.75" x14ac:dyDescent="0.2">
      <c r="B37" s="502" t="s">
        <v>421</v>
      </c>
    </row>
    <row r="38" spans="2:2" ht="18.75" x14ac:dyDescent="0.2">
      <c r="B38" s="502" t="s">
        <v>422</v>
      </c>
    </row>
    <row r="39" spans="2:2" ht="18.75" x14ac:dyDescent="0.2">
      <c r="B39" s="625" t="s">
        <v>423</v>
      </c>
    </row>
    <row r="40" spans="2:2" ht="18.75" x14ac:dyDescent="0.2">
      <c r="B40" s="502" t="s">
        <v>424</v>
      </c>
    </row>
  </sheetData>
  <sortState ref="B28:B40">
    <sortCondition ref="B28:B40"/>
  </sortState>
  <customSheetViews>
    <customSheetView guid="{C5D960BD-C1A6-4228-A267-A87ADCF0AB55}" state="hidden" topLeftCell="A13">
      <selection activeCell="B28" sqref="B28:B40"/>
      <pageMargins left="0.7" right="0.7" top="0.75" bottom="0.75" header="0.3" footer="0.3"/>
      <pageSetup orientation="portrait" r:id="rId1"/>
    </customSheetView>
    <customSheetView guid="{6C8D603E-9A1B-49F4-AEFE-06707C7BCD53}" state="hidden" topLeftCell="A13">
      <selection activeCell="B28" sqref="B28:B40"/>
      <pageMargins left="0.7" right="0.7" top="0.75" bottom="0.75" header="0.3" footer="0.3"/>
      <pageSetup orientation="portrait" r:id="rId2"/>
    </customSheetView>
    <customSheetView guid="{17400EAF-4B0B-49FE-8262-4A59DA70D10F}" state="hidden" topLeftCell="A13">
      <selection activeCell="B28" sqref="B28:B40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A13"/>
    </sheetView>
  </sheetViews>
  <sheetFormatPr defaultRowHeight="12.75" x14ac:dyDescent="0.2"/>
  <cols>
    <col min="1" max="1" width="37" customWidth="1"/>
  </cols>
  <sheetData>
    <row r="1" spans="1:2" ht="18" x14ac:dyDescent="0.25">
      <c r="A1" s="729" t="s">
        <v>424</v>
      </c>
      <c r="B1" s="620">
        <v>3</v>
      </c>
    </row>
    <row r="2" spans="1:2" ht="18" x14ac:dyDescent="0.25">
      <c r="A2" s="729" t="s">
        <v>423</v>
      </c>
      <c r="B2" s="621">
        <v>4</v>
      </c>
    </row>
    <row r="3" spans="1:2" ht="18" x14ac:dyDescent="0.25">
      <c r="A3" s="729" t="s">
        <v>422</v>
      </c>
      <c r="B3" s="621">
        <v>5</v>
      </c>
    </row>
    <row r="4" spans="1:2" ht="18" x14ac:dyDescent="0.25">
      <c r="A4" s="729" t="s">
        <v>421</v>
      </c>
      <c r="B4" s="621">
        <v>6</v>
      </c>
    </row>
    <row r="5" spans="1:2" ht="18" x14ac:dyDescent="0.25">
      <c r="A5" s="729" t="s">
        <v>420</v>
      </c>
      <c r="B5" s="621">
        <v>7</v>
      </c>
    </row>
    <row r="6" spans="1:2" ht="18" x14ac:dyDescent="0.25">
      <c r="A6" s="729" t="s">
        <v>419</v>
      </c>
      <c r="B6" s="621">
        <v>8</v>
      </c>
    </row>
    <row r="7" spans="1:2" ht="18" x14ac:dyDescent="0.25">
      <c r="A7" s="729" t="s">
        <v>418</v>
      </c>
      <c r="B7" s="621">
        <v>9</v>
      </c>
    </row>
    <row r="8" spans="1:2" ht="18" x14ac:dyDescent="0.25">
      <c r="A8" s="729" t="s">
        <v>417</v>
      </c>
      <c r="B8" s="621">
        <v>10</v>
      </c>
    </row>
    <row r="9" spans="1:2" ht="18" x14ac:dyDescent="0.25">
      <c r="A9" s="729" t="s">
        <v>416</v>
      </c>
      <c r="B9" s="621">
        <v>11</v>
      </c>
    </row>
    <row r="10" spans="1:2" ht="18" x14ac:dyDescent="0.25">
      <c r="A10" s="729" t="s">
        <v>415</v>
      </c>
      <c r="B10" s="621">
        <v>12</v>
      </c>
    </row>
    <row r="11" spans="1:2" ht="18" x14ac:dyDescent="0.25">
      <c r="A11" s="729" t="s">
        <v>429</v>
      </c>
      <c r="B11" s="621">
        <v>13</v>
      </c>
    </row>
    <row r="12" spans="1:2" ht="18" x14ac:dyDescent="0.25">
      <c r="A12" s="729" t="s">
        <v>413</v>
      </c>
      <c r="B12" s="621">
        <v>14</v>
      </c>
    </row>
    <row r="13" spans="1:2" ht="31.5" x14ac:dyDescent="0.25">
      <c r="A13" s="729" t="s">
        <v>412</v>
      </c>
      <c r="B13" s="621">
        <v>15</v>
      </c>
    </row>
  </sheetData>
  <sortState ref="A1:B13">
    <sortCondition ref="B1:B13"/>
  </sortState>
  <customSheetViews>
    <customSheetView guid="{C5D960BD-C1A6-4228-A267-A87ADCF0AB55}" state="hidden">
      <selection sqref="A1:A13"/>
      <pageMargins left="0.7" right="0.7" top="0.75" bottom="0.75" header="0.3" footer="0.3"/>
    </customSheetView>
    <customSheetView guid="{6C8D603E-9A1B-49F4-AEFE-06707C7BCD53}" state="hidden">
      <selection sqref="A1:A13"/>
      <pageMargins left="0.7" right="0.7" top="0.75" bottom="0.75" header="0.3" footer="0.3"/>
    </customSheetView>
    <customSheetView guid="{17400EAF-4B0B-49FE-8262-4A59DA70D10F}" state="hidden">
      <selection sqref="A1:A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25" activePane="bottomRight" state="frozen"/>
      <selection activeCell="B3" sqref="B3"/>
      <selection pane="topRight" activeCell="D3" sqref="D3"/>
      <selection pane="bottomLeft" activeCell="B5" sqref="B5"/>
      <selection pane="bottomRight" activeCell="J42" sqref="J42"/>
    </sheetView>
  </sheetViews>
  <sheetFormatPr defaultColWidth="9.28515625" defaultRowHeight="15" x14ac:dyDescent="0.2"/>
  <cols>
    <col min="1" max="1" width="9.28515625" style="278"/>
    <col min="2" max="2" width="9.28515625" style="274"/>
    <col min="3" max="3" width="14.42578125" style="274" customWidth="1"/>
    <col min="4" max="4" width="30.42578125" style="308" customWidth="1"/>
    <col min="5" max="5" width="9.28515625" style="274"/>
    <col min="6" max="6" width="9" style="277" customWidth="1"/>
    <col min="7" max="7" width="8.7109375" style="274" customWidth="1"/>
    <col min="8" max="8" width="13.5703125" style="276" customWidth="1"/>
    <col min="9" max="16384" width="9.28515625" style="278"/>
  </cols>
  <sheetData>
    <row r="1" spans="2:11" ht="18.75" x14ac:dyDescent="0.2">
      <c r="C1" s="275" t="s">
        <v>265</v>
      </c>
    </row>
    <row r="2" spans="2:11" ht="20.25" customHeight="1" x14ac:dyDescent="0.2">
      <c r="C2" s="279" t="s">
        <v>264</v>
      </c>
      <c r="D2" s="309"/>
    </row>
    <row r="3" spans="2:11" ht="15.75" thickBot="1" x14ac:dyDescent="0.25">
      <c r="C3" s="280"/>
      <c r="D3" s="309"/>
      <c r="G3" s="281">
        <f>SUM(G5:G39)</f>
        <v>130</v>
      </c>
    </row>
    <row r="4" spans="2:11" s="274" customFormat="1" ht="51" x14ac:dyDescent="0.2">
      <c r="B4" s="319" t="s">
        <v>178</v>
      </c>
      <c r="C4" s="282" t="s">
        <v>179</v>
      </c>
      <c r="D4" s="320" t="s">
        <v>180</v>
      </c>
      <c r="E4" s="282" t="s">
        <v>181</v>
      </c>
      <c r="F4" s="321" t="s">
        <v>171</v>
      </c>
      <c r="G4" s="282" t="s">
        <v>182</v>
      </c>
      <c r="H4" s="283" t="s">
        <v>183</v>
      </c>
    </row>
    <row r="5" spans="2:11" ht="15.75" x14ac:dyDescent="0.2">
      <c r="B5" s="286">
        <v>1</v>
      </c>
      <c r="C5" s="287" t="s">
        <v>0</v>
      </c>
      <c r="D5" s="310"/>
      <c r="E5" s="287"/>
      <c r="F5" s="322">
        <v>1</v>
      </c>
      <c r="G5" s="287">
        <f>SUM(E6:E8)</f>
        <v>6</v>
      </c>
      <c r="H5" s="284"/>
      <c r="I5" s="278">
        <v>6</v>
      </c>
    </row>
    <row r="6" spans="2:11" ht="15.75" x14ac:dyDescent="0.2">
      <c r="B6" s="286"/>
      <c r="C6" s="287"/>
      <c r="D6" s="310" t="s">
        <v>184</v>
      </c>
      <c r="E6" s="287">
        <v>2</v>
      </c>
      <c r="F6" s="322"/>
      <c r="G6" s="285"/>
      <c r="H6" s="284"/>
    </row>
    <row r="7" spans="2:11" ht="30" x14ac:dyDescent="0.2">
      <c r="B7" s="286"/>
      <c r="C7" s="287"/>
      <c r="D7" s="310" t="s">
        <v>185</v>
      </c>
      <c r="E7" s="287">
        <v>2</v>
      </c>
      <c r="F7" s="322"/>
      <c r="G7" s="285"/>
      <c r="H7" s="284"/>
    </row>
    <row r="8" spans="2:11" ht="15.75" x14ac:dyDescent="0.2">
      <c r="B8" s="286"/>
      <c r="C8" s="287"/>
      <c r="D8" s="310" t="s">
        <v>186</v>
      </c>
      <c r="E8" s="287">
        <v>2</v>
      </c>
      <c r="F8" s="322"/>
      <c r="G8" s="285"/>
      <c r="H8" s="284"/>
    </row>
    <row r="9" spans="2:11" ht="15.75" x14ac:dyDescent="0.2">
      <c r="B9" s="286">
        <v>2</v>
      </c>
      <c r="C9" s="287" t="s">
        <v>167</v>
      </c>
      <c r="D9" s="310"/>
      <c r="E9" s="287"/>
      <c r="F9" s="322">
        <v>2</v>
      </c>
      <c r="G9" s="287">
        <f>SUM(E10:E16)</f>
        <v>16</v>
      </c>
      <c r="H9" s="284"/>
      <c r="I9" s="278">
        <v>16</v>
      </c>
    </row>
    <row r="10" spans="2:11" ht="15.75" x14ac:dyDescent="0.2">
      <c r="B10" s="286" t="s">
        <v>1</v>
      </c>
      <c r="C10" s="287"/>
      <c r="D10" s="310" t="s">
        <v>2</v>
      </c>
      <c r="E10" s="287">
        <v>2</v>
      </c>
      <c r="F10" s="322"/>
      <c r="G10" s="285"/>
      <c r="H10" s="284"/>
    </row>
    <row r="11" spans="2:11" ht="15.75" x14ac:dyDescent="0.2">
      <c r="B11" s="286" t="s">
        <v>3</v>
      </c>
      <c r="C11" s="287"/>
      <c r="D11" s="310" t="s">
        <v>4</v>
      </c>
      <c r="E11" s="287">
        <v>2</v>
      </c>
      <c r="F11" s="322"/>
      <c r="G11" s="285"/>
      <c r="H11" s="284"/>
    </row>
    <row r="12" spans="2:11" ht="31.15" customHeight="1" x14ac:dyDescent="0.2">
      <c r="B12" s="286" t="s">
        <v>5</v>
      </c>
      <c r="C12" s="287"/>
      <c r="D12" s="310" t="s">
        <v>187</v>
      </c>
      <c r="E12" s="287">
        <v>2</v>
      </c>
      <c r="F12" s="322"/>
      <c r="G12" s="285"/>
      <c r="H12" s="284"/>
    </row>
    <row r="13" spans="2:11" ht="15.75" x14ac:dyDescent="0.2">
      <c r="B13" s="286" t="s">
        <v>6</v>
      </c>
      <c r="C13" s="287"/>
      <c r="D13" s="310" t="s">
        <v>158</v>
      </c>
      <c r="E13" s="287">
        <v>2</v>
      </c>
      <c r="F13" s="322"/>
      <c r="G13" s="285"/>
      <c r="H13" s="284"/>
      <c r="K13" s="278">
        <f>34/70</f>
        <v>0.48571428571428571</v>
      </c>
    </row>
    <row r="14" spans="2:11" ht="15.75" x14ac:dyDescent="0.2">
      <c r="B14" s="286" t="s">
        <v>7</v>
      </c>
      <c r="C14" s="287"/>
      <c r="D14" s="311" t="s">
        <v>159</v>
      </c>
      <c r="E14" s="287">
        <v>4</v>
      </c>
      <c r="F14" s="322"/>
      <c r="G14" s="285"/>
      <c r="H14" s="284"/>
    </row>
    <row r="15" spans="2:11" ht="15.75" x14ac:dyDescent="0.2">
      <c r="B15" s="286" t="s">
        <v>8</v>
      </c>
      <c r="C15" s="287"/>
      <c r="D15" s="310" t="s">
        <v>165</v>
      </c>
      <c r="E15" s="287">
        <v>2</v>
      </c>
      <c r="F15" s="322"/>
      <c r="G15" s="285"/>
      <c r="H15" s="284"/>
    </row>
    <row r="16" spans="2:11" ht="15.75" x14ac:dyDescent="0.2">
      <c r="B16" s="286" t="s">
        <v>160</v>
      </c>
      <c r="C16" s="287"/>
      <c r="D16" s="310" t="s">
        <v>188</v>
      </c>
      <c r="E16" s="287">
        <v>2</v>
      </c>
      <c r="F16" s="322"/>
      <c r="G16" s="285"/>
      <c r="H16" s="284"/>
    </row>
    <row r="17" spans="2:10" ht="15.75" x14ac:dyDescent="0.2">
      <c r="B17" s="286" t="s">
        <v>9</v>
      </c>
      <c r="C17" s="287" t="s">
        <v>189</v>
      </c>
      <c r="D17" s="310"/>
      <c r="E17" s="287"/>
      <c r="F17" s="322">
        <v>3</v>
      </c>
      <c r="G17" s="287">
        <f>SUM(E18)</f>
        <v>6</v>
      </c>
      <c r="H17" s="284"/>
      <c r="I17" s="278">
        <v>6</v>
      </c>
    </row>
    <row r="18" spans="2:10" ht="30" x14ac:dyDescent="0.2">
      <c r="B18" s="286" t="s">
        <v>222</v>
      </c>
      <c r="C18" s="287"/>
      <c r="D18" s="310" t="s">
        <v>223</v>
      </c>
      <c r="E18" s="287">
        <v>6</v>
      </c>
      <c r="F18" s="288"/>
      <c r="G18" s="285"/>
      <c r="H18" s="284"/>
    </row>
    <row r="19" spans="2:10" ht="15.75" x14ac:dyDescent="0.2">
      <c r="B19" s="286" t="s">
        <v>11</v>
      </c>
      <c r="C19" s="287" t="s">
        <v>10</v>
      </c>
      <c r="D19" s="310"/>
      <c r="E19" s="287"/>
      <c r="F19" s="322"/>
      <c r="G19" s="287">
        <f>SUM(E20:E23)</f>
        <v>20</v>
      </c>
      <c r="H19" s="284"/>
      <c r="I19" s="278">
        <v>20</v>
      </c>
    </row>
    <row r="20" spans="2:10" ht="30" x14ac:dyDescent="0.2">
      <c r="B20" s="286" t="s">
        <v>13</v>
      </c>
      <c r="C20" s="287"/>
      <c r="D20" s="310" t="s">
        <v>231</v>
      </c>
      <c r="E20" s="287">
        <v>10</v>
      </c>
      <c r="F20" s="322">
        <v>4</v>
      </c>
      <c r="G20" s="285"/>
      <c r="H20" s="284"/>
    </row>
    <row r="21" spans="2:10" ht="30" x14ac:dyDescent="0.25">
      <c r="B21" s="286" t="s">
        <v>161</v>
      </c>
      <c r="C21" s="288"/>
      <c r="D21" s="312" t="s">
        <v>228</v>
      </c>
      <c r="E21" s="287">
        <v>2</v>
      </c>
      <c r="F21" s="322">
        <v>4</v>
      </c>
      <c r="G21" s="285"/>
      <c r="H21" s="284"/>
    </row>
    <row r="22" spans="2:10" ht="75" x14ac:dyDescent="0.25">
      <c r="B22" s="286" t="s">
        <v>15</v>
      </c>
      <c r="C22" s="287"/>
      <c r="D22" s="313" t="s">
        <v>229</v>
      </c>
      <c r="E22" s="287">
        <v>4</v>
      </c>
      <c r="F22" s="322">
        <v>4</v>
      </c>
      <c r="G22" s="285"/>
      <c r="H22" s="284"/>
    </row>
    <row r="23" spans="2:10" ht="45" x14ac:dyDescent="0.25">
      <c r="B23" s="286" t="s">
        <v>227</v>
      </c>
      <c r="C23" s="287"/>
      <c r="D23" s="313" t="s">
        <v>230</v>
      </c>
      <c r="E23" s="287">
        <v>4</v>
      </c>
      <c r="F23" s="322">
        <v>4</v>
      </c>
      <c r="G23" s="285"/>
      <c r="H23" s="284"/>
    </row>
    <row r="24" spans="2:10" ht="15.75" x14ac:dyDescent="0.2">
      <c r="B24" s="286" t="s">
        <v>17</v>
      </c>
      <c r="C24" s="287" t="s">
        <v>12</v>
      </c>
      <c r="D24" s="310"/>
      <c r="E24" s="287"/>
      <c r="F24" s="322"/>
      <c r="G24" s="287">
        <f>SUM(E25:E27)</f>
        <v>11</v>
      </c>
      <c r="H24" s="284"/>
      <c r="I24" s="278">
        <v>11</v>
      </c>
    </row>
    <row r="25" spans="2:10" ht="15.75" x14ac:dyDescent="0.2">
      <c r="B25" s="286" t="s">
        <v>19</v>
      </c>
      <c r="C25" s="287"/>
      <c r="D25" s="310" t="s">
        <v>14</v>
      </c>
      <c r="E25" s="287">
        <v>2</v>
      </c>
      <c r="F25" s="322">
        <v>5</v>
      </c>
      <c r="G25" s="285"/>
      <c r="H25" s="284"/>
    </row>
    <row r="26" spans="2:10" ht="15.75" x14ac:dyDescent="0.2">
      <c r="B26" s="286" t="s">
        <v>21</v>
      </c>
      <c r="C26" s="287"/>
      <c r="D26" s="310" t="s">
        <v>16</v>
      </c>
      <c r="E26" s="287">
        <v>3</v>
      </c>
      <c r="F26" s="322">
        <v>5</v>
      </c>
      <c r="G26" s="285"/>
      <c r="H26" s="284"/>
    </row>
    <row r="27" spans="2:10" ht="15.75" x14ac:dyDescent="0.2">
      <c r="B27" s="286" t="s">
        <v>23</v>
      </c>
      <c r="C27" s="287"/>
      <c r="D27" s="310" t="s">
        <v>190</v>
      </c>
      <c r="E27" s="287">
        <v>6</v>
      </c>
      <c r="F27" s="322">
        <v>5</v>
      </c>
      <c r="G27" s="285"/>
      <c r="H27" s="284"/>
    </row>
    <row r="28" spans="2:10" ht="15.75" x14ac:dyDescent="0.2">
      <c r="B28" s="286" t="s">
        <v>25</v>
      </c>
      <c r="C28" s="287" t="s">
        <v>18</v>
      </c>
      <c r="D28" s="310"/>
      <c r="E28" s="287"/>
      <c r="F28" s="322"/>
      <c r="G28" s="287">
        <f>SUM(E29:E31)</f>
        <v>11</v>
      </c>
      <c r="H28" s="284"/>
    </row>
    <row r="29" spans="2:10" ht="15.75" x14ac:dyDescent="0.2">
      <c r="B29" s="286" t="s">
        <v>27</v>
      </c>
      <c r="C29" s="287"/>
      <c r="D29" s="310" t="s">
        <v>20</v>
      </c>
      <c r="E29" s="287">
        <v>3</v>
      </c>
      <c r="F29" s="322">
        <v>6</v>
      </c>
      <c r="G29" s="285"/>
      <c r="H29" s="284"/>
    </row>
    <row r="30" spans="2:10" ht="15.75" x14ac:dyDescent="0.2">
      <c r="B30" s="286" t="s">
        <v>29</v>
      </c>
      <c r="C30" s="287"/>
      <c r="D30" s="310" t="s">
        <v>22</v>
      </c>
      <c r="E30" s="287">
        <v>2</v>
      </c>
      <c r="F30" s="322">
        <v>6</v>
      </c>
      <c r="G30" s="285"/>
      <c r="H30" s="284"/>
    </row>
    <row r="31" spans="2:10" ht="16.5" thickBot="1" x14ac:dyDescent="0.25">
      <c r="B31" s="584" t="s">
        <v>30</v>
      </c>
      <c r="C31" s="289"/>
      <c r="D31" s="314" t="s">
        <v>24</v>
      </c>
      <c r="E31" s="289">
        <v>6</v>
      </c>
      <c r="F31" s="585">
        <v>6</v>
      </c>
      <c r="G31" s="291"/>
      <c r="H31" s="292"/>
      <c r="I31" s="278" t="s">
        <v>312</v>
      </c>
      <c r="J31" s="278">
        <f>SUM(G5:G31)</f>
        <v>70</v>
      </c>
    </row>
    <row r="32" spans="2:10" ht="15.75" x14ac:dyDescent="0.2">
      <c r="B32" s="579" t="s">
        <v>32</v>
      </c>
      <c r="C32" s="580" t="s">
        <v>26</v>
      </c>
      <c r="D32" s="581"/>
      <c r="E32" s="580"/>
      <c r="F32" s="582"/>
      <c r="G32" s="580">
        <f>SUM(E33:E35)</f>
        <v>15</v>
      </c>
      <c r="H32" s="583"/>
    </row>
    <row r="33" spans="2:29" x14ac:dyDescent="0.2">
      <c r="B33" s="286" t="s">
        <v>34</v>
      </c>
      <c r="C33" s="287"/>
      <c r="D33" s="310" t="s">
        <v>28</v>
      </c>
      <c r="E33" s="287">
        <v>4</v>
      </c>
      <c r="F33" s="288">
        <v>7</v>
      </c>
      <c r="G33" s="285"/>
      <c r="H33" s="284"/>
    </row>
    <row r="34" spans="2:29" ht="30" x14ac:dyDescent="0.2">
      <c r="B34" s="286" t="s">
        <v>36</v>
      </c>
      <c r="C34" s="287"/>
      <c r="D34" s="310" t="s">
        <v>164</v>
      </c>
      <c r="E34" s="287">
        <v>5</v>
      </c>
      <c r="F34" s="288">
        <v>7</v>
      </c>
      <c r="G34" s="285"/>
      <c r="H34" s="284"/>
    </row>
    <row r="35" spans="2:29" x14ac:dyDescent="0.2">
      <c r="B35" s="286" t="s">
        <v>191</v>
      </c>
      <c r="C35" s="287"/>
      <c r="D35" s="310" t="s">
        <v>31</v>
      </c>
      <c r="E35" s="287">
        <v>6</v>
      </c>
      <c r="F35" s="288">
        <v>7</v>
      </c>
      <c r="G35" s="285"/>
      <c r="H35" s="284"/>
    </row>
    <row r="36" spans="2:29" ht="15.75" x14ac:dyDescent="0.2">
      <c r="B36" s="286" t="s">
        <v>168</v>
      </c>
      <c r="C36" s="293" t="s">
        <v>162</v>
      </c>
      <c r="D36" s="310" t="s">
        <v>163</v>
      </c>
      <c r="E36" s="293">
        <v>10</v>
      </c>
      <c r="F36" s="322">
        <v>8</v>
      </c>
      <c r="G36" s="285">
        <f>E36</f>
        <v>10</v>
      </c>
      <c r="H36" s="284"/>
    </row>
    <row r="37" spans="2:29" x14ac:dyDescent="0.2">
      <c r="B37" s="286" t="s">
        <v>192</v>
      </c>
      <c r="C37" s="287" t="s">
        <v>33</v>
      </c>
      <c r="D37" s="310"/>
      <c r="E37" s="287"/>
      <c r="F37" s="288"/>
      <c r="G37" s="287">
        <f>SUM(E38:E39)</f>
        <v>35</v>
      </c>
      <c r="H37" s="284"/>
    </row>
    <row r="38" spans="2:29" x14ac:dyDescent="0.2">
      <c r="B38" s="286" t="s">
        <v>301</v>
      </c>
      <c r="C38" s="287"/>
      <c r="D38" s="310" t="s">
        <v>35</v>
      </c>
      <c r="E38" s="287">
        <v>20</v>
      </c>
      <c r="F38" s="288">
        <v>9</v>
      </c>
      <c r="G38" s="285"/>
      <c r="H38" s="284"/>
    </row>
    <row r="39" spans="2:29" x14ac:dyDescent="0.2">
      <c r="B39" s="286" t="s">
        <v>302</v>
      </c>
      <c r="C39" s="287"/>
      <c r="D39" s="310" t="s">
        <v>37</v>
      </c>
      <c r="E39" s="287">
        <v>15</v>
      </c>
      <c r="F39" s="288">
        <v>9</v>
      </c>
      <c r="G39" s="285"/>
      <c r="H39" s="284"/>
    </row>
    <row r="40" spans="2:29" ht="16.5" thickBot="1" x14ac:dyDescent="0.25">
      <c r="B40" s="294"/>
      <c r="C40" s="289"/>
      <c r="D40" s="314"/>
      <c r="E40" s="289"/>
      <c r="F40" s="290"/>
      <c r="G40" s="291"/>
      <c r="H40" s="292"/>
      <c r="I40" s="278" t="s">
        <v>313</v>
      </c>
      <c r="J40" s="278">
        <f>SUM(G32:G40)</f>
        <v>60</v>
      </c>
    </row>
    <row r="41" spans="2:29" ht="15.75" thickBot="1" x14ac:dyDescent="0.25">
      <c r="B41" s="295"/>
      <c r="C41" s="296"/>
      <c r="D41" s="315" t="s">
        <v>38</v>
      </c>
      <c r="E41" s="297">
        <f>SUM(E5:E39)</f>
        <v>130</v>
      </c>
      <c r="F41" s="298"/>
      <c r="G41" s="299">
        <f>SUM(G5:G39)</f>
        <v>130</v>
      </c>
      <c r="H41" s="300"/>
    </row>
    <row r="42" spans="2:29" x14ac:dyDescent="0.2">
      <c r="B42" s="301"/>
      <c r="C42" s="301"/>
    </row>
    <row r="43" spans="2:29" x14ac:dyDescent="0.2">
      <c r="B43" s="302"/>
      <c r="C43" s="302"/>
    </row>
    <row r="44" spans="2:29" x14ac:dyDescent="0.2">
      <c r="B44" s="301"/>
      <c r="C44" s="301"/>
    </row>
    <row r="45" spans="2:29" x14ac:dyDescent="0.2">
      <c r="C45" s="276"/>
      <c r="D45" s="316"/>
      <c r="E45" s="301"/>
      <c r="F45" s="279"/>
      <c r="G45" s="301"/>
      <c r="H45" s="303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304"/>
      <c r="AC45" s="304"/>
    </row>
    <row r="46" spans="2:29" x14ac:dyDescent="0.2">
      <c r="D46" s="317"/>
      <c r="E46" s="302"/>
      <c r="F46" s="305"/>
      <c r="G46" s="302"/>
      <c r="H46" s="306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</row>
    <row r="47" spans="2:29" x14ac:dyDescent="0.2">
      <c r="D47" s="316"/>
      <c r="E47" s="301"/>
      <c r="F47" s="279"/>
      <c r="G47" s="301"/>
      <c r="H47" s="303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304"/>
      <c r="AB47" s="304"/>
      <c r="AC47" s="304"/>
    </row>
    <row r="48" spans="2:29" x14ac:dyDescent="0.2">
      <c r="D48" s="318"/>
    </row>
  </sheetData>
  <customSheetViews>
    <customSheetView guid="{C5D960BD-C1A6-4228-A267-A87ADCF0AB55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6C8D603E-9A1B-49F4-AEFE-06707C7BCD53}" showPageBreaks="1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orientation="portrait" r:id="rId2"/>
      <headerFooter alignWithMargins="0"/>
    </customSheetView>
    <customSheetView guid="{1C44C54F-C0A4-451D-B8A0-B8C17D7E284D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4BCF288A-A595-4C42-82E7-535EDC2AC415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33A37079-C128-4ED3-AE01-CFA8F2347C5B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5"/>
      <headerFooter alignWithMargins="0"/>
    </customSheetView>
    <customSheetView guid="{96BFE75B-9E94-4DC9-803C-D5A288E717C0}" showPageBreaks="1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6"/>
      <headerFooter alignWithMargins="0"/>
    </customSheetView>
    <customSheetView guid="{9581BC83-4638-4839-B4A7-A6430282DE4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7"/>
      <headerFooter alignWithMargins="0"/>
    </customSheetView>
    <customSheetView guid="{7DAD0CBB-837D-490E-8AD8-C7F6F6026BC2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8"/>
      <headerFooter alignWithMargins="0"/>
    </customSheetView>
    <customSheetView guid="{DD783D5A-D326-44F8-82C1-529ADF80E68D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9"/>
      <headerFooter alignWithMargins="0"/>
    </customSheetView>
    <customSheetView guid="{63677729-B220-4674-B8DA-E23D188A7DD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0"/>
      <headerFooter alignWithMargins="0"/>
    </customSheetView>
    <customSheetView guid="{5FE79F59-D06C-47E9-A091-8A454305106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1"/>
      <headerFooter alignWithMargins="0"/>
    </customSheetView>
    <customSheetView guid="{4A4E10B3-98EA-434A-B904-9D953C49E91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2"/>
      <headerFooter alignWithMargins="0"/>
    </customSheetView>
    <customSheetView guid="{639E5188-D90A-45C8-B0E7-531B3D055CC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3"/>
      <headerFooter alignWithMargins="0"/>
    </customSheetView>
    <customSheetView guid="{1F0D860E-98B2-498A-824D-8FEF04055655}" showRuler="0">
      <selection activeCell="D2" sqref="D2"/>
      <pageMargins left="0.75" right="0.75" top="1" bottom="1" header="0.5" footer="0.5"/>
      <pageSetup paperSize="9" orientation="portrait" r:id="rId14"/>
      <headerFooter alignWithMargins="0"/>
    </customSheetView>
    <customSheetView guid="{75769618-2852-4512-8EF1-DEA65DE197E1}" showRuler="0">
      <selection activeCell="D2" sqref="D2"/>
      <pageMargins left="0.75" right="0.75" top="1" bottom="1" header="0.5" footer="0.5"/>
      <pageSetup paperSize="9" orientation="portrait" r:id="rId15"/>
      <headerFooter alignWithMargins="0"/>
    </customSheetView>
    <customSheetView guid="{6FD4170C-FF34-4F29-9D4F-E51601E8E054}" showRuler="0" topLeftCell="B3">
      <pane xSplit="2" ySplit="2" topLeftCell="D31" activePane="bottomRight" state="frozen"/>
      <selection pane="bottomRight" activeCell="G5" sqref="G5"/>
      <pageMargins left="0.75" right="0.75" top="1" bottom="1" header="0.5" footer="0.5"/>
      <pageSetup paperSize="9" orientation="portrait" r:id="rId16"/>
      <headerFooter alignWithMargins="0"/>
    </customSheetView>
    <customSheetView guid="{DB247C62-AD53-4E02-85BF-C5978A17182C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17"/>
      <headerFooter alignWithMargins="0"/>
    </customSheetView>
    <customSheetView guid="{CCC0C40E-6D64-44D7-9C77-D75A2E2899A6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8"/>
      <headerFooter alignWithMargins="0"/>
    </customSheetView>
    <customSheetView guid="{BA384526-2B52-499B-A6CB-A20D93F7D458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19"/>
      <headerFooter alignWithMargins="0"/>
    </customSheetView>
    <customSheetView guid="{9441459E-E2AF-4712-941E-3718915AA278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0"/>
      <headerFooter alignWithMargins="0"/>
    </customSheetView>
    <customSheetView guid="{2B1F19F5-DDBC-46F8-92CB-9A790CB7FD61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1"/>
      <headerFooter alignWithMargins="0"/>
    </customSheetView>
    <customSheetView guid="{6EA0E7B6-C486-4B39-8128-16821F7A9C03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2"/>
      <headerFooter alignWithMargins="0"/>
    </customSheetView>
    <customSheetView guid="{BE29CB45-C44C-4909-A8C9-0850A17CCE3A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23"/>
      <headerFooter alignWithMargins="0"/>
    </customSheetView>
    <customSheetView guid="{8DFD9D66-8B11-4E3E-B614-03CD90A02DAE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4"/>
      <headerFooter alignWithMargins="0"/>
    </customSheetView>
    <customSheetView guid="{F5BB156E-46BF-4970-8BDC-FACCC2530DB4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25"/>
      <headerFooter alignWithMargins="0"/>
    </customSheetView>
    <customSheetView guid="{BFDDA753-D9FF-405A-BBB3-8EC16FDB9500}" showRuler="0">
      <selection activeCell="D2" sqref="D2"/>
      <pageMargins left="0.75" right="0.75" top="1" bottom="1" header="0.5" footer="0.5"/>
      <pageSetup paperSize="9" orientation="portrait" r:id="rId26"/>
      <headerFooter alignWithMargins="0"/>
    </customSheetView>
    <customSheetView guid="{8FD84C4E-2C18-420F-8708-98FB7EED86F5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7"/>
      <headerFooter alignWithMargins="0"/>
    </customSheetView>
    <customSheetView guid="{D36C8CE2-BD51-473C-907A-C6FC583FFDF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8"/>
      <headerFooter alignWithMargins="0"/>
    </customSheetView>
    <customSheetView guid="{30318990-97FA-4B74-8A96-20B9CEE7B653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9"/>
      <headerFooter alignWithMargins="0"/>
    </customSheetView>
    <customSheetView guid="{3EF0F3E9-9201-4028-86FF-6B06B2998A48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0"/>
      <headerFooter alignWithMargins="0"/>
    </customSheetView>
    <customSheetView guid="{54CA7618-6F98-4F47-B371-BA051FE7587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1"/>
      <headerFooter alignWithMargins="0"/>
    </customSheetView>
    <customSheetView guid="{0DACDB9F-1DED-4CA1-A223-ED8CF3AAE05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2"/>
      <headerFooter alignWithMargins="0"/>
    </customSheetView>
    <customSheetView guid="{575DD556-2391-4DD2-B247-D76EB2E7029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3"/>
      <headerFooter alignWithMargins="0"/>
    </customSheetView>
    <customSheetView guid="{52C4EB7E-D421-4F3C-9418-E2E13C53098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4"/>
      <headerFooter alignWithMargins="0"/>
    </customSheetView>
    <customSheetView guid="{1431BB82-382B-49E3-A435-36D988AC7FF6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5"/>
      <headerFooter alignWithMargins="0"/>
    </customSheetView>
    <customSheetView guid="{E3076869-5D4E-4B4E-B56C-23BD0053E0A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36"/>
      <headerFooter alignWithMargins="0"/>
    </customSheetView>
    <customSheetView guid="{134EDDCA-7309-47EE-BAAB-632C7B2A96A3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37"/>
      <headerFooter alignWithMargins="0"/>
    </customSheetView>
    <customSheetView guid="{C2F30B35-D639-4BB4-A50F-41AB6A91344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9" orientation="portrait" r:id="rId38"/>
      <headerFooter alignWithMargins="0"/>
    </customSheetView>
    <customSheetView guid="{17400EAF-4B0B-49FE-8262-4A59DA70D10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9"/>
      <headerFooter alignWithMargins="0"/>
    </customSheetView>
  </customSheetViews>
  <phoneticPr fontId="0" type="noConversion"/>
  <pageMargins left="0.75" right="0.75" top="1" bottom="1" header="0.5" footer="0.5"/>
  <pageSetup paperSize="0" orientation="portrait" horizontalDpi="0" verticalDpi="0" copies="0" r:id="rId4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4" sqref="A14"/>
    </sheetView>
  </sheetViews>
  <sheetFormatPr defaultRowHeight="12.75" x14ac:dyDescent="0.2"/>
  <sheetData>
    <row r="1" spans="1:2" x14ac:dyDescent="0.2">
      <c r="A1" s="133" t="s">
        <v>274</v>
      </c>
      <c r="B1" s="133"/>
    </row>
    <row r="2" spans="1:2" x14ac:dyDescent="0.2">
      <c r="A2" s="133">
        <v>0</v>
      </c>
      <c r="B2" s="133" t="s">
        <v>275</v>
      </c>
    </row>
    <row r="3" spans="1:2" x14ac:dyDescent="0.2">
      <c r="A3" s="133">
        <v>35</v>
      </c>
      <c r="B3" s="133" t="s">
        <v>276</v>
      </c>
    </row>
    <row r="4" spans="1:2" x14ac:dyDescent="0.2">
      <c r="A4" s="133">
        <v>60</v>
      </c>
      <c r="B4" s="133" t="s">
        <v>277</v>
      </c>
    </row>
    <row r="5" spans="1:2" x14ac:dyDescent="0.2">
      <c r="A5" s="133">
        <v>67</v>
      </c>
      <c r="B5" s="133" t="s">
        <v>278</v>
      </c>
    </row>
    <row r="6" spans="1:2" x14ac:dyDescent="0.2">
      <c r="A6" s="133">
        <v>74</v>
      </c>
      <c r="B6" s="133" t="s">
        <v>279</v>
      </c>
    </row>
    <row r="7" spans="1:2" x14ac:dyDescent="0.2">
      <c r="A7" s="133">
        <v>82</v>
      </c>
      <c r="B7" s="133" t="s">
        <v>280</v>
      </c>
    </row>
    <row r="8" spans="1:2" x14ac:dyDescent="0.2">
      <c r="A8" s="133">
        <v>89</v>
      </c>
      <c r="B8" s="133" t="s">
        <v>281</v>
      </c>
    </row>
    <row r="9" spans="1:2" x14ac:dyDescent="0.2">
      <c r="A9" s="133">
        <v>100</v>
      </c>
      <c r="B9" s="133" t="s">
        <v>281</v>
      </c>
    </row>
  </sheetData>
  <customSheetViews>
    <customSheetView guid="{C5D960BD-C1A6-4228-A267-A87ADCF0AB55}">
      <selection activeCell="A14" sqref="A14"/>
      <pageMargins left="0.7" right="0.7" top="0.75" bottom="0.75" header="0.3" footer="0.3"/>
    </customSheetView>
    <customSheetView guid="{6C8D603E-9A1B-49F4-AEFE-06707C7BCD53}" showPageBreaks="1">
      <selection sqref="A1:B9"/>
      <pageMargins left="0.7" right="0.7" top="0.75" bottom="0.75" header="0.3" footer="0.3"/>
      <pageSetup paperSize="9" orientation="portrait" r:id="rId1"/>
    </customSheetView>
    <customSheetView guid="{1C44C54F-C0A4-451D-B8A0-B8C17D7E284D}">
      <selection sqref="A1:B9"/>
      <pageMargins left="0.7" right="0.7" top="0.75" bottom="0.75" header="0.3" footer="0.3"/>
    </customSheetView>
    <customSheetView guid="{4BCF288A-A595-4C42-82E7-535EDC2AC415}">
      <selection sqref="A1:B9"/>
      <pageMargins left="0.7" right="0.7" top="0.75" bottom="0.75" header="0.3" footer="0.3"/>
    </customSheetView>
    <customSheetView guid="{33A37079-C128-4ED3-AE01-CFA8F2347C5B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134EDDCA-7309-47EE-BAAB-632C7B2A96A3}">
      <selection sqref="A1:B9"/>
      <pageMargins left="0.7" right="0.7" top="0.75" bottom="0.75" header="0.3" footer="0.3"/>
    </customSheetView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2"/>
    </customSheetView>
    <customSheetView guid="{17400EAF-4B0B-49FE-8262-4A59DA70D10F}">
      <selection activeCell="A14" sqref="A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16" activePane="bottomLeft" state="frozen"/>
      <selection pane="bottomLeft" activeCell="D24" sqref="D24"/>
    </sheetView>
  </sheetViews>
  <sheetFormatPr defaultRowHeight="12.75" x14ac:dyDescent="0.2"/>
  <cols>
    <col min="1" max="1" width="10.7109375" style="67" customWidth="1"/>
    <col min="2" max="2" width="42.28515625" style="68" customWidth="1"/>
    <col min="3" max="3" width="12" style="74" customWidth="1"/>
    <col min="4" max="4" width="12" style="69" customWidth="1"/>
  </cols>
  <sheetData>
    <row r="1" spans="1:5" ht="13.5" thickBot="1" x14ac:dyDescent="0.25">
      <c r="B1" s="68" t="s">
        <v>270</v>
      </c>
    </row>
    <row r="2" spans="1:5" ht="13.15" customHeight="1" x14ac:dyDescent="0.2">
      <c r="A2" s="877" t="s">
        <v>247</v>
      </c>
      <c r="B2" s="873" t="s">
        <v>193</v>
      </c>
      <c r="C2" s="875" t="s">
        <v>194</v>
      </c>
      <c r="D2" s="871" t="s">
        <v>195</v>
      </c>
      <c r="E2" s="147"/>
    </row>
    <row r="3" spans="1:5" ht="13.5" customHeight="1" thickBot="1" x14ac:dyDescent="0.25">
      <c r="A3" s="878"/>
      <c r="B3" s="874"/>
      <c r="C3" s="876"/>
      <c r="D3" s="872"/>
      <c r="E3" s="146"/>
    </row>
    <row r="4" spans="1:5" ht="44.25" customHeight="1" x14ac:dyDescent="0.2">
      <c r="A4" s="142">
        <v>1</v>
      </c>
      <c r="B4" s="58" t="s">
        <v>217</v>
      </c>
      <c r="C4" s="71" t="s">
        <v>169</v>
      </c>
      <c r="D4" s="59">
        <v>1</v>
      </c>
      <c r="E4" s="270"/>
    </row>
    <row r="5" spans="1:5" ht="39" customHeight="1" x14ac:dyDescent="0.2">
      <c r="A5" s="143" t="s">
        <v>299</v>
      </c>
      <c r="B5" s="60" t="s">
        <v>218</v>
      </c>
      <c r="C5" s="72" t="s">
        <v>0</v>
      </c>
      <c r="D5" s="61">
        <v>2</v>
      </c>
      <c r="E5" s="271"/>
    </row>
    <row r="6" spans="1:5" ht="38.25" x14ac:dyDescent="0.2">
      <c r="A6" s="143" t="s">
        <v>11</v>
      </c>
      <c r="B6" s="60" t="s">
        <v>196</v>
      </c>
      <c r="C6" s="72" t="s">
        <v>197</v>
      </c>
      <c r="D6" s="61">
        <v>3</v>
      </c>
      <c r="E6" s="271"/>
    </row>
    <row r="7" spans="1:5" x14ac:dyDescent="0.2">
      <c r="A7" s="143" t="s">
        <v>11</v>
      </c>
      <c r="B7" s="62" t="s">
        <v>224</v>
      </c>
      <c r="C7" s="262" t="s">
        <v>198</v>
      </c>
      <c r="D7" s="61"/>
      <c r="E7" s="272"/>
    </row>
    <row r="8" spans="1:5" ht="51.75" x14ac:dyDescent="0.2">
      <c r="A8" s="143" t="s">
        <v>253</v>
      </c>
      <c r="B8" s="63" t="s">
        <v>219</v>
      </c>
      <c r="C8" s="72" t="s">
        <v>175</v>
      </c>
      <c r="D8" s="61">
        <v>4</v>
      </c>
      <c r="E8" s="272"/>
    </row>
    <row r="9" spans="1:5" ht="25.5" x14ac:dyDescent="0.2">
      <c r="A9" s="143" t="s">
        <v>32</v>
      </c>
      <c r="B9" s="64" t="s">
        <v>199</v>
      </c>
      <c r="C9" s="72" t="s">
        <v>175</v>
      </c>
      <c r="D9" s="61">
        <v>5</v>
      </c>
      <c r="E9" s="272"/>
    </row>
    <row r="10" spans="1:5" x14ac:dyDescent="0.2">
      <c r="A10" s="143" t="s">
        <v>32</v>
      </c>
      <c r="B10" s="62" t="s">
        <v>225</v>
      </c>
      <c r="C10" s="72" t="s">
        <v>200</v>
      </c>
      <c r="D10" s="61"/>
      <c r="E10" s="272"/>
    </row>
    <row r="11" spans="1:5" ht="51" x14ac:dyDescent="0.2">
      <c r="A11" s="143" t="s">
        <v>168</v>
      </c>
      <c r="B11" s="60" t="s">
        <v>201</v>
      </c>
      <c r="C11" s="72" t="s">
        <v>189</v>
      </c>
      <c r="D11" s="61">
        <v>6</v>
      </c>
      <c r="E11" s="272"/>
    </row>
    <row r="12" spans="1:5" x14ac:dyDescent="0.2">
      <c r="A12" s="143" t="s">
        <v>168</v>
      </c>
      <c r="B12" s="62" t="s">
        <v>226</v>
      </c>
      <c r="C12" s="72" t="s">
        <v>202</v>
      </c>
      <c r="D12" s="61"/>
      <c r="E12" s="272"/>
    </row>
    <row r="13" spans="1:5" ht="25.5" x14ac:dyDescent="0.2">
      <c r="A13" s="143" t="s">
        <v>192</v>
      </c>
      <c r="B13" s="60" t="s">
        <v>203</v>
      </c>
      <c r="C13" s="72" t="s">
        <v>176</v>
      </c>
      <c r="D13" s="61">
        <v>7</v>
      </c>
      <c r="E13" s="272"/>
    </row>
    <row r="14" spans="1:5" ht="25.5" x14ac:dyDescent="0.2">
      <c r="A14" s="143" t="s">
        <v>248</v>
      </c>
      <c r="B14" s="60" t="s">
        <v>204</v>
      </c>
      <c r="C14" s="72" t="s">
        <v>176</v>
      </c>
      <c r="D14" s="61">
        <v>7</v>
      </c>
      <c r="E14" s="272"/>
    </row>
    <row r="15" spans="1:5" x14ac:dyDescent="0.2">
      <c r="A15" s="143" t="s">
        <v>249</v>
      </c>
      <c r="B15" s="60" t="s">
        <v>205</v>
      </c>
      <c r="C15" s="72" t="s">
        <v>176</v>
      </c>
      <c r="D15" s="61">
        <v>7</v>
      </c>
      <c r="E15" s="272"/>
    </row>
    <row r="16" spans="1:5" x14ac:dyDescent="0.2">
      <c r="A16" s="143" t="s">
        <v>249</v>
      </c>
      <c r="B16" s="62" t="s">
        <v>206</v>
      </c>
      <c r="C16" s="72" t="s">
        <v>207</v>
      </c>
      <c r="D16" s="61"/>
      <c r="E16" s="272"/>
    </row>
    <row r="17" spans="1:9" ht="30" customHeight="1" x14ac:dyDescent="0.2">
      <c r="A17" s="143" t="s">
        <v>254</v>
      </c>
      <c r="B17" s="60" t="s">
        <v>208</v>
      </c>
      <c r="C17" s="72" t="s">
        <v>12</v>
      </c>
      <c r="D17" s="61">
        <v>8</v>
      </c>
      <c r="E17" s="272"/>
    </row>
    <row r="18" spans="1:9" ht="30" customHeight="1" x14ac:dyDescent="0.2">
      <c r="A18" s="143" t="s">
        <v>250</v>
      </c>
      <c r="B18" s="60" t="s">
        <v>209</v>
      </c>
      <c r="C18" s="72" t="s">
        <v>18</v>
      </c>
      <c r="D18" s="61">
        <v>9</v>
      </c>
      <c r="E18" s="272"/>
    </row>
    <row r="19" spans="1:9" ht="20.25" customHeight="1" x14ac:dyDescent="0.3">
      <c r="A19" s="143" t="s">
        <v>250</v>
      </c>
      <c r="B19" s="62" t="s">
        <v>210</v>
      </c>
      <c r="C19" s="72" t="s">
        <v>211</v>
      </c>
      <c r="D19" s="61"/>
      <c r="E19" s="272"/>
      <c r="F19" s="263"/>
      <c r="G19" s="264"/>
      <c r="H19" s="264"/>
      <c r="I19" s="264"/>
    </row>
    <row r="20" spans="1:9" ht="21.75" customHeight="1" x14ac:dyDescent="0.25">
      <c r="A20" s="143" t="s">
        <v>251</v>
      </c>
      <c r="B20" s="60" t="s">
        <v>212</v>
      </c>
      <c r="C20" s="72" t="s">
        <v>26</v>
      </c>
      <c r="D20" s="61">
        <v>10</v>
      </c>
      <c r="E20" s="272"/>
      <c r="F20" s="144"/>
    </row>
    <row r="21" spans="1:9" ht="50.25" customHeight="1" x14ac:dyDescent="0.2">
      <c r="A21" s="143" t="s">
        <v>252</v>
      </c>
      <c r="B21" s="60" t="s">
        <v>215</v>
      </c>
      <c r="C21" s="72" t="s">
        <v>214</v>
      </c>
      <c r="D21" s="61">
        <v>11</v>
      </c>
      <c r="E21" s="272"/>
      <c r="F21" s="145"/>
    </row>
    <row r="22" spans="1:9" ht="45.75" customHeight="1" x14ac:dyDescent="0.25">
      <c r="A22" s="143" t="s">
        <v>255</v>
      </c>
      <c r="B22" s="62" t="s">
        <v>233</v>
      </c>
      <c r="C22" s="72" t="s">
        <v>216</v>
      </c>
      <c r="D22" s="61">
        <v>11</v>
      </c>
      <c r="E22" s="272"/>
      <c r="F22" s="144"/>
    </row>
    <row r="23" spans="1:9" ht="21" customHeight="1" x14ac:dyDescent="0.25">
      <c r="A23" s="143" t="s">
        <v>256</v>
      </c>
      <c r="B23" s="60" t="s">
        <v>213</v>
      </c>
      <c r="C23" s="72" t="s">
        <v>177</v>
      </c>
      <c r="D23" s="61">
        <v>12</v>
      </c>
      <c r="E23" s="272"/>
      <c r="F23" s="144"/>
    </row>
    <row r="24" spans="1:9" ht="19.5" thickBot="1" x14ac:dyDescent="0.35">
      <c r="A24" s="141" t="s">
        <v>300</v>
      </c>
      <c r="B24" s="65" t="s">
        <v>271</v>
      </c>
      <c r="C24" s="73" t="s">
        <v>272</v>
      </c>
      <c r="D24" s="66"/>
      <c r="E24" s="273"/>
      <c r="F24" s="263"/>
      <c r="G24" s="264"/>
      <c r="H24" s="264"/>
      <c r="I24" s="264"/>
    </row>
    <row r="25" spans="1:9" ht="13.5" thickBot="1" x14ac:dyDescent="0.25">
      <c r="A25" s="265"/>
      <c r="B25" s="266"/>
      <c r="C25" s="267"/>
      <c r="D25" s="268" t="s">
        <v>38</v>
      </c>
      <c r="E25" s="269"/>
    </row>
    <row r="26" spans="1:9" ht="16.5" customHeight="1" x14ac:dyDescent="0.2"/>
  </sheetData>
  <customSheetViews>
    <customSheetView guid="{C5D960BD-C1A6-4228-A267-A87ADCF0AB55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"/>
      <headerFooter alignWithMargins="0"/>
    </customSheetView>
    <customSheetView guid="{6C8D603E-9A1B-49F4-AEFE-06707C7BCD53}" showPageBreaks="1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r:id="rId2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5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6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8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9"/>
      <headerFooter alignWithMargins="0"/>
    </customSheetView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10"/>
      <headerFooter alignWithMargins="0"/>
    </customSheetView>
    <customSheetView guid="{17400EAF-4B0B-49FE-8262-4A59DA70D10F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9" orientation="portrait" horizontalDpi="4294967293" verticalDpi="0" r:id="rId1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8515625" defaultRowHeight="12.75" x14ac:dyDescent="0.2"/>
  <cols>
    <col min="1" max="1" width="9.28515625" style="1"/>
    <col min="2" max="2" width="37.7109375" style="1" customWidth="1"/>
    <col min="3" max="16384" width="9.28515625" style="1"/>
  </cols>
  <sheetData>
    <row r="1" spans="1:4" x14ac:dyDescent="0.2">
      <c r="B1" s="1">
        <v>201</v>
      </c>
    </row>
    <row r="2" spans="1:4" ht="16.5" thickBot="1" x14ac:dyDescent="0.3">
      <c r="B2" s="2"/>
    </row>
    <row r="3" spans="1:4" ht="16.5" thickBot="1" x14ac:dyDescent="0.3">
      <c r="A3" s="1">
        <v>1</v>
      </c>
      <c r="B3" s="2" t="s">
        <v>53</v>
      </c>
      <c r="C3" s="31" t="s">
        <v>103</v>
      </c>
      <c r="D3" s="1" t="s">
        <v>41</v>
      </c>
    </row>
    <row r="4" spans="1:4" ht="16.5" thickBot="1" x14ac:dyDescent="0.3">
      <c r="A4" s="1">
        <v>2</v>
      </c>
      <c r="B4" s="2" t="s">
        <v>57</v>
      </c>
      <c r="C4" s="31" t="s">
        <v>103</v>
      </c>
    </row>
    <row r="5" spans="1:4" ht="16.5" thickBot="1" x14ac:dyDescent="0.3">
      <c r="A5" s="1">
        <v>3</v>
      </c>
      <c r="B5" s="2" t="s">
        <v>65</v>
      </c>
      <c r="C5" s="32" t="s">
        <v>103</v>
      </c>
    </row>
    <row r="6" spans="1:4" ht="16.5" thickBot="1" x14ac:dyDescent="0.3">
      <c r="A6" s="1">
        <v>4</v>
      </c>
      <c r="B6" s="3" t="s">
        <v>39</v>
      </c>
      <c r="C6" s="4" t="s">
        <v>40</v>
      </c>
    </row>
    <row r="7" spans="1:4" ht="16.5" thickBot="1" x14ac:dyDescent="0.3">
      <c r="A7" s="1">
        <v>5</v>
      </c>
      <c r="B7" s="3" t="s">
        <v>42</v>
      </c>
      <c r="C7" s="4" t="s">
        <v>43</v>
      </c>
    </row>
    <row r="8" spans="1:4" ht="16.5" thickBot="1" x14ac:dyDescent="0.3">
      <c r="A8" s="1">
        <v>6</v>
      </c>
      <c r="B8" s="3" t="s">
        <v>44</v>
      </c>
      <c r="C8" s="4" t="s">
        <v>45</v>
      </c>
    </row>
    <row r="9" spans="1:4" ht="16.5" thickBot="1" x14ac:dyDescent="0.3">
      <c r="A9" s="1">
        <v>7</v>
      </c>
      <c r="B9" s="3" t="s">
        <v>46</v>
      </c>
      <c r="C9" s="4" t="s">
        <v>47</v>
      </c>
    </row>
    <row r="10" spans="1:4" ht="16.5" thickBot="1" x14ac:dyDescent="0.3">
      <c r="A10" s="1">
        <v>8</v>
      </c>
      <c r="B10" s="3" t="s">
        <v>48</v>
      </c>
      <c r="C10" s="4" t="s">
        <v>49</v>
      </c>
    </row>
    <row r="11" spans="1:4" ht="16.5" thickBot="1" x14ac:dyDescent="0.3">
      <c r="A11" s="1">
        <v>9</v>
      </c>
      <c r="B11" s="3" t="s">
        <v>50</v>
      </c>
      <c r="C11" s="4" t="s">
        <v>51</v>
      </c>
    </row>
    <row r="12" spans="1:4" ht="16.5" thickBot="1" x14ac:dyDescent="0.3">
      <c r="A12" s="1">
        <v>10</v>
      </c>
      <c r="B12" s="2" t="s">
        <v>52</v>
      </c>
      <c r="C12" s="31" t="s">
        <v>103</v>
      </c>
    </row>
    <row r="13" spans="1:4" ht="16.5" thickBot="1" x14ac:dyDescent="0.3">
      <c r="A13" s="1">
        <v>11</v>
      </c>
      <c r="B13" s="2" t="s">
        <v>54</v>
      </c>
    </row>
    <row r="14" spans="1:4" ht="16.5" thickBot="1" x14ac:dyDescent="0.3">
      <c r="A14" s="1">
        <v>12</v>
      </c>
      <c r="B14" s="2" t="s">
        <v>55</v>
      </c>
    </row>
    <row r="15" spans="1:4" ht="16.5" thickBot="1" x14ac:dyDescent="0.3">
      <c r="A15" s="1">
        <v>13</v>
      </c>
      <c r="B15" s="2" t="s">
        <v>56</v>
      </c>
    </row>
    <row r="16" spans="1:4" ht="16.5" thickBot="1" x14ac:dyDescent="0.3">
      <c r="A16" s="1">
        <v>14</v>
      </c>
      <c r="B16" s="2" t="s">
        <v>58</v>
      </c>
    </row>
    <row r="17" spans="1:3" ht="16.5" thickBot="1" x14ac:dyDescent="0.3">
      <c r="A17" s="1">
        <v>15</v>
      </c>
      <c r="B17" s="2" t="s">
        <v>59</v>
      </c>
    </row>
    <row r="18" spans="1:3" ht="16.5" thickBot="1" x14ac:dyDescent="0.3">
      <c r="A18" s="1">
        <v>16</v>
      </c>
      <c r="B18" s="2" t="s">
        <v>60</v>
      </c>
    </row>
    <row r="19" spans="1:3" ht="16.5" thickBot="1" x14ac:dyDescent="0.3">
      <c r="A19" s="1">
        <v>17</v>
      </c>
      <c r="B19" s="2" t="s">
        <v>61</v>
      </c>
    </row>
    <row r="20" spans="1:3" ht="16.5" thickBot="1" x14ac:dyDescent="0.3">
      <c r="A20" s="1">
        <v>18</v>
      </c>
      <c r="B20" s="2" t="s">
        <v>62</v>
      </c>
    </row>
    <row r="21" spans="1:3" ht="16.5" thickBot="1" x14ac:dyDescent="0.3">
      <c r="A21" s="1">
        <v>19</v>
      </c>
      <c r="B21" s="2" t="s">
        <v>63</v>
      </c>
    </row>
    <row r="22" spans="1:3" ht="16.5" thickBot="1" x14ac:dyDescent="0.3">
      <c r="A22" s="1">
        <v>20</v>
      </c>
      <c r="B22" s="2" t="s">
        <v>64</v>
      </c>
    </row>
    <row r="23" spans="1:3" ht="16.5" thickBot="1" x14ac:dyDescent="0.3">
      <c r="A23" s="1">
        <v>21</v>
      </c>
      <c r="B23" s="2" t="s">
        <v>66</v>
      </c>
    </row>
    <row r="24" spans="1:3" ht="16.5" thickBot="1" x14ac:dyDescent="0.3">
      <c r="A24" s="1">
        <v>22</v>
      </c>
      <c r="B24" s="2" t="s">
        <v>67</v>
      </c>
    </row>
    <row r="25" spans="1:3" ht="16.5" thickBot="1" x14ac:dyDescent="0.3">
      <c r="A25" s="1">
        <v>23</v>
      </c>
      <c r="B25" s="2" t="s">
        <v>157</v>
      </c>
    </row>
    <row r="26" spans="1:3" ht="16.5" thickBot="1" x14ac:dyDescent="0.3">
      <c r="B26" s="2"/>
    </row>
    <row r="27" spans="1:3" ht="16.5" thickBot="1" x14ac:dyDescent="0.3">
      <c r="B27" s="2"/>
    </row>
    <row r="28" spans="1:3" ht="16.5" thickBot="1" x14ac:dyDescent="0.3">
      <c r="B28" s="2"/>
    </row>
    <row r="29" spans="1:3" ht="16.5" thickBot="1" x14ac:dyDescent="0.3">
      <c r="B29" s="2">
        <v>202</v>
      </c>
    </row>
    <row r="31" spans="1:3" ht="15.75" x14ac:dyDescent="0.25">
      <c r="B31" s="5" t="s">
        <v>68</v>
      </c>
    </row>
    <row r="32" spans="1:3" ht="15.75" x14ac:dyDescent="0.25">
      <c r="A32" s="1">
        <v>1</v>
      </c>
      <c r="B32" s="7" t="s">
        <v>69</v>
      </c>
      <c r="C32" s="6" t="s">
        <v>51</v>
      </c>
    </row>
    <row r="33" spans="1:4" ht="15.75" x14ac:dyDescent="0.25">
      <c r="A33" s="1">
        <v>2</v>
      </c>
      <c r="B33" s="7" t="s">
        <v>70</v>
      </c>
      <c r="C33" s="8" t="s">
        <v>40</v>
      </c>
    </row>
    <row r="34" spans="1:4" ht="15.75" x14ac:dyDescent="0.25">
      <c r="A34" s="1">
        <v>3</v>
      </c>
      <c r="B34" s="7" t="s">
        <v>71</v>
      </c>
      <c r="C34" s="8" t="s">
        <v>43</v>
      </c>
    </row>
    <row r="35" spans="1:4" ht="15.75" x14ac:dyDescent="0.25">
      <c r="A35" s="1">
        <v>4</v>
      </c>
      <c r="B35" s="7" t="s">
        <v>73</v>
      </c>
      <c r="C35" s="8" t="s">
        <v>72</v>
      </c>
    </row>
    <row r="36" spans="1:4" ht="15.75" x14ac:dyDescent="0.25">
      <c r="A36" s="1">
        <v>5</v>
      </c>
      <c r="B36" s="7" t="s">
        <v>75</v>
      </c>
      <c r="C36" s="8" t="s">
        <v>74</v>
      </c>
    </row>
    <row r="37" spans="1:4" ht="15.75" x14ac:dyDescent="0.25">
      <c r="A37" s="1">
        <v>6</v>
      </c>
      <c r="B37" s="7" t="s">
        <v>77</v>
      </c>
      <c r="C37" s="8" t="s">
        <v>76</v>
      </c>
    </row>
    <row r="38" spans="1:4" ht="15.75" x14ac:dyDescent="0.25">
      <c r="A38" s="1">
        <v>7</v>
      </c>
      <c r="B38" s="7" t="s">
        <v>79</v>
      </c>
      <c r="C38" s="8" t="s">
        <v>78</v>
      </c>
    </row>
    <row r="39" spans="1:4" ht="15.75" x14ac:dyDescent="0.25">
      <c r="A39" s="1">
        <v>8</v>
      </c>
      <c r="B39" s="7" t="s">
        <v>81</v>
      </c>
      <c r="C39" s="8" t="s">
        <v>80</v>
      </c>
    </row>
    <row r="40" spans="1:4" ht="15.75" x14ac:dyDescent="0.25">
      <c r="A40" s="1">
        <v>9</v>
      </c>
      <c r="B40" s="7" t="s">
        <v>82</v>
      </c>
      <c r="C40" s="8" t="s">
        <v>45</v>
      </c>
    </row>
    <row r="41" spans="1:4" ht="15.75" x14ac:dyDescent="0.25">
      <c r="A41" s="1">
        <v>10</v>
      </c>
      <c r="B41" s="7" t="s">
        <v>83</v>
      </c>
      <c r="C41" s="8" t="s">
        <v>47</v>
      </c>
      <c r="D41" s="1" t="s">
        <v>41</v>
      </c>
    </row>
    <row r="42" spans="1:4" ht="15.75" x14ac:dyDescent="0.25">
      <c r="A42" s="1">
        <v>11</v>
      </c>
      <c r="B42" s="7" t="s">
        <v>85</v>
      </c>
      <c r="C42" s="8" t="s">
        <v>84</v>
      </c>
    </row>
    <row r="43" spans="1:4" ht="15.75" x14ac:dyDescent="0.25">
      <c r="A43" s="1">
        <v>12</v>
      </c>
      <c r="B43" s="9" t="s">
        <v>87</v>
      </c>
      <c r="C43" s="8" t="s">
        <v>86</v>
      </c>
    </row>
    <row r="44" spans="1:4" ht="15.75" x14ac:dyDescent="0.25">
      <c r="A44" s="1">
        <v>13</v>
      </c>
      <c r="B44" s="11" t="s">
        <v>88</v>
      </c>
      <c r="C44" s="10" t="s">
        <v>49</v>
      </c>
    </row>
    <row r="45" spans="1:4" ht="15.75" x14ac:dyDescent="0.25">
      <c r="A45" s="1">
        <v>14</v>
      </c>
      <c r="B45" s="11" t="s">
        <v>89</v>
      </c>
    </row>
    <row r="46" spans="1:4" ht="15.75" x14ac:dyDescent="0.25">
      <c r="A46" s="1">
        <v>15</v>
      </c>
      <c r="B46" s="11" t="s">
        <v>90</v>
      </c>
    </row>
    <row r="47" spans="1:4" ht="15.75" x14ac:dyDescent="0.25">
      <c r="A47" s="1">
        <v>16</v>
      </c>
      <c r="B47" s="11" t="s">
        <v>91</v>
      </c>
    </row>
    <row r="48" spans="1:4" ht="15.75" x14ac:dyDescent="0.25">
      <c r="A48" s="1">
        <v>17</v>
      </c>
      <c r="B48" s="11" t="s">
        <v>92</v>
      </c>
    </row>
    <row r="49" spans="1:3" ht="15.75" x14ac:dyDescent="0.25">
      <c r="A49" s="1">
        <v>18</v>
      </c>
      <c r="B49" s="11" t="s">
        <v>94</v>
      </c>
      <c r="C49" s="1" t="s">
        <v>93</v>
      </c>
    </row>
    <row r="50" spans="1:3" ht="15.75" x14ac:dyDescent="0.25">
      <c r="A50" s="1">
        <v>19</v>
      </c>
      <c r="B50" s="11" t="s">
        <v>95</v>
      </c>
    </row>
    <row r="51" spans="1:3" ht="15.75" x14ac:dyDescent="0.25">
      <c r="A51" s="1">
        <v>20</v>
      </c>
      <c r="B51" s="11" t="s">
        <v>96</v>
      </c>
    </row>
    <row r="52" spans="1:3" ht="15.75" x14ac:dyDescent="0.25">
      <c r="A52" s="1">
        <v>21</v>
      </c>
      <c r="B52" s="11" t="s">
        <v>97</v>
      </c>
    </row>
    <row r="53" spans="1:3" ht="15.75" x14ac:dyDescent="0.25">
      <c r="A53" s="1">
        <v>22</v>
      </c>
      <c r="B53" s="11" t="s">
        <v>98</v>
      </c>
    </row>
    <row r="54" spans="1:3" ht="15.75" x14ac:dyDescent="0.25">
      <c r="A54" s="1">
        <v>23</v>
      </c>
      <c r="B54" s="11" t="s">
        <v>99</v>
      </c>
    </row>
    <row r="55" spans="1:3" ht="15.75" x14ac:dyDescent="0.25">
      <c r="A55" s="1">
        <v>24</v>
      </c>
      <c r="B55" s="11" t="s">
        <v>100</v>
      </c>
    </row>
    <row r="56" spans="1:3" ht="15.75" x14ac:dyDescent="0.25">
      <c r="A56" s="1">
        <v>25</v>
      </c>
      <c r="B56" s="11" t="s">
        <v>101</v>
      </c>
    </row>
    <row r="57" spans="1:3" ht="16.5" thickBot="1" x14ac:dyDescent="0.3">
      <c r="A57" s="1">
        <v>26</v>
      </c>
      <c r="B57" s="2"/>
    </row>
    <row r="58" spans="1:3" ht="16.5" thickBot="1" x14ac:dyDescent="0.3">
      <c r="B58" s="2"/>
    </row>
    <row r="59" spans="1:3" ht="15.75" x14ac:dyDescent="0.25">
      <c r="B59" s="12"/>
    </row>
    <row r="60" spans="1:3" x14ac:dyDescent="0.2">
      <c r="B60" s="1">
        <v>203</v>
      </c>
    </row>
    <row r="61" spans="1:3" ht="15.75" x14ac:dyDescent="0.25">
      <c r="B61" s="13" t="s">
        <v>102</v>
      </c>
    </row>
    <row r="62" spans="1:3" ht="15.75" x14ac:dyDescent="0.25">
      <c r="A62" s="1">
        <v>1</v>
      </c>
      <c r="B62" s="13" t="s">
        <v>104</v>
      </c>
      <c r="C62" s="14" t="s">
        <v>103</v>
      </c>
    </row>
    <row r="63" spans="1:3" ht="15.75" x14ac:dyDescent="0.25">
      <c r="A63" s="1">
        <v>2</v>
      </c>
      <c r="B63" s="13" t="s">
        <v>105</v>
      </c>
      <c r="C63" s="14" t="s">
        <v>103</v>
      </c>
    </row>
    <row r="64" spans="1:3" ht="15.75" x14ac:dyDescent="0.25">
      <c r="A64" s="1">
        <v>3</v>
      </c>
      <c r="B64" s="13" t="s">
        <v>106</v>
      </c>
      <c r="C64" s="14" t="s">
        <v>103</v>
      </c>
    </row>
    <row r="65" spans="1:4" ht="15.75" x14ac:dyDescent="0.25">
      <c r="A65" s="1">
        <v>4</v>
      </c>
      <c r="B65" s="13" t="s">
        <v>107</v>
      </c>
      <c r="C65" s="14" t="s">
        <v>103</v>
      </c>
    </row>
    <row r="66" spans="1:4" ht="15.75" x14ac:dyDescent="0.25">
      <c r="A66" s="1">
        <v>5</v>
      </c>
      <c r="B66" s="13" t="s">
        <v>108</v>
      </c>
      <c r="C66" s="14" t="s">
        <v>103</v>
      </c>
    </row>
    <row r="67" spans="1:4" ht="15.75" x14ac:dyDescent="0.25">
      <c r="A67" s="1">
        <v>6</v>
      </c>
      <c r="B67" s="13" t="s">
        <v>109</v>
      </c>
      <c r="C67" s="14" t="s">
        <v>103</v>
      </c>
    </row>
    <row r="68" spans="1:4" ht="15.75" x14ac:dyDescent="0.25">
      <c r="A68" s="1">
        <v>7</v>
      </c>
      <c r="B68" s="13" t="s">
        <v>110</v>
      </c>
      <c r="C68" s="14" t="s">
        <v>103</v>
      </c>
    </row>
    <row r="69" spans="1:4" ht="15.75" x14ac:dyDescent="0.25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75" x14ac:dyDescent="0.25">
      <c r="A70" s="1">
        <v>9</v>
      </c>
      <c r="B70" s="13" t="s">
        <v>113</v>
      </c>
      <c r="C70" s="14" t="s">
        <v>103</v>
      </c>
    </row>
    <row r="71" spans="1:4" ht="15.75" x14ac:dyDescent="0.25">
      <c r="A71" s="1">
        <v>10</v>
      </c>
      <c r="B71" s="13" t="s">
        <v>114</v>
      </c>
      <c r="C71" s="14" t="s">
        <v>103</v>
      </c>
    </row>
    <row r="72" spans="1:4" ht="15.75" x14ac:dyDescent="0.25">
      <c r="A72" s="1">
        <v>11</v>
      </c>
      <c r="B72" s="13" t="s">
        <v>115</v>
      </c>
      <c r="C72" s="14" t="s">
        <v>103</v>
      </c>
    </row>
    <row r="73" spans="1:4" ht="15.75" x14ac:dyDescent="0.25">
      <c r="A73" s="1">
        <v>12</v>
      </c>
      <c r="B73" s="13" t="s">
        <v>116</v>
      </c>
      <c r="C73" s="14" t="s">
        <v>103</v>
      </c>
    </row>
    <row r="74" spans="1:4" ht="15.75" x14ac:dyDescent="0.25">
      <c r="A74" s="1">
        <v>13</v>
      </c>
      <c r="B74" s="13" t="s">
        <v>117</v>
      </c>
      <c r="C74" s="14" t="s">
        <v>103</v>
      </c>
    </row>
    <row r="75" spans="1:4" ht="15.75" x14ac:dyDescent="0.25">
      <c r="A75" s="1">
        <v>14</v>
      </c>
      <c r="B75" s="15" t="s">
        <v>118</v>
      </c>
      <c r="C75" s="14" t="s">
        <v>103</v>
      </c>
    </row>
    <row r="76" spans="1:4" ht="15.75" x14ac:dyDescent="0.25">
      <c r="A76" s="1">
        <v>15</v>
      </c>
      <c r="B76" s="15" t="s">
        <v>119</v>
      </c>
      <c r="C76" s="16" t="s">
        <v>40</v>
      </c>
    </row>
    <row r="77" spans="1:4" ht="15.75" x14ac:dyDescent="0.25">
      <c r="A77" s="1">
        <v>16</v>
      </c>
      <c r="B77" s="17" t="s">
        <v>120</v>
      </c>
      <c r="C77" s="16" t="s">
        <v>43</v>
      </c>
    </row>
    <row r="78" spans="1:4" ht="15.75" x14ac:dyDescent="0.25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75" x14ac:dyDescent="0.25">
      <c r="A79" s="1">
        <v>18</v>
      </c>
      <c r="B79" s="15" t="s">
        <v>122</v>
      </c>
      <c r="C79" s="16" t="s">
        <v>47</v>
      </c>
    </row>
    <row r="80" spans="1:4" ht="15.75" x14ac:dyDescent="0.25">
      <c r="A80" s="1">
        <v>19</v>
      </c>
      <c r="B80" s="15" t="s">
        <v>123</v>
      </c>
      <c r="C80" s="16" t="s">
        <v>49</v>
      </c>
    </row>
    <row r="81" spans="1:3" ht="15.75" x14ac:dyDescent="0.25">
      <c r="A81" s="1">
        <v>20</v>
      </c>
      <c r="B81" s="15" t="s">
        <v>124</v>
      </c>
      <c r="C81" s="16" t="s">
        <v>51</v>
      </c>
    </row>
    <row r="82" spans="1:3" ht="15.75" x14ac:dyDescent="0.25">
      <c r="A82" s="1">
        <v>21</v>
      </c>
      <c r="B82" s="15" t="s">
        <v>125</v>
      </c>
      <c r="C82" s="16" t="s">
        <v>72</v>
      </c>
    </row>
    <row r="83" spans="1:3" ht="15.75" x14ac:dyDescent="0.25">
      <c r="A83" s="1">
        <v>22</v>
      </c>
      <c r="B83" s="15" t="s">
        <v>126</v>
      </c>
      <c r="C83" s="16" t="s">
        <v>74</v>
      </c>
    </row>
    <row r="84" spans="1:3" ht="15.75" x14ac:dyDescent="0.25">
      <c r="A84" s="1">
        <v>23</v>
      </c>
      <c r="B84" s="15" t="s">
        <v>127</v>
      </c>
      <c r="C84" s="16" t="s">
        <v>76</v>
      </c>
    </row>
    <row r="85" spans="1:3" ht="15.75" x14ac:dyDescent="0.25">
      <c r="A85" s="1">
        <v>24</v>
      </c>
      <c r="B85" s="15" t="s">
        <v>128</v>
      </c>
      <c r="C85" s="16" t="s">
        <v>78</v>
      </c>
    </row>
    <row r="86" spans="1:3" ht="15.75" x14ac:dyDescent="0.25">
      <c r="A86" s="1">
        <v>25</v>
      </c>
      <c r="B86" s="15" t="s">
        <v>129</v>
      </c>
      <c r="C86" s="16" t="s">
        <v>80</v>
      </c>
    </row>
    <row r="87" spans="1:3" ht="15.75" x14ac:dyDescent="0.25">
      <c r="A87" s="1">
        <v>26</v>
      </c>
      <c r="B87" s="15" t="s">
        <v>130</v>
      </c>
      <c r="C87" s="16" t="s">
        <v>84</v>
      </c>
    </row>
    <row r="88" spans="1:3" ht="15.75" x14ac:dyDescent="0.25">
      <c r="A88" s="1">
        <v>27</v>
      </c>
      <c r="B88" s="19"/>
      <c r="C88" s="18" t="s">
        <v>86</v>
      </c>
    </row>
    <row r="89" spans="1:3" x14ac:dyDescent="0.2">
      <c r="C89" s="14"/>
    </row>
  </sheetData>
  <customSheetViews>
    <customSheetView guid="{C5D960BD-C1A6-4228-A267-A87ADCF0AB55}" state="hidden">
      <selection activeCell="E19" sqref="E19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6C8D603E-9A1B-49F4-AEFE-06707C7BCD53}" showPageBreaks="1" state="hidden">
      <selection activeCell="E19" sqref="E19"/>
      <pageMargins left="0.75" right="0.75" top="1" bottom="1" header="0.5" footer="0.5"/>
      <pageSetup orientation="portrait" r:id="rId2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5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6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7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42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43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45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46"/>
      <headerFooter alignWithMargins="0"/>
    </customSheetView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47"/>
      <headerFooter alignWithMargins="0"/>
    </customSheetView>
    <customSheetView guid="{17400EAF-4B0B-49FE-8262-4A59DA70D10F}" state="hidden">
      <selection activeCell="E19" sqref="E19"/>
      <pageMargins left="0.75" right="0.75" top="1" bottom="1" header="0.5" footer="0.5"/>
      <pageSetup paperSize="9" orientation="portrait" r:id="rId48"/>
      <headerFooter alignWithMargins="0"/>
    </customSheetView>
  </customSheetViews>
  <phoneticPr fontId="1" type="noConversion"/>
  <pageMargins left="0.75" right="0.75" top="1" bottom="1" header="0.5" footer="0.5"/>
  <pageSetup paperSize="0" orientation="portrait" horizontalDpi="0" verticalDpi="0" copies="0" r:id="rId4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zoomScaleNormal="85" workbookViewId="0">
      <pane ySplit="2" topLeftCell="A3" activePane="bottomLeft" state="frozen"/>
      <selection pane="bottomLeft" activeCell="C8" sqref="C8"/>
    </sheetView>
  </sheetViews>
  <sheetFormatPr defaultRowHeight="12.75" outlineLevelCol="2" x14ac:dyDescent="0.2"/>
  <cols>
    <col min="1" max="1" width="4.5703125" customWidth="1"/>
    <col min="2" max="2" width="4.7109375" customWidth="1"/>
    <col min="3" max="3" width="37.28515625" customWidth="1"/>
    <col min="4" max="4" width="7" customWidth="1" outlineLevel="1"/>
    <col min="5" max="5" width="11.42578125" customWidth="1" outlineLevel="1"/>
    <col min="6" max="6" width="6.42578125" hidden="1" customWidth="1" outlineLevel="2"/>
    <col min="7" max="7" width="6.28515625" hidden="1" customWidth="1" outlineLevel="2"/>
    <col min="8" max="8" width="7" hidden="1" customWidth="1" outlineLevel="2"/>
    <col min="9" max="9" width="6.85546875" hidden="1" customWidth="1" outlineLevel="2"/>
    <col min="10" max="10" width="8.5703125" hidden="1" customWidth="1" outlineLevel="2"/>
    <col min="11" max="11" width="8" style="349" customWidth="1" outlineLevel="1" collapsed="1"/>
    <col min="13" max="13" width="7.42578125" style="349" customWidth="1"/>
    <col min="14" max="14" width="10.140625" bestFit="1" customWidth="1"/>
    <col min="15" max="15" width="13.42578125" customWidth="1"/>
    <col min="16" max="16" width="11.7109375" customWidth="1"/>
    <col min="17" max="17" width="11.28515625" style="643" customWidth="1"/>
  </cols>
  <sheetData>
    <row r="1" spans="1:17" ht="29.65" customHeight="1" thickBot="1" x14ac:dyDescent="0.25">
      <c r="C1" s="225" t="s">
        <v>319</v>
      </c>
      <c r="K1" s="596"/>
    </row>
    <row r="2" spans="1:17" ht="51.75" thickBot="1" x14ac:dyDescent="0.25">
      <c r="A2" s="605" t="s">
        <v>239</v>
      </c>
      <c r="B2" s="603" t="s">
        <v>240</v>
      </c>
      <c r="C2" s="606" t="s">
        <v>241</v>
      </c>
      <c r="D2" s="603" t="s">
        <v>242</v>
      </c>
      <c r="E2" s="609" t="s">
        <v>243</v>
      </c>
      <c r="F2" s="602" t="s">
        <v>449</v>
      </c>
      <c r="G2" s="602" t="s">
        <v>315</v>
      </c>
      <c r="H2" s="602" t="s">
        <v>316</v>
      </c>
      <c r="I2" s="602" t="s">
        <v>317</v>
      </c>
      <c r="J2" s="603" t="s">
        <v>303</v>
      </c>
      <c r="K2" s="603" t="s">
        <v>318</v>
      </c>
      <c r="L2" s="610" t="s">
        <v>156</v>
      </c>
      <c r="M2" s="607" t="s">
        <v>273</v>
      </c>
      <c r="N2" s="608"/>
    </row>
    <row r="3" spans="1:17" s="166" customFormat="1" ht="15.75" x14ac:dyDescent="0.25">
      <c r="A3" s="228">
        <v>1</v>
      </c>
      <c r="B3" s="228">
        <v>201</v>
      </c>
      <c r="C3" s="234" t="str">
        <f>'201_1'!B8</f>
        <v>Білявський Ігор Сергійович</v>
      </c>
      <c r="D3" s="213">
        <f>'201_1'!E8</f>
        <v>46</v>
      </c>
      <c r="E3" s="160">
        <f>D3</f>
        <v>46</v>
      </c>
      <c r="F3" s="217">
        <v>39.428571428571431</v>
      </c>
      <c r="G3" s="218"/>
      <c r="H3" s="217"/>
      <c r="I3" s="217"/>
      <c r="J3" s="217"/>
      <c r="K3" s="597">
        <f>'[1]КОНТР 201-203'!F4</f>
        <v>1.5526315789473684</v>
      </c>
      <c r="L3" s="215">
        <f t="shared" ref="L3:L27" si="0">IF((E3+K3)&gt;100,100,E3+K3)</f>
        <v>47.55263157894737</v>
      </c>
      <c r="M3" s="171" t="str">
        <f t="shared" ref="M3:M27" si="1">VLOOKUP(L3,ESTC,2)</f>
        <v>FX</v>
      </c>
      <c r="N3" s="817"/>
      <c r="O3" s="859">
        <v>61</v>
      </c>
      <c r="P3" s="860"/>
      <c r="Q3" s="641"/>
    </row>
    <row r="4" spans="1:17" ht="15.75" x14ac:dyDescent="0.25">
      <c r="A4" s="133">
        <v>2</v>
      </c>
      <c r="B4" s="133">
        <v>201</v>
      </c>
      <c r="C4" s="234" t="str">
        <f>'201_1'!B9</f>
        <v>Сизова Евеліна Аметівна</v>
      </c>
      <c r="D4" s="213">
        <f>'201_1'!E9</f>
        <v>54</v>
      </c>
      <c r="E4" s="160">
        <f t="shared" ref="E4:E27" si="2">D4</f>
        <v>54</v>
      </c>
      <c r="F4" s="217">
        <v>46.285714285714285</v>
      </c>
      <c r="G4" s="135"/>
      <c r="H4" s="219"/>
      <c r="I4" s="219"/>
      <c r="J4" s="219"/>
      <c r="K4" s="597">
        <f>'[1]КОНТР 201-203'!$F$24</f>
        <v>31.421052631578945</v>
      </c>
      <c r="L4" s="137">
        <f t="shared" si="0"/>
        <v>85.421052631578945</v>
      </c>
      <c r="M4" s="174" t="str">
        <f t="shared" si="1"/>
        <v>B</v>
      </c>
      <c r="N4" s="818"/>
      <c r="O4" s="859">
        <v>91</v>
      </c>
      <c r="P4" s="861"/>
    </row>
    <row r="5" spans="1:17" s="166" customFormat="1" ht="15.75" x14ac:dyDescent="0.25">
      <c r="A5" s="212">
        <v>3</v>
      </c>
      <c r="B5" s="212">
        <v>201</v>
      </c>
      <c r="C5" s="234" t="str">
        <f>'201_1'!B10</f>
        <v>Голубович Дмитро Олександрович</v>
      </c>
      <c r="D5" s="213">
        <f>'201_1'!E10</f>
        <v>29</v>
      </c>
      <c r="E5" s="160">
        <f t="shared" si="2"/>
        <v>29</v>
      </c>
      <c r="F5" s="217">
        <v>24.857142857142858</v>
      </c>
      <c r="G5" s="187"/>
      <c r="H5" s="219"/>
      <c r="I5" s="219"/>
      <c r="J5" s="219"/>
      <c r="K5" s="597">
        <f>'[1]КОНТР 201-203'!F6</f>
        <v>14.684210526315789</v>
      </c>
      <c r="L5" s="137">
        <f t="shared" si="0"/>
        <v>43.684210526315788</v>
      </c>
      <c r="M5" s="174" t="str">
        <f t="shared" si="1"/>
        <v>FX</v>
      </c>
      <c r="N5" s="818"/>
      <c r="O5" s="859">
        <v>61</v>
      </c>
      <c r="P5" s="860"/>
      <c r="Q5" s="641"/>
    </row>
    <row r="6" spans="1:17" ht="15.75" x14ac:dyDescent="0.25">
      <c r="A6" s="133">
        <v>4</v>
      </c>
      <c r="B6" s="133">
        <v>201</v>
      </c>
      <c r="C6" s="234" t="str">
        <f>'201_1'!B11</f>
        <v>Грунська Кароліна Владиславівна</v>
      </c>
      <c r="D6" s="213">
        <f>'201_1'!E11</f>
        <v>46</v>
      </c>
      <c r="E6" s="160">
        <f t="shared" si="2"/>
        <v>46</v>
      </c>
      <c r="F6" s="217">
        <v>39.428571428571431</v>
      </c>
      <c r="G6" s="135"/>
      <c r="H6" s="219"/>
      <c r="I6" s="219"/>
      <c r="J6" s="219"/>
      <c r="K6" s="597">
        <f>'[1]КОНТР 201-203'!F7</f>
        <v>21.973684210526315</v>
      </c>
      <c r="L6" s="137">
        <f t="shared" si="0"/>
        <v>67.973684210526315</v>
      </c>
      <c r="M6" s="174" t="str">
        <f t="shared" si="1"/>
        <v>D</v>
      </c>
      <c r="N6" s="862"/>
      <c r="O6" s="864">
        <v>68</v>
      </c>
      <c r="P6" s="865"/>
    </row>
    <row r="7" spans="1:17" ht="15.75" x14ac:dyDescent="0.25">
      <c r="A7" s="133">
        <v>5</v>
      </c>
      <c r="B7" s="133">
        <v>201</v>
      </c>
      <c r="C7" s="234" t="str">
        <f>'201_1'!B12</f>
        <v>Зінченко Владислав Валентинович</v>
      </c>
      <c r="D7" s="213">
        <f>'201_1'!E12</f>
        <v>63</v>
      </c>
      <c r="E7" s="160">
        <f t="shared" si="2"/>
        <v>63</v>
      </c>
      <c r="F7" s="217">
        <v>54</v>
      </c>
      <c r="G7" s="135"/>
      <c r="H7" s="219"/>
      <c r="I7" s="219"/>
      <c r="J7" s="219"/>
      <c r="K7" s="597">
        <f>'[1]КОНТР 201-203'!F8</f>
        <v>30.342105263157894</v>
      </c>
      <c r="L7" s="137">
        <f t="shared" si="0"/>
        <v>93.34210526315789</v>
      </c>
      <c r="M7" s="174" t="str">
        <f t="shared" si="1"/>
        <v>A</v>
      </c>
      <c r="N7" s="863"/>
      <c r="O7" s="866">
        <v>93</v>
      </c>
      <c r="P7" s="867"/>
    </row>
    <row r="8" spans="1:17" ht="15.75" x14ac:dyDescent="0.25">
      <c r="A8" s="133">
        <v>6</v>
      </c>
      <c r="B8" s="133">
        <v>201</v>
      </c>
      <c r="C8" s="234" t="str">
        <f>'201_1'!B13</f>
        <v>Зубченко Артем Юрійович____</v>
      </c>
      <c r="D8" s="213">
        <f>'201_1'!E13</f>
        <v>0</v>
      </c>
      <c r="E8" s="160">
        <f t="shared" si="2"/>
        <v>0</v>
      </c>
      <c r="F8" s="217">
        <v>0</v>
      </c>
      <c r="G8" s="135"/>
      <c r="H8" s="219"/>
      <c r="I8" s="219"/>
      <c r="J8" s="219"/>
      <c r="K8" s="597">
        <f>'[1]КОНТР 201-203'!F9</f>
        <v>2.0526315789473681</v>
      </c>
      <c r="L8" s="137">
        <f t="shared" si="0"/>
        <v>2.0526315789473681</v>
      </c>
      <c r="M8" s="174" t="str">
        <f t="shared" si="1"/>
        <v>F</v>
      </c>
      <c r="N8" s="863"/>
      <c r="O8" s="868"/>
      <c r="P8" s="867"/>
    </row>
    <row r="9" spans="1:17" ht="15.75" x14ac:dyDescent="0.25">
      <c r="A9" s="133">
        <v>7</v>
      </c>
      <c r="B9" s="133">
        <v>201</v>
      </c>
      <c r="C9" s="234" t="str">
        <f>'201_1'!B14</f>
        <v>Іванніков Віталій Юрійович</v>
      </c>
      <c r="D9" s="213">
        <f>'201_1'!E14</f>
        <v>0</v>
      </c>
      <c r="E9" s="160">
        <f t="shared" si="2"/>
        <v>0</v>
      </c>
      <c r="F9" s="217">
        <v>0</v>
      </c>
      <c r="G9" s="135"/>
      <c r="H9" s="219"/>
      <c r="I9" s="219"/>
      <c r="J9" s="219"/>
      <c r="K9" s="597">
        <f>'[1]КОНТР 201-203'!F10</f>
        <v>2.3421052631578947</v>
      </c>
      <c r="L9" s="137">
        <f t="shared" si="0"/>
        <v>2.3421052631578947</v>
      </c>
      <c r="M9" s="174" t="str">
        <f t="shared" si="1"/>
        <v>F</v>
      </c>
      <c r="N9" s="863"/>
      <c r="O9" s="868"/>
      <c r="P9" s="867"/>
    </row>
    <row r="10" spans="1:17" ht="15.75" x14ac:dyDescent="0.25">
      <c r="A10" s="133">
        <v>8</v>
      </c>
      <c r="B10" s="133">
        <v>201</v>
      </c>
      <c r="C10" s="234" t="str">
        <f>'201_1'!B15</f>
        <v>Коваль Олександра Віталіївна</v>
      </c>
      <c r="D10" s="213">
        <f>'201_1'!E15</f>
        <v>63</v>
      </c>
      <c r="E10" s="160">
        <f t="shared" si="2"/>
        <v>63</v>
      </c>
      <c r="F10" s="217">
        <v>54</v>
      </c>
      <c r="G10" s="135"/>
      <c r="H10" s="219"/>
      <c r="I10" s="219"/>
      <c r="J10" s="219"/>
      <c r="K10" s="597">
        <f>'[1]КОНТР 201-203'!F11</f>
        <v>16.263157894736842</v>
      </c>
      <c r="L10" s="137">
        <f t="shared" si="0"/>
        <v>79.26315789473685</v>
      </c>
      <c r="M10" s="174" t="str">
        <f t="shared" si="1"/>
        <v>C</v>
      </c>
      <c r="N10" s="863"/>
      <c r="O10" s="868">
        <v>92</v>
      </c>
      <c r="P10" s="867"/>
    </row>
    <row r="11" spans="1:17" ht="15.75" x14ac:dyDescent="0.25">
      <c r="A11" s="133">
        <v>9</v>
      </c>
      <c r="B11" s="133">
        <v>201</v>
      </c>
      <c r="C11" s="234" t="str">
        <f>'201_1'!B16</f>
        <v>Кошельна Людмила Валентинівна</v>
      </c>
      <c r="D11" s="213">
        <f>'201_1'!E16</f>
        <v>18</v>
      </c>
      <c r="E11" s="160">
        <f t="shared" si="2"/>
        <v>18</v>
      </c>
      <c r="F11" s="217">
        <v>15.428571428571429</v>
      </c>
      <c r="G11" s="135"/>
      <c r="H11" s="219"/>
      <c r="I11" s="219"/>
      <c r="J11" s="219"/>
      <c r="K11" s="597">
        <f>'[1]КОНТР 201-203'!F12</f>
        <v>18.842105263157894</v>
      </c>
      <c r="L11" s="137">
        <f t="shared" si="0"/>
        <v>36.84210526315789</v>
      </c>
      <c r="M11" s="174" t="str">
        <f t="shared" si="1"/>
        <v>FX</v>
      </c>
      <c r="N11" s="863"/>
      <c r="O11" s="866">
        <v>62</v>
      </c>
      <c r="P11" s="867"/>
    </row>
    <row r="12" spans="1:17" ht="15.75" x14ac:dyDescent="0.25">
      <c r="A12" s="133">
        <v>10</v>
      </c>
      <c r="B12" s="133">
        <v>201</v>
      </c>
      <c r="C12" s="234" t="str">
        <f>'201_1'!B17</f>
        <v>Крячко Олександр Олександрович</v>
      </c>
      <c r="D12" s="213">
        <f>'201_1'!E17</f>
        <v>1</v>
      </c>
      <c r="E12" s="160">
        <f t="shared" si="2"/>
        <v>1</v>
      </c>
      <c r="F12" s="217">
        <v>0.8571428571428571</v>
      </c>
      <c r="G12" s="135"/>
      <c r="H12" s="219"/>
      <c r="I12" s="219"/>
      <c r="J12" s="219"/>
      <c r="K12" s="597">
        <f>'[1]КОНТР 201-203'!F13</f>
        <v>2.0789473684210527</v>
      </c>
      <c r="L12" s="137">
        <f t="shared" si="0"/>
        <v>3.0789473684210527</v>
      </c>
      <c r="M12" s="174" t="str">
        <f t="shared" si="1"/>
        <v>F</v>
      </c>
      <c r="N12" s="863"/>
      <c r="O12" s="868">
        <v>62</v>
      </c>
      <c r="P12" s="867"/>
    </row>
    <row r="13" spans="1:17" ht="15.75" x14ac:dyDescent="0.25">
      <c r="A13" s="133">
        <v>11</v>
      </c>
      <c r="B13" s="133">
        <v>201</v>
      </c>
      <c r="C13" s="234" t="str">
        <f>'201_1'!B18</f>
        <v>Кулаковська Анастасія В`ячеславівна</v>
      </c>
      <c r="D13" s="213">
        <f>'201_1'!E18</f>
        <v>57</v>
      </c>
      <c r="E13" s="160">
        <f t="shared" si="2"/>
        <v>57</v>
      </c>
      <c r="F13" s="217">
        <v>48.857142857142854</v>
      </c>
      <c r="G13" s="135"/>
      <c r="H13" s="219"/>
      <c r="I13" s="219"/>
      <c r="J13" s="219"/>
      <c r="K13" s="597">
        <f>'[1]КОНТР 201-203'!F14</f>
        <v>28.868421052631579</v>
      </c>
      <c r="L13" s="137">
        <f t="shared" si="0"/>
        <v>85.868421052631575</v>
      </c>
      <c r="M13" s="174" t="str">
        <f t="shared" si="1"/>
        <v>B</v>
      </c>
      <c r="N13" s="863"/>
      <c r="O13" s="866">
        <v>91</v>
      </c>
      <c r="P13" s="867"/>
    </row>
    <row r="14" spans="1:17" ht="15.75" x14ac:dyDescent="0.25">
      <c r="A14" s="133">
        <v>12</v>
      </c>
      <c r="B14" s="133">
        <v>201</v>
      </c>
      <c r="C14" s="234" t="str">
        <f>'201_1'!B19</f>
        <v>Литвиненко Олександр Сергійович_</v>
      </c>
      <c r="D14" s="213">
        <f>'201_1'!E19</f>
        <v>0</v>
      </c>
      <c r="E14" s="160">
        <f t="shared" si="2"/>
        <v>0</v>
      </c>
      <c r="F14" s="217">
        <v>0</v>
      </c>
      <c r="G14" s="135"/>
      <c r="H14" s="219"/>
      <c r="I14" s="219"/>
      <c r="J14" s="219"/>
      <c r="K14" s="597">
        <f>'[1]КОНТР 201-203'!F15</f>
        <v>0.5</v>
      </c>
      <c r="L14" s="137">
        <f t="shared" si="0"/>
        <v>0.5</v>
      </c>
      <c r="M14" s="174" t="str">
        <f t="shared" si="1"/>
        <v>F</v>
      </c>
      <c r="N14" s="863"/>
      <c r="O14" s="868"/>
      <c r="P14" s="867"/>
    </row>
    <row r="15" spans="1:17" ht="15.75" x14ac:dyDescent="0.25">
      <c r="A15" s="133">
        <v>13</v>
      </c>
      <c r="B15" s="133">
        <v>201</v>
      </c>
      <c r="C15" s="234" t="str">
        <f>'201_1'!B20</f>
        <v>Меньков Максим Володимирович</v>
      </c>
      <c r="D15" s="213">
        <f>'201_1'!E20</f>
        <v>0</v>
      </c>
      <c r="E15" s="160">
        <f t="shared" ref="E15:E16" si="3">D15</f>
        <v>0</v>
      </c>
      <c r="F15" s="217">
        <v>0</v>
      </c>
      <c r="G15" s="135"/>
      <c r="H15" s="219"/>
      <c r="I15" s="219"/>
      <c r="J15" s="219"/>
      <c r="K15" s="597">
        <f>'[1]КОНТР 201-203'!F16</f>
        <v>1.5789473684210527</v>
      </c>
      <c r="L15" s="137">
        <f t="shared" ref="L15:L16" si="4">IF((E15+K15)&gt;100,100,E15+K15)</f>
        <v>1.5789473684210527</v>
      </c>
      <c r="M15" s="174" t="str">
        <f t="shared" ref="M15:M16" si="5">VLOOKUP(L15,ESTC,2)</f>
        <v>F</v>
      </c>
      <c r="N15" s="863"/>
      <c r="O15" s="868">
        <v>2</v>
      </c>
      <c r="P15" s="867"/>
    </row>
    <row r="16" spans="1:17" ht="15.75" x14ac:dyDescent="0.25">
      <c r="A16" s="133">
        <v>14</v>
      </c>
      <c r="B16" s="133">
        <v>201</v>
      </c>
      <c r="C16" s="234" t="str">
        <f>'201_1'!B21</f>
        <v>Мисник Інна Сергіївна</v>
      </c>
      <c r="D16" s="213">
        <f>'201_1'!E21</f>
        <v>53</v>
      </c>
      <c r="E16" s="160">
        <f t="shared" si="3"/>
        <v>53</v>
      </c>
      <c r="F16" s="217">
        <v>45.428571428571431</v>
      </c>
      <c r="G16" s="135"/>
      <c r="H16" s="219"/>
      <c r="I16" s="219"/>
      <c r="J16" s="219"/>
      <c r="K16" s="597">
        <f>'[1]КОНТР 201-203'!F17</f>
        <v>17.578947368421055</v>
      </c>
      <c r="L16" s="137">
        <f t="shared" si="4"/>
        <v>70.578947368421055</v>
      </c>
      <c r="M16" s="174" t="str">
        <f t="shared" si="5"/>
        <v>D</v>
      </c>
      <c r="N16" s="863"/>
      <c r="O16" s="866">
        <v>91</v>
      </c>
      <c r="P16" s="867"/>
    </row>
    <row r="17" spans="1:17" ht="15.75" x14ac:dyDescent="0.25">
      <c r="A17" s="133">
        <v>15</v>
      </c>
      <c r="B17" s="133">
        <v>201</v>
      </c>
      <c r="C17" s="234" t="str">
        <f>'201_2'!B9</f>
        <v>Осіпов Андрій Вікторович</v>
      </c>
      <c r="D17" s="213">
        <f>'201_2'!E9</f>
        <v>58</v>
      </c>
      <c r="E17" s="160">
        <f t="shared" si="2"/>
        <v>58</v>
      </c>
      <c r="F17" s="217">
        <v>49.714285714285715</v>
      </c>
      <c r="G17" s="135"/>
      <c r="H17" s="135"/>
      <c r="I17" s="135"/>
      <c r="J17" s="135"/>
      <c r="K17" s="597">
        <v>2</v>
      </c>
      <c r="L17" s="137">
        <f t="shared" si="0"/>
        <v>60</v>
      </c>
      <c r="M17" s="174" t="str">
        <f t="shared" si="1"/>
        <v>E</v>
      </c>
      <c r="N17" s="818"/>
      <c r="O17" s="859"/>
      <c r="P17" s="861"/>
    </row>
    <row r="18" spans="1:17" ht="15.75" x14ac:dyDescent="0.25">
      <c r="A18" s="133">
        <v>16</v>
      </c>
      <c r="B18" s="133">
        <v>201</v>
      </c>
      <c r="C18" s="234" t="str">
        <f>'201_2'!B10</f>
        <v>Остремський Владислав Вікторович</v>
      </c>
      <c r="D18" s="213">
        <f>'201_2'!E10</f>
        <v>46</v>
      </c>
      <c r="E18" s="160">
        <f t="shared" si="2"/>
        <v>46</v>
      </c>
      <c r="F18" s="217">
        <v>39.428571428571431</v>
      </c>
      <c r="G18" s="135"/>
      <c r="H18" s="135"/>
      <c r="I18" s="135"/>
      <c r="J18" s="135"/>
      <c r="K18" s="597">
        <f>'[1]КОНТР 201-203'!F19</f>
        <v>19.157894736842106</v>
      </c>
      <c r="L18" s="137">
        <f t="shared" si="0"/>
        <v>65.15789473684211</v>
      </c>
      <c r="M18" s="174" t="str">
        <f t="shared" si="1"/>
        <v>E</v>
      </c>
      <c r="N18" s="858"/>
      <c r="O18" s="641"/>
    </row>
    <row r="19" spans="1:17" ht="15.75" x14ac:dyDescent="0.25">
      <c r="A19" s="133">
        <v>17</v>
      </c>
      <c r="B19" s="133">
        <v>201</v>
      </c>
      <c r="C19" s="234" t="str">
        <f>'201_2'!B11</f>
        <v>Перевозенко Євгеній Олександрович</v>
      </c>
      <c r="D19" s="213">
        <f>'201_2'!E11</f>
        <v>50</v>
      </c>
      <c r="E19" s="160">
        <f t="shared" si="2"/>
        <v>50</v>
      </c>
      <c r="F19" s="217">
        <v>42.857142857142854</v>
      </c>
      <c r="G19" s="135"/>
      <c r="H19" s="135"/>
      <c r="I19" s="135"/>
      <c r="J19" s="135"/>
      <c r="K19" s="597">
        <f>'[1]КОНТР 201-203'!F20</f>
        <v>17.236842105263158</v>
      </c>
      <c r="L19" s="137">
        <f t="shared" si="0"/>
        <v>67.23684210526315</v>
      </c>
      <c r="M19" s="174" t="str">
        <f t="shared" si="1"/>
        <v>D</v>
      </c>
      <c r="N19" s="857"/>
      <c r="O19" s="641"/>
    </row>
    <row r="20" spans="1:17" ht="15.75" x14ac:dyDescent="0.25">
      <c r="A20" s="133">
        <v>18</v>
      </c>
      <c r="B20" s="133">
        <v>201</v>
      </c>
      <c r="C20" s="234" t="str">
        <f>'201_2'!B12</f>
        <v>Петраков Данило Валерійович</v>
      </c>
      <c r="D20" s="213">
        <f>'201_2'!E12</f>
        <v>53</v>
      </c>
      <c r="E20" s="160">
        <f t="shared" si="2"/>
        <v>53</v>
      </c>
      <c r="F20" s="217">
        <v>45.428571428571431</v>
      </c>
      <c r="G20" s="135"/>
      <c r="H20" s="135"/>
      <c r="I20" s="135"/>
      <c r="J20" s="135"/>
      <c r="K20" s="597">
        <f>'[1]КОНТР 201-203'!F21</f>
        <v>14.157894736842104</v>
      </c>
      <c r="L20" s="137">
        <f t="shared" si="0"/>
        <v>67.15789473684211</v>
      </c>
      <c r="M20" s="174" t="str">
        <f t="shared" si="1"/>
        <v>D</v>
      </c>
      <c r="N20" s="857"/>
      <c r="O20" s="641"/>
    </row>
    <row r="21" spans="1:17" ht="15.75" x14ac:dyDescent="0.25">
      <c r="A21" s="133">
        <v>19</v>
      </c>
      <c r="B21" s="133">
        <v>201</v>
      </c>
      <c r="C21" s="234" t="str">
        <f>'201_2'!B13</f>
        <v>Пурис Дмитро Ігорович</v>
      </c>
      <c r="D21" s="213">
        <f>'201_2'!E13</f>
        <v>49</v>
      </c>
      <c r="E21" s="160">
        <f t="shared" si="2"/>
        <v>49</v>
      </c>
      <c r="F21" s="217">
        <v>42</v>
      </c>
      <c r="G21" s="135"/>
      <c r="H21" s="135"/>
      <c r="I21" s="135"/>
      <c r="J21" s="135"/>
      <c r="K21" s="597">
        <f>'[1]КОНТР 201-203'!F22</f>
        <v>14.184210526315789</v>
      </c>
      <c r="L21" s="137">
        <f t="shared" si="0"/>
        <v>63.184210526315788</v>
      </c>
      <c r="M21" s="174" t="str">
        <f t="shared" si="1"/>
        <v>E</v>
      </c>
      <c r="N21" s="857"/>
      <c r="O21" s="641"/>
    </row>
    <row r="22" spans="1:17" ht="15.75" x14ac:dyDescent="0.25">
      <c r="A22" s="133">
        <v>20</v>
      </c>
      <c r="B22" s="133">
        <v>201</v>
      </c>
      <c r="C22" s="234" t="str">
        <f>'201_2'!B14</f>
        <v>Сараєв Дмитро Олексійович</v>
      </c>
      <c r="D22" s="213">
        <f>'201_2'!E14</f>
        <v>43.5</v>
      </c>
      <c r="E22" s="160">
        <f t="shared" si="2"/>
        <v>43.5</v>
      </c>
      <c r="F22" s="217">
        <v>37.285714285714285</v>
      </c>
      <c r="G22" s="135"/>
      <c r="H22" s="135"/>
      <c r="I22" s="135"/>
      <c r="J22" s="135"/>
      <c r="K22" s="597">
        <f>'[1]КОНТР 201-203'!F23</f>
        <v>16.184210526315788</v>
      </c>
      <c r="L22" s="137">
        <f t="shared" si="0"/>
        <v>59.684210526315788</v>
      </c>
      <c r="M22" s="174" t="str">
        <f t="shared" si="1"/>
        <v>FX</v>
      </c>
      <c r="N22" s="857"/>
      <c r="O22" s="641"/>
    </row>
    <row r="23" spans="1:17" ht="15.75" x14ac:dyDescent="0.25">
      <c r="A23" s="133">
        <v>21</v>
      </c>
      <c r="B23" s="133">
        <v>201</v>
      </c>
      <c r="C23" s="234" t="str">
        <f>'201_2'!B15</f>
        <v>Волошин Володимир Олександрович</v>
      </c>
      <c r="D23" s="213">
        <f>'201_2'!E15</f>
        <v>0</v>
      </c>
      <c r="E23" s="160">
        <f t="shared" si="2"/>
        <v>0</v>
      </c>
      <c r="F23" s="217">
        <v>0</v>
      </c>
      <c r="G23" s="135"/>
      <c r="H23" s="135"/>
      <c r="I23" s="135"/>
      <c r="J23" s="135"/>
      <c r="K23" s="597">
        <f>'[1]КОНТР 201-203'!$F$5</f>
        <v>0</v>
      </c>
      <c r="L23" s="137">
        <f t="shared" si="0"/>
        <v>0</v>
      </c>
      <c r="M23" s="174" t="str">
        <f t="shared" si="1"/>
        <v>F</v>
      </c>
      <c r="N23" s="818"/>
      <c r="O23" s="641"/>
    </row>
    <row r="24" spans="1:17" s="166" customFormat="1" ht="15.75" x14ac:dyDescent="0.25">
      <c r="A24" s="133">
        <v>22</v>
      </c>
      <c r="B24" s="212">
        <v>201</v>
      </c>
      <c r="C24" s="234" t="str">
        <f>'201_2'!B16</f>
        <v>Тищенко Олександр Сергійович</v>
      </c>
      <c r="D24" s="213">
        <f>'201_2'!E16</f>
        <v>51.5</v>
      </c>
      <c r="E24" s="160">
        <f t="shared" si="2"/>
        <v>51.5</v>
      </c>
      <c r="F24" s="217">
        <v>44.142857142857146</v>
      </c>
      <c r="G24" s="187"/>
      <c r="H24" s="187"/>
      <c r="I24" s="187"/>
      <c r="J24" s="187"/>
      <c r="K24" s="597">
        <f>'[1]КОНТР 201-203'!F25</f>
        <v>17.236842105263158</v>
      </c>
      <c r="L24" s="137">
        <f t="shared" si="0"/>
        <v>68.73684210526315</v>
      </c>
      <c r="M24" s="174" t="str">
        <f t="shared" si="1"/>
        <v>D</v>
      </c>
      <c r="N24" s="857"/>
      <c r="O24" s="641"/>
      <c r="Q24" s="641"/>
    </row>
    <row r="25" spans="1:17" s="166" customFormat="1" ht="15.75" x14ac:dyDescent="0.25">
      <c r="A25" s="133">
        <v>23</v>
      </c>
      <c r="B25" s="212">
        <v>201</v>
      </c>
      <c r="C25" s="234" t="str">
        <f>'201_2'!B17</f>
        <v>Ткаченко Юлія Олегівна</v>
      </c>
      <c r="D25" s="213">
        <f>'201_2'!E17</f>
        <v>65</v>
      </c>
      <c r="E25" s="160">
        <f t="shared" si="2"/>
        <v>65</v>
      </c>
      <c r="F25" s="217">
        <v>55.714285714285715</v>
      </c>
      <c r="G25" s="187"/>
      <c r="H25" s="187"/>
      <c r="I25" s="187"/>
      <c r="J25" s="187"/>
      <c r="K25" s="597">
        <f>'[1]КОНТР 201-203'!F26</f>
        <v>30.105263157894736</v>
      </c>
      <c r="L25" s="137">
        <f t="shared" si="0"/>
        <v>95.10526315789474</v>
      </c>
      <c r="M25" s="174" t="str">
        <f t="shared" si="1"/>
        <v>A</v>
      </c>
      <c r="N25" s="857"/>
      <c r="O25" s="641"/>
      <c r="Q25" s="641"/>
    </row>
    <row r="26" spans="1:17" ht="15.75" x14ac:dyDescent="0.25">
      <c r="A26" s="133">
        <v>24</v>
      </c>
      <c r="B26" s="133">
        <v>201</v>
      </c>
      <c r="C26" s="234" t="str">
        <f>'201_2'!B18</f>
        <v>Хлопко Кирило Олегович</v>
      </c>
      <c r="D26" s="213">
        <f>'201_2'!E18</f>
        <v>0</v>
      </c>
      <c r="E26" s="160">
        <f t="shared" si="2"/>
        <v>0</v>
      </c>
      <c r="F26" s="217">
        <v>0</v>
      </c>
      <c r="G26" s="135"/>
      <c r="H26" s="135"/>
      <c r="I26" s="135"/>
      <c r="J26" s="135"/>
      <c r="K26" s="597">
        <f>'[1]КОНТР 201-203'!F27</f>
        <v>0</v>
      </c>
      <c r="L26" s="137">
        <f t="shared" si="0"/>
        <v>0</v>
      </c>
      <c r="M26" s="174" t="str">
        <f t="shared" si="1"/>
        <v>F</v>
      </c>
      <c r="N26" s="818"/>
      <c r="O26" s="643"/>
    </row>
    <row r="27" spans="1:17" ht="16.5" thickBot="1" x14ac:dyDescent="0.3">
      <c r="A27" s="133">
        <v>25</v>
      </c>
      <c r="B27" s="133">
        <v>201</v>
      </c>
      <c r="C27" s="234" t="str">
        <f>'201_2'!B19</f>
        <v>Чепура Костянтин Романович</v>
      </c>
      <c r="D27" s="213">
        <f>'201_2'!E19</f>
        <v>0</v>
      </c>
      <c r="E27" s="160">
        <f t="shared" si="2"/>
        <v>0</v>
      </c>
      <c r="F27" s="217">
        <v>0</v>
      </c>
      <c r="G27" s="136"/>
      <c r="H27" s="136"/>
      <c r="I27" s="136"/>
      <c r="J27" s="136"/>
      <c r="K27" s="597">
        <f>'[1]КОНТР 201-203'!F29</f>
        <v>1.5789473684210527</v>
      </c>
      <c r="L27" s="232">
        <f t="shared" si="0"/>
        <v>1.5789473684210527</v>
      </c>
      <c r="M27" s="176" t="str">
        <f t="shared" si="1"/>
        <v>F</v>
      </c>
      <c r="N27" s="818"/>
      <c r="O27" s="643"/>
    </row>
    <row r="28" spans="1:17" ht="16.5" thickBot="1" x14ac:dyDescent="0.3">
      <c r="A28" s="133">
        <v>26</v>
      </c>
      <c r="B28" s="133">
        <v>201</v>
      </c>
      <c r="C28" s="234" t="str">
        <f>'201_2'!B20</f>
        <v>Швецов Віталій Сергійович</v>
      </c>
      <c r="D28" s="213">
        <f>'201_2'!E20</f>
        <v>51.5</v>
      </c>
      <c r="E28" s="160">
        <f t="shared" ref="E28" si="6">D28</f>
        <v>51.5</v>
      </c>
      <c r="F28" s="217">
        <v>44.142857142857146</v>
      </c>
      <c r="G28" s="136"/>
      <c r="H28" s="136"/>
      <c r="I28" s="136"/>
      <c r="J28" s="136"/>
      <c r="K28" s="597">
        <f>'[1]КОНТР 201-203'!F28</f>
        <v>10.447368421052632</v>
      </c>
      <c r="L28" s="232">
        <f t="shared" ref="L28" si="7">IF((E28+K28)&gt;100,100,E28+K28)</f>
        <v>61.94736842105263</v>
      </c>
      <c r="M28" s="176" t="str">
        <f t="shared" ref="M28" si="8">VLOOKUP(L28,ESTC,2)</f>
        <v>E</v>
      </c>
      <c r="N28" s="857"/>
      <c r="O28" s="643"/>
    </row>
    <row r="29" spans="1:17" ht="43.5" customHeight="1" thickBot="1" x14ac:dyDescent="0.25">
      <c r="A29" s="229" t="s">
        <v>239</v>
      </c>
      <c r="B29" s="161" t="s">
        <v>240</v>
      </c>
      <c r="C29" s="233" t="s">
        <v>241</v>
      </c>
      <c r="D29" s="161" t="s">
        <v>242</v>
      </c>
      <c r="E29" s="230" t="s">
        <v>243</v>
      </c>
      <c r="F29" s="602" t="s">
        <v>314</v>
      </c>
      <c r="G29" s="602" t="s">
        <v>315</v>
      </c>
      <c r="H29" s="602" t="s">
        <v>316</v>
      </c>
      <c r="I29" s="602" t="s">
        <v>317</v>
      </c>
      <c r="J29" s="603" t="s">
        <v>303</v>
      </c>
      <c r="K29" s="603" t="s">
        <v>318</v>
      </c>
      <c r="L29" s="604" t="s">
        <v>156</v>
      </c>
      <c r="M29" s="351" t="s">
        <v>273</v>
      </c>
      <c r="N29" s="231" t="s">
        <v>244</v>
      </c>
    </row>
    <row r="30" spans="1:17" ht="15.75" x14ac:dyDescent="0.25">
      <c r="A30" s="133">
        <v>1</v>
      </c>
      <c r="B30" s="134">
        <v>202</v>
      </c>
      <c r="C30" s="159" t="str">
        <f>'202_1'!B8</f>
        <v>Артеменко Віталій Валерійович</v>
      </c>
      <c r="D30" s="159">
        <f>'202_1'!E8</f>
        <v>0</v>
      </c>
      <c r="E30" s="160">
        <f t="shared" ref="E30:E56" si="9">D30</f>
        <v>0</v>
      </c>
      <c r="F30" s="217">
        <v>0</v>
      </c>
      <c r="G30" s="185"/>
      <c r="H30" s="226"/>
      <c r="I30" s="185"/>
      <c r="J30" s="185"/>
      <c r="K30" s="597">
        <f>'[1]КОНТР 201-203'!F32</f>
        <v>0</v>
      </c>
      <c r="L30" s="598">
        <f t="shared" ref="L30:L54" si="10">IF((E30+K30)&gt;100,100,E30+K30)</f>
        <v>0</v>
      </c>
      <c r="M30" s="174" t="str">
        <f t="shared" ref="M30:M54" si="11">VLOOKUP(L30,ESTC,2)</f>
        <v>F</v>
      </c>
      <c r="N30" s="624"/>
      <c r="O30" s="641"/>
      <c r="P30" s="166"/>
    </row>
    <row r="31" spans="1:17" ht="15.75" x14ac:dyDescent="0.25">
      <c r="A31" s="133">
        <v>2</v>
      </c>
      <c r="B31" s="133">
        <v>202</v>
      </c>
      <c r="C31" s="159" t="str">
        <f>'202_1'!B9</f>
        <v>Ахундов Вадим Тимурович</v>
      </c>
      <c r="D31" s="159">
        <f>'202_1'!E9</f>
        <v>70</v>
      </c>
      <c r="E31" s="160">
        <f t="shared" si="9"/>
        <v>70</v>
      </c>
      <c r="F31" s="217">
        <v>60</v>
      </c>
      <c r="G31" s="186"/>
      <c r="H31" s="227"/>
      <c r="I31" s="186"/>
      <c r="J31" s="186"/>
      <c r="K31" s="597">
        <f>'[1]КОНТР 201-203'!F33</f>
        <v>29.315789473684209</v>
      </c>
      <c r="L31" s="598">
        <f t="shared" si="10"/>
        <v>99.315789473684205</v>
      </c>
      <c r="M31" s="174" t="str">
        <f t="shared" si="11"/>
        <v>A</v>
      </c>
      <c r="N31" s="616"/>
      <c r="O31" s="641"/>
      <c r="P31" s="166"/>
    </row>
    <row r="32" spans="1:17" ht="15.75" x14ac:dyDescent="0.25">
      <c r="A32" s="133">
        <v>3</v>
      </c>
      <c r="B32" s="133">
        <v>202</v>
      </c>
      <c r="C32" s="159" t="str">
        <f>'202_1'!B10</f>
        <v>Бернацький Кирило Дмитрович</v>
      </c>
      <c r="D32" s="159">
        <f>'202_1'!E10</f>
        <v>0</v>
      </c>
      <c r="E32" s="160">
        <f t="shared" si="9"/>
        <v>0</v>
      </c>
      <c r="F32" s="217">
        <v>0</v>
      </c>
      <c r="G32" s="186"/>
      <c r="H32" s="227"/>
      <c r="I32" s="186"/>
      <c r="J32" s="186"/>
      <c r="K32" s="597">
        <f>'[1]КОНТР 201-203'!F34</f>
        <v>1.5</v>
      </c>
      <c r="L32" s="598">
        <f t="shared" si="10"/>
        <v>1.5</v>
      </c>
      <c r="M32" s="174" t="str">
        <f t="shared" si="11"/>
        <v>F</v>
      </c>
      <c r="N32" s="616"/>
      <c r="O32" s="642"/>
      <c r="P32" s="166"/>
    </row>
    <row r="33" spans="1:17" ht="15.75" x14ac:dyDescent="0.25">
      <c r="A33" s="133">
        <v>4</v>
      </c>
      <c r="B33" s="133">
        <v>202</v>
      </c>
      <c r="C33" s="159" t="str">
        <f>'202_1'!B11</f>
        <v>Бондаренко Дмитро Олександрович</v>
      </c>
      <c r="D33" s="159">
        <f>'202_1'!E11</f>
        <v>0</v>
      </c>
      <c r="E33" s="160">
        <f t="shared" si="9"/>
        <v>0</v>
      </c>
      <c r="F33" s="217">
        <v>0</v>
      </c>
      <c r="G33" s="186"/>
      <c r="H33" s="227"/>
      <c r="I33" s="186"/>
      <c r="J33" s="186"/>
      <c r="K33" s="597">
        <f>'[1]КОНТР 201-203'!F35</f>
        <v>0</v>
      </c>
      <c r="L33" s="598">
        <f t="shared" si="10"/>
        <v>0</v>
      </c>
      <c r="M33" s="174" t="str">
        <f t="shared" si="11"/>
        <v>F</v>
      </c>
      <c r="N33" s="616"/>
      <c r="O33" s="641"/>
      <c r="P33" s="166"/>
    </row>
    <row r="34" spans="1:17" ht="15.75" x14ac:dyDescent="0.25">
      <c r="A34" s="133">
        <v>5</v>
      </c>
      <c r="B34" s="133">
        <v>202</v>
      </c>
      <c r="C34" s="159" t="str">
        <f>'202_1'!B12</f>
        <v>Борисенко Владислав Дмитрович</v>
      </c>
      <c r="D34" s="159">
        <f>'202_1'!E12</f>
        <v>70</v>
      </c>
      <c r="E34" s="160">
        <f t="shared" si="9"/>
        <v>70</v>
      </c>
      <c r="F34" s="217">
        <v>60</v>
      </c>
      <c r="G34" s="186"/>
      <c r="H34" s="227"/>
      <c r="I34" s="186"/>
      <c r="J34" s="186"/>
      <c r="K34" s="597">
        <f>'[1]КОНТР 201-203'!F36</f>
        <v>28.763157894736842</v>
      </c>
      <c r="L34" s="598">
        <f t="shared" si="10"/>
        <v>98.76315789473685</v>
      </c>
      <c r="M34" s="174" t="str">
        <f t="shared" si="11"/>
        <v>A</v>
      </c>
      <c r="N34" s="616"/>
      <c r="O34" s="641"/>
      <c r="P34" s="166"/>
    </row>
    <row r="35" spans="1:17" ht="15.75" x14ac:dyDescent="0.25">
      <c r="A35" s="133">
        <v>6</v>
      </c>
      <c r="B35" s="133">
        <v>202</v>
      </c>
      <c r="C35" s="159" t="str">
        <f>'202_1'!B13</f>
        <v>Васильчук Ірина Олександрівна</v>
      </c>
      <c r="D35" s="159">
        <f>'202_1'!E13</f>
        <v>66</v>
      </c>
      <c r="E35" s="160">
        <f t="shared" si="9"/>
        <v>66</v>
      </c>
      <c r="F35" s="217">
        <v>56.571428571428569</v>
      </c>
      <c r="G35" s="186"/>
      <c r="H35" s="227"/>
      <c r="I35" s="186"/>
      <c r="J35" s="186"/>
      <c r="K35" s="597">
        <f>'[1]КОНТР 201-203'!F37</f>
        <v>26.157894736842103</v>
      </c>
      <c r="L35" s="598">
        <f t="shared" si="10"/>
        <v>92.15789473684211</v>
      </c>
      <c r="M35" s="174" t="str">
        <f t="shared" si="11"/>
        <v>A</v>
      </c>
      <c r="N35" s="616"/>
      <c r="O35" s="642"/>
      <c r="P35" s="166"/>
    </row>
    <row r="36" spans="1:17" ht="15.75" x14ac:dyDescent="0.25">
      <c r="A36" s="133">
        <v>7</v>
      </c>
      <c r="B36" s="133">
        <v>202</v>
      </c>
      <c r="C36" s="159" t="str">
        <f>'202_1'!B14</f>
        <v>Володін Дмитро Вадимович</v>
      </c>
      <c r="D36" s="159">
        <f>'202_1'!E14</f>
        <v>28</v>
      </c>
      <c r="E36" s="160">
        <f t="shared" si="9"/>
        <v>28</v>
      </c>
      <c r="F36" s="217">
        <v>24</v>
      </c>
      <c r="G36" s="186"/>
      <c r="H36" s="227"/>
      <c r="I36" s="186"/>
      <c r="J36" s="186"/>
      <c r="K36" s="597">
        <f>'[1]КОНТР 201-203'!F38</f>
        <v>16.44736842105263</v>
      </c>
      <c r="L36" s="598">
        <f t="shared" si="10"/>
        <v>44.44736842105263</v>
      </c>
      <c r="M36" s="174" t="str">
        <f t="shared" si="11"/>
        <v>FX</v>
      </c>
      <c r="N36" s="623"/>
      <c r="O36" s="641"/>
      <c r="P36" s="166"/>
    </row>
    <row r="37" spans="1:17" ht="15.75" x14ac:dyDescent="0.25">
      <c r="A37" s="133">
        <v>8</v>
      </c>
      <c r="B37" s="133">
        <v>202</v>
      </c>
      <c r="C37" s="159" t="str">
        <f>'202_1'!B15</f>
        <v>Іванова Катерина Андріївна</v>
      </c>
      <c r="D37" s="159">
        <f>'202_1'!E15</f>
        <v>70</v>
      </c>
      <c r="E37" s="160">
        <f t="shared" si="9"/>
        <v>70</v>
      </c>
      <c r="F37" s="217">
        <v>60</v>
      </c>
      <c r="G37" s="186"/>
      <c r="H37" s="227"/>
      <c r="I37" s="186"/>
      <c r="J37" s="186"/>
      <c r="K37" s="597">
        <f>'[1]КОНТР 201-203'!F39</f>
        <v>30.342105263157894</v>
      </c>
      <c r="L37" s="598">
        <f t="shared" si="10"/>
        <v>100</v>
      </c>
      <c r="M37" s="174" t="str">
        <f t="shared" si="11"/>
        <v>A</v>
      </c>
      <c r="N37" s="616"/>
      <c r="O37" s="641"/>
      <c r="P37" s="166"/>
    </row>
    <row r="38" spans="1:17" ht="15.75" x14ac:dyDescent="0.25">
      <c r="A38" s="133">
        <v>9</v>
      </c>
      <c r="B38" s="133">
        <v>202</v>
      </c>
      <c r="C38" s="159" t="str">
        <f>'202_1'!B16</f>
        <v>Ільчанінов Ілля Володимирович</v>
      </c>
      <c r="D38" s="159">
        <f>'202_1'!E16</f>
        <v>2</v>
      </c>
      <c r="E38" s="160">
        <f t="shared" si="9"/>
        <v>2</v>
      </c>
      <c r="F38" s="217">
        <v>1.7142857142857142</v>
      </c>
      <c r="G38" s="186"/>
      <c r="H38" s="227"/>
      <c r="I38" s="186"/>
      <c r="J38" s="186"/>
      <c r="K38" s="597">
        <f>'[1]КОНТР 201-203'!F40</f>
        <v>24.105263157894736</v>
      </c>
      <c r="L38" s="598">
        <f t="shared" si="10"/>
        <v>26.105263157894736</v>
      </c>
      <c r="M38" s="174" t="str">
        <f t="shared" si="11"/>
        <v>F</v>
      </c>
      <c r="N38" s="616"/>
      <c r="O38" s="642"/>
      <c r="P38" s="166"/>
    </row>
    <row r="39" spans="1:17" ht="15.75" x14ac:dyDescent="0.25">
      <c r="A39" s="133">
        <v>10</v>
      </c>
      <c r="B39" s="133">
        <v>202</v>
      </c>
      <c r="C39" s="159" t="str">
        <f>'202_1'!B17</f>
        <v>Капустін Андрій Сергійович</v>
      </c>
      <c r="D39" s="159">
        <f>'202_1'!E17</f>
        <v>0</v>
      </c>
      <c r="E39" s="160">
        <f t="shared" si="9"/>
        <v>0</v>
      </c>
      <c r="F39" s="217">
        <v>0</v>
      </c>
      <c r="G39" s="186"/>
      <c r="H39" s="227"/>
      <c r="I39" s="186"/>
      <c r="J39" s="186"/>
      <c r="K39" s="597">
        <f>'[1]КОНТР 201-203'!F41</f>
        <v>0</v>
      </c>
      <c r="L39" s="598">
        <f t="shared" si="10"/>
        <v>0</v>
      </c>
      <c r="M39" s="174" t="str">
        <f t="shared" si="11"/>
        <v>F</v>
      </c>
      <c r="N39" s="616"/>
      <c r="O39" s="642"/>
      <c r="P39" s="166"/>
    </row>
    <row r="40" spans="1:17" ht="15.75" x14ac:dyDescent="0.25">
      <c r="A40" s="133">
        <v>11</v>
      </c>
      <c r="B40" s="133">
        <v>202</v>
      </c>
      <c r="C40" s="159" t="str">
        <f>'202_1'!B18</f>
        <v>Кирлейза Софія Володимирівна</v>
      </c>
      <c r="D40" s="159">
        <f>'202_1'!E18</f>
        <v>64</v>
      </c>
      <c r="E40" s="160">
        <f t="shared" si="9"/>
        <v>64</v>
      </c>
      <c r="F40" s="217">
        <v>54.857142857142854</v>
      </c>
      <c r="G40" s="186"/>
      <c r="H40" s="227"/>
      <c r="I40" s="186"/>
      <c r="J40" s="186"/>
      <c r="K40" s="597">
        <f>'[1]КОНТР 201-203'!F42</f>
        <v>26.710526315789473</v>
      </c>
      <c r="L40" s="598">
        <f t="shared" si="10"/>
        <v>90.71052631578948</v>
      </c>
      <c r="M40" s="174" t="str">
        <f t="shared" si="11"/>
        <v>A</v>
      </c>
      <c r="N40" s="616"/>
      <c r="O40" s="641"/>
      <c r="P40" s="644"/>
    </row>
    <row r="41" spans="1:17" ht="15.75" x14ac:dyDescent="0.25">
      <c r="A41" s="133">
        <v>12</v>
      </c>
      <c r="B41" s="133">
        <v>202</v>
      </c>
      <c r="C41" s="159" t="str">
        <f>'202_1'!B19</f>
        <v>Козаченко Ростислав Сергійович</v>
      </c>
      <c r="D41" s="159">
        <f>'202_1'!E19</f>
        <v>0</v>
      </c>
      <c r="E41" s="160">
        <f t="shared" si="9"/>
        <v>0</v>
      </c>
      <c r="F41" s="217">
        <v>0</v>
      </c>
      <c r="G41" s="186"/>
      <c r="H41" s="227"/>
      <c r="I41" s="186"/>
      <c r="J41" s="186"/>
      <c r="K41" s="597">
        <f>'[1]КОНТР 201-203'!F43</f>
        <v>1.5789473684210527</v>
      </c>
      <c r="L41" s="598">
        <f t="shared" si="10"/>
        <v>1.5789473684210527</v>
      </c>
      <c r="M41" s="174" t="str">
        <f t="shared" si="11"/>
        <v>F</v>
      </c>
      <c r="N41" s="623"/>
      <c r="O41" s="641"/>
      <c r="P41" s="166"/>
    </row>
    <row r="42" spans="1:17" ht="15.75" x14ac:dyDescent="0.25">
      <c r="A42" s="133">
        <v>13</v>
      </c>
      <c r="B42" s="133">
        <v>202</v>
      </c>
      <c r="C42" s="159" t="str">
        <f>'202_1'!B20</f>
        <v>Лейзерович Роман Олегович</v>
      </c>
      <c r="D42" s="159">
        <f>'202_1'!E20</f>
        <v>66</v>
      </c>
      <c r="E42" s="160">
        <f t="shared" si="9"/>
        <v>66</v>
      </c>
      <c r="F42" s="217">
        <v>56.571428571428569</v>
      </c>
      <c r="G42" s="186"/>
      <c r="H42" s="227"/>
      <c r="I42" s="186"/>
      <c r="J42" s="186"/>
      <c r="K42" s="597">
        <f>'[1]КОНТР 201-203'!F44</f>
        <v>30.368421052631579</v>
      </c>
      <c r="L42" s="598">
        <f t="shared" si="10"/>
        <v>96.368421052631575</v>
      </c>
      <c r="M42" s="174" t="str">
        <f t="shared" si="11"/>
        <v>A</v>
      </c>
      <c r="N42" s="616"/>
      <c r="O42" s="641"/>
      <c r="P42" s="166"/>
    </row>
    <row r="43" spans="1:17" ht="15.75" x14ac:dyDescent="0.25">
      <c r="A43" s="133">
        <v>14</v>
      </c>
      <c r="B43" s="133">
        <v>202</v>
      </c>
      <c r="C43" s="159" t="str">
        <f>'202_2'!B8</f>
        <v>Лень Владислав Сергійович</v>
      </c>
      <c r="D43" s="159">
        <f>'202_2'!E8</f>
        <v>0</v>
      </c>
      <c r="E43" s="160">
        <f t="shared" si="9"/>
        <v>0</v>
      </c>
      <c r="F43" s="217">
        <v>0</v>
      </c>
      <c r="G43" s="186"/>
      <c r="H43" s="227"/>
      <c r="I43" s="186"/>
      <c r="J43" s="186"/>
      <c r="K43" s="597">
        <f>'[1]КОНТР 201-203'!F45</f>
        <v>0</v>
      </c>
      <c r="L43" s="598">
        <f t="shared" si="10"/>
        <v>0</v>
      </c>
      <c r="M43" s="174" t="str">
        <f t="shared" si="11"/>
        <v>F</v>
      </c>
      <c r="N43" s="616"/>
      <c r="O43" s="641"/>
      <c r="P43" s="641"/>
    </row>
    <row r="44" spans="1:17" ht="15.75" x14ac:dyDescent="0.25">
      <c r="A44" s="133">
        <v>15</v>
      </c>
      <c r="B44" s="133">
        <v>202</v>
      </c>
      <c r="C44" s="159" t="str">
        <f>'202_2'!B9</f>
        <v>Петренко Дмитро Андрійович</v>
      </c>
      <c r="D44" s="159">
        <f>'202_2'!E9</f>
        <v>51</v>
      </c>
      <c r="E44" s="160">
        <f t="shared" si="9"/>
        <v>51</v>
      </c>
      <c r="F44" s="217">
        <v>43.714285714285715</v>
      </c>
      <c r="G44" s="186"/>
      <c r="H44" s="227"/>
      <c r="I44" s="186"/>
      <c r="J44" s="186"/>
      <c r="K44" s="597">
        <f>'[1]КОНТР 201-203'!F46</f>
        <v>23.868421052631579</v>
      </c>
      <c r="L44" s="599">
        <f t="shared" si="10"/>
        <v>74.868421052631575</v>
      </c>
      <c r="M44" s="174" t="str">
        <f t="shared" si="11"/>
        <v>C</v>
      </c>
      <c r="N44" s="854"/>
      <c r="O44" s="641"/>
      <c r="P44" s="641"/>
    </row>
    <row r="45" spans="1:17" ht="15.75" x14ac:dyDescent="0.25">
      <c r="A45" s="133">
        <v>16</v>
      </c>
      <c r="B45" s="133">
        <v>202</v>
      </c>
      <c r="C45" s="159" t="str">
        <f>'202_2'!B10</f>
        <v>Померанцева Марія Андріївна</v>
      </c>
      <c r="D45" s="159">
        <f>'202_2'!E10</f>
        <v>46.5</v>
      </c>
      <c r="E45" s="160">
        <f t="shared" si="9"/>
        <v>46.5</v>
      </c>
      <c r="F45" s="217">
        <v>39.857142857142854</v>
      </c>
      <c r="G45" s="186"/>
      <c r="H45" s="227"/>
      <c r="I45" s="186"/>
      <c r="J45" s="186"/>
      <c r="K45" s="597">
        <f>'[1]КОНТР 201-203'!F47</f>
        <v>23.078947368421055</v>
      </c>
      <c r="L45" s="598">
        <f t="shared" si="10"/>
        <v>69.578947368421055</v>
      </c>
      <c r="M45" s="174" t="str">
        <f t="shared" si="11"/>
        <v>D</v>
      </c>
      <c r="N45" s="854"/>
      <c r="O45" s="641"/>
      <c r="P45" s="641"/>
    </row>
    <row r="46" spans="1:17" ht="15.75" x14ac:dyDescent="0.25">
      <c r="A46" s="133">
        <v>17</v>
      </c>
      <c r="B46" s="133">
        <v>202</v>
      </c>
      <c r="C46" s="159" t="str">
        <f>'202_2'!B11</f>
        <v>Пушкарьов Вадим Сергійович</v>
      </c>
      <c r="D46" s="159">
        <f>'202_2'!E11</f>
        <v>51</v>
      </c>
      <c r="E46" s="160">
        <f t="shared" si="9"/>
        <v>51</v>
      </c>
      <c r="F46" s="217">
        <v>43.714285714285715</v>
      </c>
      <c r="G46" s="186"/>
      <c r="H46" s="227"/>
      <c r="I46" s="186"/>
      <c r="J46" s="186"/>
      <c r="K46" s="597">
        <v>14</v>
      </c>
      <c r="L46" s="598">
        <f t="shared" si="10"/>
        <v>65</v>
      </c>
      <c r="M46" s="174" t="str">
        <f t="shared" si="11"/>
        <v>E</v>
      </c>
      <c r="N46" s="623"/>
      <c r="O46" s="641"/>
      <c r="P46" s="641"/>
    </row>
    <row r="47" spans="1:17" s="166" customFormat="1" ht="15.75" x14ac:dyDescent="0.25">
      <c r="A47" s="133">
        <v>18</v>
      </c>
      <c r="B47" s="212">
        <v>202</v>
      </c>
      <c r="C47" s="159" t="str">
        <f>'202_2'!B12</f>
        <v>Румянцев Максим Євгенійович</v>
      </c>
      <c r="D47" s="159">
        <f>'202_2'!E12</f>
        <v>44</v>
      </c>
      <c r="E47" s="160">
        <f t="shared" si="9"/>
        <v>44</v>
      </c>
      <c r="F47" s="217">
        <v>37.714285714285715</v>
      </c>
      <c r="G47" s="216"/>
      <c r="H47" s="227"/>
      <c r="I47" s="216"/>
      <c r="J47" s="216"/>
      <c r="K47" s="597">
        <f>'[1]КОНТР 201-203'!F49</f>
        <v>25.131578947368421</v>
      </c>
      <c r="L47" s="598">
        <f t="shared" si="10"/>
        <v>69.131578947368425</v>
      </c>
      <c r="M47" s="174" t="str">
        <f t="shared" si="11"/>
        <v>D</v>
      </c>
      <c r="N47" s="854"/>
      <c r="O47" s="641"/>
      <c r="P47" s="641"/>
      <c r="Q47" s="641"/>
    </row>
    <row r="48" spans="1:17" ht="15.75" x14ac:dyDescent="0.25">
      <c r="A48" s="133">
        <v>19</v>
      </c>
      <c r="B48" s="133">
        <v>202</v>
      </c>
      <c r="C48" s="159" t="str">
        <f>'202_2'!B13</f>
        <v>Салагор Сергій Володимирович</v>
      </c>
      <c r="D48" s="159">
        <f>'202_2'!E13</f>
        <v>37</v>
      </c>
      <c r="E48" s="160">
        <f t="shared" si="9"/>
        <v>37</v>
      </c>
      <c r="F48" s="217">
        <v>31.714285714285715</v>
      </c>
      <c r="G48" s="186"/>
      <c r="H48" s="227"/>
      <c r="I48" s="186"/>
      <c r="J48" s="186"/>
      <c r="K48" s="597">
        <f>'[1]КОНТР 201-203'!F50</f>
        <v>22.605263157894736</v>
      </c>
      <c r="L48" s="598">
        <f t="shared" si="10"/>
        <v>59.60526315789474</v>
      </c>
      <c r="M48" s="174" t="str">
        <f t="shared" si="11"/>
        <v>FX</v>
      </c>
      <c r="N48" s="854"/>
      <c r="O48" s="641"/>
      <c r="P48" s="641"/>
    </row>
    <row r="49" spans="1:16" ht="15.75" x14ac:dyDescent="0.25">
      <c r="A49" s="133">
        <v>20</v>
      </c>
      <c r="B49" s="133">
        <v>202</v>
      </c>
      <c r="C49" s="159" t="str">
        <f>'202_2'!B14</f>
        <v>Слекар Олег Сергійович</v>
      </c>
      <c r="D49" s="159">
        <f>'202_2'!E14</f>
        <v>41</v>
      </c>
      <c r="E49" s="160">
        <f t="shared" si="9"/>
        <v>41</v>
      </c>
      <c r="F49" s="217">
        <v>35.142857142857146</v>
      </c>
      <c r="G49" s="186"/>
      <c r="H49" s="227"/>
      <c r="I49" s="186"/>
      <c r="J49" s="186"/>
      <c r="K49" s="597">
        <f>'[1]КОНТР 201-203'!F51</f>
        <v>30.342105263157894</v>
      </c>
      <c r="L49" s="598">
        <f t="shared" si="10"/>
        <v>71.34210526315789</v>
      </c>
      <c r="M49" s="174" t="str">
        <f t="shared" si="11"/>
        <v>D</v>
      </c>
      <c r="N49" s="854"/>
      <c r="O49" s="641"/>
      <c r="P49" s="641"/>
    </row>
    <row r="50" spans="1:16" ht="15.75" x14ac:dyDescent="0.25">
      <c r="A50" s="133">
        <v>21</v>
      </c>
      <c r="B50" s="133">
        <v>202</v>
      </c>
      <c r="C50" s="159" t="str">
        <f>'202_2'!B15</f>
        <v>Тиховід Олександр Васильович</v>
      </c>
      <c r="D50" s="159">
        <f>'202_2'!E15</f>
        <v>59.5</v>
      </c>
      <c r="E50" s="160">
        <f t="shared" si="9"/>
        <v>59.5</v>
      </c>
      <c r="F50" s="217">
        <v>51</v>
      </c>
      <c r="G50" s="186"/>
      <c r="H50" s="227"/>
      <c r="I50" s="186"/>
      <c r="J50" s="186"/>
      <c r="K50" s="597">
        <f>'[1]КОНТР 201-203'!F52</f>
        <v>13.631578947368421</v>
      </c>
      <c r="L50" s="598">
        <f t="shared" si="10"/>
        <v>73.131578947368425</v>
      </c>
      <c r="M50" s="174" t="str">
        <f t="shared" si="11"/>
        <v>D</v>
      </c>
      <c r="N50" s="853"/>
      <c r="O50" s="641"/>
      <c r="P50" s="641"/>
    </row>
    <row r="51" spans="1:16" ht="15.75" x14ac:dyDescent="0.25">
      <c r="A51" s="133">
        <v>22</v>
      </c>
      <c r="B51" s="133">
        <v>202</v>
      </c>
      <c r="C51" s="159" t="str">
        <f>'202_2'!B16</f>
        <v>Токарєв Владислав Миколайович</v>
      </c>
      <c r="D51" s="159">
        <f>'202_2'!E16</f>
        <v>67.5</v>
      </c>
      <c r="E51" s="160">
        <f t="shared" si="9"/>
        <v>67.5</v>
      </c>
      <c r="F51" s="217">
        <v>57.857142857142854</v>
      </c>
      <c r="G51" s="186"/>
      <c r="H51" s="227"/>
      <c r="I51" s="186"/>
      <c r="J51" s="186"/>
      <c r="K51" s="597">
        <f>'[1]КОНТР 201-203'!F53</f>
        <v>24.631578947368421</v>
      </c>
      <c r="L51" s="598">
        <f t="shared" si="10"/>
        <v>92.131578947368425</v>
      </c>
      <c r="M51" s="174" t="str">
        <f t="shared" si="11"/>
        <v>A</v>
      </c>
      <c r="N51" s="854"/>
      <c r="O51" s="641"/>
      <c r="P51" s="641"/>
    </row>
    <row r="52" spans="1:16" ht="15.75" x14ac:dyDescent="0.25">
      <c r="A52" s="133">
        <v>23</v>
      </c>
      <c r="B52" s="133">
        <v>202</v>
      </c>
      <c r="C52" s="159" t="str">
        <f>'202_2'!B17</f>
        <v>Трубіна Марія Сергіївна</v>
      </c>
      <c r="D52" s="159">
        <f>'202_2'!E17</f>
        <v>51.5</v>
      </c>
      <c r="E52" s="160">
        <f t="shared" si="9"/>
        <v>51.5</v>
      </c>
      <c r="F52" s="217">
        <v>44.142857142857146</v>
      </c>
      <c r="G52" s="186"/>
      <c r="H52" s="227"/>
      <c r="I52" s="186"/>
      <c r="J52" s="186"/>
      <c r="K52" s="597">
        <f>'[1]КОНТР 201-203'!F54</f>
        <v>24.184210526315791</v>
      </c>
      <c r="L52" s="598">
        <f t="shared" si="10"/>
        <v>75.684210526315795</v>
      </c>
      <c r="M52" s="174" t="str">
        <f t="shared" si="11"/>
        <v>C</v>
      </c>
      <c r="N52" s="854"/>
      <c r="O52" s="643"/>
      <c r="P52" s="641"/>
    </row>
    <row r="53" spans="1:16" ht="15.75" x14ac:dyDescent="0.25">
      <c r="A53" s="133">
        <v>24</v>
      </c>
      <c r="B53" s="133">
        <v>202</v>
      </c>
      <c r="C53" s="159" t="str">
        <f>'202_2'!B18</f>
        <v>Федорова Валерія Костянтинівна</v>
      </c>
      <c r="D53" s="159">
        <f>'202_2'!E18</f>
        <v>0</v>
      </c>
      <c r="E53" s="160">
        <f t="shared" si="9"/>
        <v>0</v>
      </c>
      <c r="F53" s="217">
        <v>0</v>
      </c>
      <c r="G53" s="186"/>
      <c r="H53" s="186"/>
      <c r="I53" s="186"/>
      <c r="J53" s="186"/>
      <c r="K53" s="597">
        <f>'[1]КОНТР 201-203'!F55</f>
        <v>0</v>
      </c>
      <c r="L53" s="598">
        <f t="shared" si="10"/>
        <v>0</v>
      </c>
      <c r="M53" s="174" t="str">
        <f t="shared" si="11"/>
        <v>F</v>
      </c>
      <c r="N53" s="616"/>
      <c r="O53" s="643"/>
      <c r="P53" s="641"/>
    </row>
    <row r="54" spans="1:16" ht="15.75" x14ac:dyDescent="0.25">
      <c r="A54" s="133">
        <v>25</v>
      </c>
      <c r="B54" s="133">
        <v>202</v>
      </c>
      <c r="C54" s="159" t="str">
        <f>'202_2'!B19</f>
        <v>Яковенко Сергій Вікторович</v>
      </c>
      <c r="D54" s="159">
        <f>'202_2'!E19</f>
        <v>55.5</v>
      </c>
      <c r="E54" s="160">
        <f t="shared" si="9"/>
        <v>55.5</v>
      </c>
      <c r="F54" s="217">
        <v>47.571428571428569</v>
      </c>
      <c r="G54" s="186"/>
      <c r="H54" s="186"/>
      <c r="I54" s="186"/>
      <c r="J54" s="186"/>
      <c r="K54" s="597">
        <f>'[1]КОНТР 201-203'!F56</f>
        <v>24.631578947368421</v>
      </c>
      <c r="L54" s="598">
        <f t="shared" si="10"/>
        <v>80.131578947368425</v>
      </c>
      <c r="M54" s="174" t="str">
        <f t="shared" si="11"/>
        <v>C</v>
      </c>
      <c r="N54" s="854"/>
      <c r="O54" s="643"/>
      <c r="P54" s="641"/>
    </row>
    <row r="55" spans="1:16" ht="15.75" x14ac:dyDescent="0.25">
      <c r="A55" s="133">
        <v>26</v>
      </c>
      <c r="B55" s="133">
        <v>202</v>
      </c>
      <c r="C55" s="159">
        <f>'202_2'!B20</f>
        <v>0</v>
      </c>
      <c r="D55" s="159">
        <f>'202_2'!E20</f>
        <v>0</v>
      </c>
      <c r="E55" s="160">
        <f t="shared" si="9"/>
        <v>0</v>
      </c>
      <c r="F55" s="333"/>
      <c r="G55" s="186"/>
      <c r="H55" s="186"/>
      <c r="I55" s="186"/>
      <c r="J55" s="186"/>
      <c r="K55" s="597"/>
      <c r="L55" s="598"/>
      <c r="M55" s="174"/>
      <c r="N55" s="616"/>
      <c r="O55" s="643"/>
    </row>
    <row r="56" spans="1:16" ht="16.5" thickBot="1" x14ac:dyDescent="0.3">
      <c r="A56" s="133">
        <v>27</v>
      </c>
      <c r="B56" s="133">
        <v>202</v>
      </c>
      <c r="C56" s="159">
        <f>'202_2'!B21</f>
        <v>0</v>
      </c>
      <c r="D56" s="159">
        <f>'202_2'!E21</f>
        <v>0</v>
      </c>
      <c r="E56" s="160">
        <f t="shared" si="9"/>
        <v>0</v>
      </c>
      <c r="F56" s="600"/>
      <c r="G56" s="601"/>
      <c r="H56" s="601"/>
      <c r="I56" s="601"/>
      <c r="J56" s="601"/>
      <c r="K56" s="597"/>
      <c r="L56" s="598"/>
      <c r="M56" s="174"/>
      <c r="N56" s="616"/>
      <c r="O56" s="643"/>
    </row>
    <row r="57" spans="1:16" ht="44.25" customHeight="1" thickBot="1" x14ac:dyDescent="0.25">
      <c r="A57" s="229" t="s">
        <v>239</v>
      </c>
      <c r="B57" s="161" t="s">
        <v>240</v>
      </c>
      <c r="C57" s="233" t="s">
        <v>241</v>
      </c>
      <c r="D57" s="161" t="s">
        <v>242</v>
      </c>
      <c r="E57" s="230" t="s">
        <v>243</v>
      </c>
      <c r="F57" s="602" t="s">
        <v>314</v>
      </c>
      <c r="G57" s="602" t="s">
        <v>315</v>
      </c>
      <c r="H57" s="602" t="s">
        <v>316</v>
      </c>
      <c r="I57" s="602" t="s">
        <v>317</v>
      </c>
      <c r="J57" s="603" t="s">
        <v>303</v>
      </c>
      <c r="K57" s="603" t="s">
        <v>318</v>
      </c>
      <c r="L57" s="604" t="s">
        <v>156</v>
      </c>
      <c r="M57" s="351" t="s">
        <v>273</v>
      </c>
      <c r="N57" s="231" t="s">
        <v>244</v>
      </c>
    </row>
    <row r="58" spans="1:16" ht="15.75" x14ac:dyDescent="0.25">
      <c r="A58" s="133">
        <v>1</v>
      </c>
      <c r="B58" s="134">
        <v>203</v>
      </c>
      <c r="C58" s="159" t="str">
        <f>'203_1'!B8</f>
        <v>Амбросімова Юлія Сергіївна</v>
      </c>
      <c r="D58" s="159">
        <f>'203_1'!E8</f>
        <v>44</v>
      </c>
      <c r="E58" s="160">
        <f t="shared" ref="E58:E71" si="12">D58</f>
        <v>44</v>
      </c>
      <c r="F58" s="217">
        <v>37.714285714285715</v>
      </c>
      <c r="G58" s="185"/>
      <c r="H58" s="226"/>
      <c r="I58" s="185"/>
      <c r="J58" s="350"/>
      <c r="K58" s="597">
        <f>'[1]КОНТР 201-203'!F59</f>
        <v>23.078947368421055</v>
      </c>
      <c r="L58" s="137">
        <f t="shared" ref="L58:L71" si="13">IF((E58+K58)&gt;100,100,E58+K58)</f>
        <v>67.078947368421055</v>
      </c>
      <c r="M58" s="174" t="str">
        <f t="shared" ref="M58:M71" si="14">VLOOKUP(L58,ESTC,2)</f>
        <v>D</v>
      </c>
      <c r="N58" s="624"/>
    </row>
    <row r="59" spans="1:16" ht="15.75" x14ac:dyDescent="0.25">
      <c r="A59" s="133">
        <v>2</v>
      </c>
      <c r="B59" s="133">
        <v>203</v>
      </c>
      <c r="C59" s="159" t="str">
        <f>'203_1'!B9</f>
        <v>Арюпін Денис Олексійович</v>
      </c>
      <c r="D59" s="159">
        <f>'203_1'!E9</f>
        <v>63.5</v>
      </c>
      <c r="E59" s="160">
        <f t="shared" si="12"/>
        <v>63.5</v>
      </c>
      <c r="F59" s="217">
        <v>54.428571428571431</v>
      </c>
      <c r="G59" s="186"/>
      <c r="H59" s="227"/>
      <c r="I59" s="186"/>
      <c r="J59" s="186"/>
      <c r="K59" s="597">
        <f>'[1]КОНТР 201-203'!F60</f>
        <v>26.184210526315791</v>
      </c>
      <c r="L59" s="137">
        <f t="shared" si="13"/>
        <v>89.684210526315795</v>
      </c>
      <c r="M59" s="174" t="str">
        <f t="shared" si="14"/>
        <v>A</v>
      </c>
      <c r="N59" s="854"/>
    </row>
    <row r="60" spans="1:16" ht="15.75" x14ac:dyDescent="0.25">
      <c r="A60" s="133">
        <v>3</v>
      </c>
      <c r="B60" s="133">
        <v>203</v>
      </c>
      <c r="C60" s="159" t="str">
        <f>'203_1'!B10</f>
        <v>Гиль Юлія Артурівна</v>
      </c>
      <c r="D60" s="159">
        <f>'203_1'!E10</f>
        <v>45</v>
      </c>
      <c r="E60" s="160">
        <f t="shared" si="12"/>
        <v>45</v>
      </c>
      <c r="F60" s="217">
        <v>38.571428571428569</v>
      </c>
      <c r="G60" s="186"/>
      <c r="H60" s="227"/>
      <c r="I60" s="186"/>
      <c r="J60" s="186"/>
      <c r="K60" s="597">
        <f>'[1]КОНТР 201-203'!F61</f>
        <v>23.815789473684209</v>
      </c>
      <c r="L60" s="137">
        <f t="shared" si="13"/>
        <v>68.815789473684205</v>
      </c>
      <c r="M60" s="174" t="str">
        <f t="shared" si="14"/>
        <v>D</v>
      </c>
      <c r="N60" s="855"/>
    </row>
    <row r="61" spans="1:16" ht="15.75" x14ac:dyDescent="0.25">
      <c r="A61" s="133">
        <v>4</v>
      </c>
      <c r="B61" s="133">
        <v>203</v>
      </c>
      <c r="C61" s="159" t="str">
        <f>'203_1'!B11</f>
        <v>Грабар Максим Павлович</v>
      </c>
      <c r="D61" s="159">
        <f>'203_1'!E11</f>
        <v>50</v>
      </c>
      <c r="E61" s="160">
        <f t="shared" si="12"/>
        <v>50</v>
      </c>
      <c r="F61" s="217">
        <v>42.857142857142854</v>
      </c>
      <c r="G61" s="186"/>
      <c r="H61" s="227"/>
      <c r="I61" s="186"/>
      <c r="J61" s="186"/>
      <c r="K61" s="597">
        <f>'[1]КОНТР 201-203'!F62</f>
        <v>24.631578947368421</v>
      </c>
      <c r="L61" s="137">
        <f t="shared" si="13"/>
        <v>74.631578947368425</v>
      </c>
      <c r="M61" s="174" t="str">
        <f t="shared" si="14"/>
        <v>C</v>
      </c>
      <c r="N61" s="854"/>
    </row>
    <row r="62" spans="1:16" ht="15.75" x14ac:dyDescent="0.25">
      <c r="A62" s="133">
        <v>5</v>
      </c>
      <c r="B62" s="133">
        <v>203</v>
      </c>
      <c r="C62" s="159" t="str">
        <f>'203_1'!B12</f>
        <v>Демешин Дмитро Валерійович</v>
      </c>
      <c r="D62" s="159">
        <f>'203_1'!E12</f>
        <v>44</v>
      </c>
      <c r="E62" s="160">
        <f t="shared" si="12"/>
        <v>44</v>
      </c>
      <c r="F62" s="217">
        <v>37.714285714285715</v>
      </c>
      <c r="G62" s="186"/>
      <c r="H62" s="227"/>
      <c r="I62" s="186"/>
      <c r="J62" s="186"/>
      <c r="K62" s="597">
        <f>'[1]КОНТР 201-203'!F63</f>
        <v>16.815789473684212</v>
      </c>
      <c r="L62" s="137">
        <f t="shared" si="13"/>
        <v>60.815789473684212</v>
      </c>
      <c r="M62" s="174" t="str">
        <f t="shared" si="14"/>
        <v>E</v>
      </c>
      <c r="N62" s="855"/>
    </row>
    <row r="63" spans="1:16" ht="15.75" x14ac:dyDescent="0.25">
      <c r="A63" s="133">
        <v>6</v>
      </c>
      <c r="B63" s="133">
        <v>203</v>
      </c>
      <c r="C63" s="159" t="str">
        <f>'203_1'!B13</f>
        <v>Дзюба Владислав Сергійович</v>
      </c>
      <c r="D63" s="159">
        <f>'203_1'!E13</f>
        <v>53.5</v>
      </c>
      <c r="E63" s="160">
        <f t="shared" si="12"/>
        <v>53.5</v>
      </c>
      <c r="F63" s="217">
        <v>45.857142857142854</v>
      </c>
      <c r="G63" s="186"/>
      <c r="H63" s="227"/>
      <c r="I63" s="186"/>
      <c r="J63" s="186"/>
      <c r="K63" s="597">
        <f>'[1]КОНТР 201-203'!F64</f>
        <v>25.421052631578945</v>
      </c>
      <c r="L63" s="137">
        <f t="shared" si="13"/>
        <v>78.921052631578945</v>
      </c>
      <c r="M63" s="174" t="str">
        <f t="shared" si="14"/>
        <v>C</v>
      </c>
      <c r="N63" s="854"/>
    </row>
    <row r="64" spans="1:16" ht="15.75" x14ac:dyDescent="0.25">
      <c r="A64" s="133">
        <v>7</v>
      </c>
      <c r="B64" s="133">
        <v>203</v>
      </c>
      <c r="C64" s="159" t="str">
        <f>'203_1'!B14</f>
        <v>Димченко Сергій Ігорович</v>
      </c>
      <c r="D64" s="159">
        <f>'203_1'!E14</f>
        <v>40</v>
      </c>
      <c r="E64" s="160">
        <f t="shared" si="12"/>
        <v>40</v>
      </c>
      <c r="F64" s="217">
        <v>34.285714285714285</v>
      </c>
      <c r="G64" s="186"/>
      <c r="H64" s="227"/>
      <c r="I64" s="186"/>
      <c r="J64" s="186"/>
      <c r="K64" s="597">
        <f>'[1]КОНТР 201-203'!F65</f>
        <v>22.631578947368421</v>
      </c>
      <c r="L64" s="137">
        <f t="shared" si="13"/>
        <v>62.631578947368425</v>
      </c>
      <c r="M64" s="174" t="str">
        <f t="shared" si="14"/>
        <v>E</v>
      </c>
      <c r="N64" s="853"/>
    </row>
    <row r="65" spans="1:15" ht="15.75" x14ac:dyDescent="0.25">
      <c r="A65" s="133">
        <v>8</v>
      </c>
      <c r="B65" s="133">
        <v>203</v>
      </c>
      <c r="C65" s="159" t="str">
        <f>'203_1'!B15</f>
        <v>Єрещенко Іван Олександрович</v>
      </c>
      <c r="D65" s="159">
        <f>'203_1'!E15</f>
        <v>39.5</v>
      </c>
      <c r="E65" s="160">
        <f t="shared" si="12"/>
        <v>39.5</v>
      </c>
      <c r="F65" s="217">
        <v>33.857142857142854</v>
      </c>
      <c r="G65" s="186"/>
      <c r="H65" s="227"/>
      <c r="I65" s="186"/>
      <c r="J65" s="186"/>
      <c r="K65" s="597">
        <f>'[1]КОНТР 201-203'!F66</f>
        <v>22</v>
      </c>
      <c r="L65" s="615">
        <f t="shared" si="13"/>
        <v>61.5</v>
      </c>
      <c r="M65" s="174" t="str">
        <f t="shared" si="14"/>
        <v>E</v>
      </c>
      <c r="N65" s="854"/>
    </row>
    <row r="66" spans="1:15" ht="15.75" x14ac:dyDescent="0.25">
      <c r="A66" s="133">
        <v>9</v>
      </c>
      <c r="B66" s="133">
        <v>203</v>
      </c>
      <c r="C66" s="159" t="str">
        <f>'203_1'!B16</f>
        <v>Єрьомін Богдан Віталійович</v>
      </c>
      <c r="D66" s="159">
        <f>'203_1'!E16</f>
        <v>37</v>
      </c>
      <c r="E66" s="160">
        <f t="shared" si="12"/>
        <v>37</v>
      </c>
      <c r="F66" s="217">
        <v>31.714285714285715</v>
      </c>
      <c r="G66" s="186"/>
      <c r="H66" s="227"/>
      <c r="I66" s="186"/>
      <c r="J66" s="186"/>
      <c r="K66" s="597">
        <f>'[1]КОНТР 201-203'!F67</f>
        <v>23.026315789473685</v>
      </c>
      <c r="L66" s="137">
        <f t="shared" si="13"/>
        <v>60.026315789473685</v>
      </c>
      <c r="M66" s="174" t="str">
        <f t="shared" si="14"/>
        <v>E</v>
      </c>
      <c r="N66" s="855"/>
      <c r="O66" s="614"/>
    </row>
    <row r="67" spans="1:15" ht="15.75" x14ac:dyDescent="0.25">
      <c r="A67" s="133">
        <v>10</v>
      </c>
      <c r="B67" s="133">
        <v>203</v>
      </c>
      <c r="C67" s="159" t="str">
        <f>'203_1'!B17</f>
        <v>Жарук Дмитро Олександрович</v>
      </c>
      <c r="D67" s="159">
        <f>'203_1'!E17</f>
        <v>37.5</v>
      </c>
      <c r="E67" s="160">
        <f t="shared" si="12"/>
        <v>37.5</v>
      </c>
      <c r="F67" s="217">
        <v>32.142857142857146</v>
      </c>
      <c r="G67" s="186"/>
      <c r="H67" s="227"/>
      <c r="I67" s="186"/>
      <c r="J67" s="186"/>
      <c r="K67" s="597">
        <f>'[1]КОНТР 201-203'!F68</f>
        <v>24.631578947368421</v>
      </c>
      <c r="L67" s="137">
        <f t="shared" si="13"/>
        <v>62.131578947368425</v>
      </c>
      <c r="M67" s="174" t="str">
        <f t="shared" si="14"/>
        <v>E</v>
      </c>
      <c r="N67" s="854"/>
    </row>
    <row r="68" spans="1:15" ht="15.75" x14ac:dyDescent="0.25">
      <c r="A68" s="133">
        <v>11</v>
      </c>
      <c r="B68" s="133">
        <v>203</v>
      </c>
      <c r="C68" s="159" t="str">
        <f>'203_1'!B18</f>
        <v>Кащенко Дмитро Олегович</v>
      </c>
      <c r="D68" s="159">
        <f>'203_1'!E18</f>
        <v>38</v>
      </c>
      <c r="E68" s="160">
        <f t="shared" si="12"/>
        <v>38</v>
      </c>
      <c r="F68" s="217">
        <v>32.571428571428569</v>
      </c>
      <c r="G68" s="186"/>
      <c r="H68" s="227"/>
      <c r="I68" s="186"/>
      <c r="J68" s="186"/>
      <c r="K68" s="597">
        <f>'[1]КОНТР 201-203'!F69</f>
        <v>26.710526315789473</v>
      </c>
      <c r="L68" s="137">
        <f t="shared" si="13"/>
        <v>64.71052631578948</v>
      </c>
      <c r="M68" s="174" t="str">
        <f t="shared" si="14"/>
        <v>E</v>
      </c>
      <c r="N68" s="855"/>
    </row>
    <row r="69" spans="1:15" ht="15.75" x14ac:dyDescent="0.25">
      <c r="A69" s="133">
        <v>12</v>
      </c>
      <c r="B69" s="133">
        <v>203</v>
      </c>
      <c r="C69" s="159" t="str">
        <f>'203_1'!B19</f>
        <v>Костріков Ігор Сергійович</v>
      </c>
      <c r="D69" s="159">
        <f>'203_1'!E19</f>
        <v>24</v>
      </c>
      <c r="E69" s="160">
        <f t="shared" si="12"/>
        <v>24</v>
      </c>
      <c r="F69" s="217">
        <v>0</v>
      </c>
      <c r="G69" s="186"/>
      <c r="H69" s="227"/>
      <c r="I69" s="186"/>
      <c r="J69" s="186"/>
      <c r="K69" s="597">
        <f>'[1]КОНТР 201-203'!F70</f>
        <v>1.5789473684210527</v>
      </c>
      <c r="L69" s="137">
        <f t="shared" si="13"/>
        <v>25.578947368421051</v>
      </c>
      <c r="M69" s="174" t="str">
        <f t="shared" si="14"/>
        <v>F</v>
      </c>
      <c r="N69" s="623"/>
    </row>
    <row r="70" spans="1:15" ht="15.75" x14ac:dyDescent="0.25">
      <c r="A70" s="133">
        <v>13</v>
      </c>
      <c r="B70" s="133">
        <v>203</v>
      </c>
      <c r="C70" s="159" t="str">
        <f>'203_1'!B20</f>
        <v>Боренко</v>
      </c>
      <c r="D70" s="159">
        <f>'203_1'!E20</f>
        <v>0</v>
      </c>
      <c r="E70" s="160">
        <f t="shared" si="12"/>
        <v>0</v>
      </c>
      <c r="F70" s="217">
        <v>0</v>
      </c>
      <c r="G70" s="186"/>
      <c r="H70" s="227"/>
      <c r="I70" s="186"/>
      <c r="J70" s="186"/>
      <c r="K70" s="597"/>
      <c r="L70" s="137">
        <f t="shared" ref="L70" si="15">IF((E70+K70)&gt;100,100,E70+K70)</f>
        <v>0</v>
      </c>
      <c r="M70" s="174" t="str">
        <f t="shared" ref="M70" si="16">VLOOKUP(L70,ESTC,2)</f>
        <v>F</v>
      </c>
      <c r="N70" s="616"/>
    </row>
    <row r="71" spans="1:15" ht="15.75" x14ac:dyDescent="0.25">
      <c r="A71" s="133">
        <v>14</v>
      </c>
      <c r="B71" s="133">
        <v>203</v>
      </c>
      <c r="C71" s="159" t="str">
        <f>'203_2'!B8</f>
        <v>Лавриненко Світлана Володимирівна</v>
      </c>
      <c r="D71" s="159">
        <f>'203_2'!E8</f>
        <v>49.5</v>
      </c>
      <c r="E71" s="160">
        <f t="shared" si="12"/>
        <v>49.5</v>
      </c>
      <c r="F71" s="217">
        <v>42.428571428571431</v>
      </c>
      <c r="G71" s="186"/>
      <c r="H71" s="227"/>
      <c r="I71" s="186"/>
      <c r="J71" s="186"/>
      <c r="K71" s="597">
        <f>'[1]КОНТР 201-203'!F71</f>
        <v>25.131578947368421</v>
      </c>
      <c r="L71" s="137">
        <f t="shared" si="13"/>
        <v>74.631578947368425</v>
      </c>
      <c r="M71" s="174" t="str">
        <f t="shared" si="14"/>
        <v>C</v>
      </c>
      <c r="N71" s="854"/>
    </row>
    <row r="72" spans="1:15" ht="15.75" x14ac:dyDescent="0.25">
      <c r="A72" s="133">
        <v>15</v>
      </c>
      <c r="B72" s="133">
        <v>204</v>
      </c>
      <c r="C72" s="159" t="str">
        <f>'203_2'!B9</f>
        <v>Лебедь Сергій Костянтинович</v>
      </c>
      <c r="D72" s="159">
        <f>'203_2'!E9</f>
        <v>0</v>
      </c>
      <c r="E72" s="160">
        <f t="shared" ref="E72:E84" si="17">D72</f>
        <v>0</v>
      </c>
      <c r="F72" s="217">
        <v>0</v>
      </c>
      <c r="G72" s="186"/>
      <c r="H72" s="227"/>
      <c r="I72" s="186"/>
      <c r="J72" s="186"/>
      <c r="K72" s="597">
        <f>'[1]КОНТР 201-203'!F72</f>
        <v>0</v>
      </c>
      <c r="L72" s="137">
        <f t="shared" ref="L72:L84" si="18">IF((E72+K72)&gt;100,100,E72+K72)</f>
        <v>0</v>
      </c>
      <c r="M72" s="174" t="str">
        <f t="shared" ref="M72:M84" si="19">VLOOKUP(L72,ESTC,2)</f>
        <v>F</v>
      </c>
      <c r="N72" s="616"/>
    </row>
    <row r="73" spans="1:15" ht="15.75" x14ac:dyDescent="0.25">
      <c r="A73" s="133">
        <v>16</v>
      </c>
      <c r="B73" s="133">
        <v>205</v>
      </c>
      <c r="C73" s="159" t="str">
        <f>'203_2'!B10</f>
        <v>МанакОва Світлана Сергіївна</v>
      </c>
      <c r="D73" s="159">
        <f>'203_2'!E10</f>
        <v>0</v>
      </c>
      <c r="E73" s="160">
        <f t="shared" si="17"/>
        <v>0</v>
      </c>
      <c r="F73" s="217">
        <v>0</v>
      </c>
      <c r="G73" s="186"/>
      <c r="H73" s="227"/>
      <c r="I73" s="186"/>
      <c r="J73" s="186"/>
      <c r="K73" s="597">
        <f>'[1]КОНТР 201-203'!F73</f>
        <v>2.6052631578947367</v>
      </c>
      <c r="L73" s="137">
        <f t="shared" si="18"/>
        <v>2.6052631578947367</v>
      </c>
      <c r="M73" s="174" t="str">
        <f t="shared" si="19"/>
        <v>F</v>
      </c>
      <c r="N73" s="616"/>
    </row>
    <row r="74" spans="1:15" ht="15.75" x14ac:dyDescent="0.25">
      <c r="A74" s="133">
        <v>17</v>
      </c>
      <c r="B74" s="133">
        <v>206</v>
      </c>
      <c r="C74" s="159" t="str">
        <f>'203_2'!B11</f>
        <v>Морозов Костянтин Юрійович</v>
      </c>
      <c r="D74" s="159">
        <f>'203_2'!E11</f>
        <v>56</v>
      </c>
      <c r="E74" s="160">
        <f t="shared" si="17"/>
        <v>56</v>
      </c>
      <c r="F74" s="217">
        <v>48</v>
      </c>
      <c r="G74" s="186"/>
      <c r="H74" s="227"/>
      <c r="I74" s="186"/>
      <c r="J74" s="186"/>
      <c r="K74" s="597">
        <f>'[1]КОНТР 201-203'!F74</f>
        <v>18.815789473684212</v>
      </c>
      <c r="L74" s="137">
        <f t="shared" si="18"/>
        <v>74.81578947368422</v>
      </c>
      <c r="M74" s="174" t="str">
        <f t="shared" si="19"/>
        <v>C</v>
      </c>
      <c r="N74" s="854"/>
    </row>
    <row r="75" spans="1:15" ht="15.75" x14ac:dyDescent="0.25">
      <c r="A75" s="133">
        <v>18</v>
      </c>
      <c r="B75" s="133">
        <v>207</v>
      </c>
      <c r="C75" s="159" t="str">
        <f>'203_2'!B12</f>
        <v>Нечахін Владислав Володимирович</v>
      </c>
      <c r="D75" s="159">
        <f>'203_2'!E12</f>
        <v>39</v>
      </c>
      <c r="E75" s="160">
        <f t="shared" si="17"/>
        <v>39</v>
      </c>
      <c r="F75" s="217">
        <v>33.428571428571431</v>
      </c>
      <c r="G75" s="186"/>
      <c r="H75" s="227"/>
      <c r="I75" s="186"/>
      <c r="J75" s="186"/>
      <c r="K75" s="597">
        <f>'[1]КОНТР 201-203'!F75</f>
        <v>26.184210526315791</v>
      </c>
      <c r="L75" s="137">
        <f t="shared" si="18"/>
        <v>65.184210526315795</v>
      </c>
      <c r="M75" s="174" t="str">
        <f t="shared" si="19"/>
        <v>E</v>
      </c>
      <c r="N75" s="854"/>
    </row>
    <row r="76" spans="1:15" ht="15.75" x14ac:dyDescent="0.25">
      <c r="A76" s="133">
        <v>19</v>
      </c>
      <c r="B76" s="133">
        <v>208</v>
      </c>
      <c r="C76" s="159" t="str">
        <f>'203_2'!B13</f>
        <v>Обухова Катерина Олександрівна</v>
      </c>
      <c r="D76" s="159">
        <f>'203_2'!E13</f>
        <v>59.5</v>
      </c>
      <c r="E76" s="160">
        <f t="shared" si="17"/>
        <v>59.5</v>
      </c>
      <c r="F76" s="217">
        <v>51</v>
      </c>
      <c r="G76" s="186"/>
      <c r="H76" s="227"/>
      <c r="I76" s="186"/>
      <c r="J76" s="186"/>
      <c r="K76" s="597">
        <f>'[1]КОНТР 201-203'!F76</f>
        <v>25.868421052631579</v>
      </c>
      <c r="L76" s="137">
        <f t="shared" si="18"/>
        <v>85.368421052631575</v>
      </c>
      <c r="M76" s="174" t="str">
        <f t="shared" si="19"/>
        <v>B</v>
      </c>
      <c r="N76" s="854"/>
    </row>
    <row r="77" spans="1:15" ht="15.75" x14ac:dyDescent="0.25">
      <c r="A77" s="133">
        <v>20</v>
      </c>
      <c r="B77" s="133">
        <v>209</v>
      </c>
      <c r="C77" s="159" t="str">
        <f>'203_2'!B14</f>
        <v>Піскун Марія Віталіївна</v>
      </c>
      <c r="D77" s="159">
        <f>'203_2'!E14</f>
        <v>0</v>
      </c>
      <c r="E77" s="160">
        <f t="shared" si="17"/>
        <v>0</v>
      </c>
      <c r="F77" s="217">
        <v>0</v>
      </c>
      <c r="G77" s="186"/>
      <c r="H77" s="227"/>
      <c r="I77" s="186"/>
      <c r="J77" s="186"/>
      <c r="K77" s="597">
        <f>'[1]КОНТР 201-203'!F77</f>
        <v>0.5</v>
      </c>
      <c r="L77" s="137">
        <f t="shared" si="18"/>
        <v>0.5</v>
      </c>
      <c r="M77" s="174" t="str">
        <f t="shared" si="19"/>
        <v>F</v>
      </c>
      <c r="N77" s="616"/>
    </row>
    <row r="78" spans="1:15" ht="15.75" x14ac:dyDescent="0.25">
      <c r="A78" s="133">
        <v>21</v>
      </c>
      <c r="B78" s="133">
        <v>210</v>
      </c>
      <c r="C78" s="159" t="str">
        <f>'203_2'!B15</f>
        <v>Поліщук Владислав Ігорович</v>
      </c>
      <c r="D78" s="159">
        <f>'203_2'!E15</f>
        <v>0</v>
      </c>
      <c r="E78" s="160">
        <f t="shared" si="17"/>
        <v>0</v>
      </c>
      <c r="F78" s="217">
        <v>0</v>
      </c>
      <c r="G78" s="186"/>
      <c r="H78" s="227"/>
      <c r="I78" s="186"/>
      <c r="J78" s="186"/>
      <c r="K78" s="597">
        <f>'[1]КОНТР 201-203'!F78</f>
        <v>0.5</v>
      </c>
      <c r="L78" s="137">
        <f t="shared" si="18"/>
        <v>0.5</v>
      </c>
      <c r="M78" s="174" t="str">
        <f t="shared" si="19"/>
        <v>F</v>
      </c>
      <c r="N78" s="616"/>
    </row>
    <row r="79" spans="1:15" ht="15.75" x14ac:dyDescent="0.25">
      <c r="A79" s="133">
        <v>22</v>
      </c>
      <c r="B79" s="133">
        <v>211</v>
      </c>
      <c r="C79" s="159" t="str">
        <f>'203_2'!B16</f>
        <v>Радукан Олексій Мавлонович</v>
      </c>
      <c r="D79" s="159">
        <f>'203_2'!E16</f>
        <v>0</v>
      </c>
      <c r="E79" s="160">
        <f t="shared" si="17"/>
        <v>0</v>
      </c>
      <c r="F79" s="217">
        <v>0</v>
      </c>
      <c r="G79" s="186"/>
      <c r="H79" s="227"/>
      <c r="I79" s="186"/>
      <c r="J79" s="186"/>
      <c r="K79" s="597">
        <f>'[1]КОНТР 201-203'!F79</f>
        <v>0.5</v>
      </c>
      <c r="L79" s="137">
        <f t="shared" si="18"/>
        <v>0.5</v>
      </c>
      <c r="M79" s="174" t="str">
        <f t="shared" si="19"/>
        <v>F</v>
      </c>
      <c r="N79" s="616"/>
    </row>
    <row r="80" spans="1:15" ht="15.75" x14ac:dyDescent="0.25">
      <c r="A80" s="133">
        <v>23</v>
      </c>
      <c r="B80" s="133">
        <v>212</v>
      </c>
      <c r="C80" s="159" t="str">
        <f>'203_2'!B17</f>
        <v>Сова Іван Михайлович</v>
      </c>
      <c r="D80" s="159">
        <f>'203_2'!E17</f>
        <v>36</v>
      </c>
      <c r="E80" s="160">
        <f t="shared" si="17"/>
        <v>36</v>
      </c>
      <c r="F80" s="217">
        <v>30.857142857142858</v>
      </c>
      <c r="G80" s="186"/>
      <c r="H80" s="227"/>
      <c r="I80" s="186"/>
      <c r="J80" s="186"/>
      <c r="K80" s="597">
        <f>'[1]КОНТР 201-203'!F80</f>
        <v>26.184210526315791</v>
      </c>
      <c r="L80" s="137">
        <f t="shared" si="18"/>
        <v>62.184210526315795</v>
      </c>
      <c r="M80" s="174" t="str">
        <f t="shared" si="19"/>
        <v>E</v>
      </c>
      <c r="N80" s="855"/>
    </row>
    <row r="81" spans="1:14" ht="15.75" x14ac:dyDescent="0.25">
      <c r="A81" s="133">
        <v>24</v>
      </c>
      <c r="B81" s="133">
        <v>213</v>
      </c>
      <c r="C81" s="159" t="str">
        <f>'203_2'!B18</f>
        <v>Соколюк Антон Вікторович</v>
      </c>
      <c r="D81" s="159">
        <f>'203_2'!E18</f>
        <v>45</v>
      </c>
      <c r="E81" s="160">
        <f t="shared" si="17"/>
        <v>45</v>
      </c>
      <c r="F81" s="217">
        <v>38.571428571428569</v>
      </c>
      <c r="G81" s="186"/>
      <c r="H81" s="227"/>
      <c r="I81" s="186"/>
      <c r="J81" s="186"/>
      <c r="K81" s="597">
        <f>'[1]КОНТР 201-203'!F81</f>
        <v>23.289473684210527</v>
      </c>
      <c r="L81" s="137">
        <f t="shared" si="18"/>
        <v>68.28947368421052</v>
      </c>
      <c r="M81" s="174" t="str">
        <f t="shared" si="19"/>
        <v>D</v>
      </c>
      <c r="N81" s="854"/>
    </row>
    <row r="82" spans="1:14" ht="15.75" x14ac:dyDescent="0.25">
      <c r="A82" s="133">
        <v>25</v>
      </c>
      <c r="B82" s="133">
        <v>214</v>
      </c>
      <c r="C82" s="159" t="str">
        <f>'203_2'!B19</f>
        <v>Тихонов Дмитро Олександрович</v>
      </c>
      <c r="D82" s="159">
        <f>'203_2'!E19</f>
        <v>2</v>
      </c>
      <c r="E82" s="160">
        <f t="shared" si="17"/>
        <v>2</v>
      </c>
      <c r="F82" s="217">
        <v>1.7142857142857142</v>
      </c>
      <c r="G82" s="186"/>
      <c r="H82" s="227"/>
      <c r="I82" s="186"/>
      <c r="J82" s="186"/>
      <c r="K82" s="597">
        <f>'[1]КОНТР 201-203'!F82</f>
        <v>1.5789473684210527</v>
      </c>
      <c r="L82" s="137">
        <f t="shared" si="18"/>
        <v>3.5789473684210527</v>
      </c>
      <c r="M82" s="174" t="str">
        <f t="shared" si="19"/>
        <v>F</v>
      </c>
      <c r="N82" s="616"/>
    </row>
    <row r="83" spans="1:14" ht="15.75" x14ac:dyDescent="0.25">
      <c r="A83" s="133">
        <v>26</v>
      </c>
      <c r="B83" s="133">
        <v>215</v>
      </c>
      <c r="C83" s="159" t="str">
        <f>'203_2'!B20</f>
        <v>Юрчак Владислав Вікторович</v>
      </c>
      <c r="D83" s="159">
        <f>'203_2'!E20</f>
        <v>37</v>
      </c>
      <c r="E83" s="160">
        <f t="shared" si="17"/>
        <v>37</v>
      </c>
      <c r="F83" s="217">
        <v>31.714285714285715</v>
      </c>
      <c r="G83" s="186"/>
      <c r="H83" s="227"/>
      <c r="I83" s="186"/>
      <c r="J83" s="186"/>
      <c r="K83" s="597">
        <f>'[1]КОНТР 201-203'!F83</f>
        <v>24.421052631578945</v>
      </c>
      <c r="L83" s="137">
        <f t="shared" si="18"/>
        <v>61.421052631578945</v>
      </c>
      <c r="M83" s="174" t="str">
        <f t="shared" si="19"/>
        <v>E</v>
      </c>
      <c r="N83" s="616"/>
    </row>
    <row r="84" spans="1:14" ht="15.75" x14ac:dyDescent="0.25">
      <c r="A84" s="133">
        <v>27</v>
      </c>
      <c r="B84" s="133">
        <v>216</v>
      </c>
      <c r="C84" s="159">
        <f>'203_2'!B21</f>
        <v>0</v>
      </c>
      <c r="D84" s="159">
        <f>'203_2'!E21</f>
        <v>0</v>
      </c>
      <c r="E84" s="160">
        <f t="shared" si="17"/>
        <v>0</v>
      </c>
      <c r="F84" s="333"/>
      <c r="G84" s="186"/>
      <c r="H84" s="227"/>
      <c r="I84" s="186"/>
      <c r="J84" s="186"/>
      <c r="K84" s="597"/>
      <c r="L84" s="137">
        <f t="shared" si="18"/>
        <v>0</v>
      </c>
      <c r="M84" s="174" t="str">
        <f t="shared" si="19"/>
        <v>F</v>
      </c>
      <c r="N84" s="616"/>
    </row>
  </sheetData>
  <customSheetViews>
    <customSheetView guid="{C5D960BD-C1A6-4228-A267-A87ADCF0AB55}" hiddenColumns="1">
      <pane ySplit="2" topLeftCell="A3" activePane="bottomLeft" state="frozen"/>
      <selection pane="bottomLeft" activeCell="C8" sqref="C8"/>
      <pageMargins left="0.75" right="0.75" top="1" bottom="1" header="0.5" footer="0.5"/>
      <pageSetup paperSize="9" orientation="portrait" horizontalDpi="4294967293" verticalDpi="0" r:id="rId1"/>
      <headerFooter alignWithMargins="0"/>
    </customSheetView>
    <customSheetView guid="{6C8D603E-9A1B-49F4-AEFE-06707C7BCD53}" showPageBreaks="1" topLeftCell="A28">
      <selection activeCell="L41" sqref="L41"/>
      <pageMargins left="0.75" right="0.75" top="1" bottom="1" header="0.5" footer="0.5"/>
      <pageSetup paperSize="9" orientation="portrait" horizontalDpi="4294967293" r:id="rId2"/>
      <headerFooter alignWithMargins="0"/>
    </customSheetView>
    <customSheetView guid="{1C44C54F-C0A4-451D-B8A0-B8C17D7E284D}">
      <pane ySplit="2" topLeftCell="A3" activePane="bottomLeft" state="frozen"/>
      <selection pane="bottomLeft" activeCell="C2" sqref="C2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4BCF288A-A595-4C42-82E7-535EDC2AC415}" topLeftCell="A60">
      <selection activeCell="L89" sqref="L89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5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6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7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13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14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15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16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7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8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9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20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25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26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27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28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29"/>
      <headerFooter alignWithMargins="0"/>
    </customSheetView>
    <customSheetView guid="{C2F30B35-D639-4BB4-A50F-41AB6A913442}" topLeftCell="D1">
      <selection activeCell="N27" sqref="N27"/>
      <pageMargins left="0.75" right="0.75" top="1" bottom="1" header="0.5" footer="0.5"/>
      <pageSetup paperSize="9" orientation="portrait" horizontalDpi="4294967293" r:id="rId30"/>
      <headerFooter alignWithMargins="0"/>
    </customSheetView>
    <customSheetView guid="{17400EAF-4B0B-49FE-8262-4A59DA70D10F}">
      <selection activeCell="P34" sqref="P34"/>
      <pageMargins left="0.75" right="0.75" top="1" bottom="1" header="0.5" footer="0.5"/>
      <pageSetup paperSize="9" orientation="portrait" horizontalDpi="4294967293" r:id="rId31"/>
      <headerFooter alignWithMargins="0"/>
    </customSheetView>
  </customSheetViews>
  <phoneticPr fontId="0" type="noConversion"/>
  <conditionalFormatting sqref="E3:E28 E30:E56">
    <cfRule type="cellIs" dxfId="23" priority="9" operator="greaterThanOrEqual">
      <formula>20</formula>
    </cfRule>
    <cfRule type="cellIs" dxfId="22" priority="10" stopIfTrue="1" operator="lessThan">
      <formula>20</formula>
    </cfRule>
  </conditionalFormatting>
  <conditionalFormatting sqref="L2:L28 L30:L56">
    <cfRule type="cellIs" dxfId="21" priority="11" stopIfTrue="1" operator="lessThan">
      <formula>59.5</formula>
    </cfRule>
    <cfRule type="cellIs" dxfId="20" priority="12" stopIfTrue="1" operator="greaterThanOrEqual">
      <formula>59.5</formula>
    </cfRule>
  </conditionalFormatting>
  <conditionalFormatting sqref="L29">
    <cfRule type="cellIs" dxfId="19" priority="7" stopIfTrue="1" operator="lessThan">
      <formula>60</formula>
    </cfRule>
    <cfRule type="cellIs" dxfId="18" priority="8" stopIfTrue="1" operator="greaterThanOrEqual">
      <formula>60</formula>
    </cfRule>
  </conditionalFormatting>
  <conditionalFormatting sqref="E58:E84">
    <cfRule type="cellIs" dxfId="17" priority="3" operator="greaterThanOrEqual">
      <formula>20</formula>
    </cfRule>
    <cfRule type="cellIs" dxfId="16" priority="4" stopIfTrue="1" operator="lessThan">
      <formula>20</formula>
    </cfRule>
  </conditionalFormatting>
  <conditionalFormatting sqref="L58:L84">
    <cfRule type="cellIs" dxfId="15" priority="5" stopIfTrue="1" operator="lessThan">
      <formula>60</formula>
    </cfRule>
    <cfRule type="cellIs" dxfId="14" priority="6" stopIfTrue="1" operator="greaterThanOrEqual">
      <formula>60</formula>
    </cfRule>
  </conditionalFormatting>
  <conditionalFormatting sqref="L57">
    <cfRule type="cellIs" dxfId="13" priority="1" stopIfTrue="1" operator="lessThan">
      <formula>60</formula>
    </cfRule>
    <cfRule type="cellIs" dxfId="12" priority="2" stopIfTrue="1" operator="greaterThanOrEqual">
      <formula>60</formula>
    </cfRule>
  </conditionalFormatting>
  <pageMargins left="0.75" right="0.75" top="1" bottom="1" header="0.5" footer="0.5"/>
  <pageSetup paperSize="9" orientation="portrait" horizontalDpi="4294967293" verticalDpi="0" r:id="rId3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Y145"/>
  <sheetViews>
    <sheetView showGridLines="0" zoomScale="70" zoomScaleNormal="84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B2" sqref="B2"/>
    </sheetView>
  </sheetViews>
  <sheetFormatPr defaultColWidth="9.28515625" defaultRowHeight="12.75" x14ac:dyDescent="0.2"/>
  <cols>
    <col min="1" max="1" width="4.28515625" style="1" customWidth="1"/>
    <col min="2" max="2" width="49" style="687" customWidth="1"/>
    <col min="3" max="3" width="6.7109375" style="30" customWidth="1"/>
    <col min="4" max="4" width="9.7109375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6.7109375" style="1" customWidth="1"/>
    <col min="16" max="16" width="9.7109375" style="1" customWidth="1"/>
    <col min="17" max="17" width="8.42578125" style="1" customWidth="1"/>
    <col min="18" max="18" width="10" style="1" customWidth="1"/>
    <col min="19" max="19" width="11.5703125" style="1" customWidth="1"/>
    <col min="20" max="20" width="9.28515625" style="1" customWidth="1"/>
    <col min="21" max="21" width="13" style="1" customWidth="1"/>
    <col min="22" max="22" width="9.28515625" style="1" customWidth="1"/>
    <col min="23" max="23" width="12.28515625" style="1" customWidth="1"/>
    <col min="24" max="24" width="11.7109375" style="1" customWidth="1"/>
    <col min="25" max="25" width="9.28515625" style="1" customWidth="1"/>
    <col min="26" max="26" width="12.5703125" style="1" customWidth="1"/>
    <col min="27" max="27" width="9.7109375" style="1" customWidth="1"/>
    <col min="28" max="28" width="10.7109375" style="1" customWidth="1"/>
    <col min="29" max="29" width="10.5703125" style="1" customWidth="1"/>
    <col min="30" max="30" width="10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1" style="1" customWidth="1"/>
    <col min="37" max="37" width="9.7109375" style="1" customWidth="1"/>
    <col min="38" max="38" width="10.710937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0.7109375" style="1" customWidth="1"/>
    <col min="53" max="53" width="9.28515625" style="1"/>
    <col min="54" max="54" width="11.42578125" style="1" customWidth="1"/>
    <col min="55" max="16384" width="9.28515625" style="1"/>
  </cols>
  <sheetData>
    <row r="1" spans="1:46" x14ac:dyDescent="0.2">
      <c r="V1" s="4"/>
      <c r="W1" s="31" t="s">
        <v>266</v>
      </c>
    </row>
    <row r="2" spans="1:46" ht="26.25" customHeight="1" thickBot="1" x14ac:dyDescent="0.35">
      <c r="A2" s="20"/>
      <c r="B2" s="238" t="s">
        <v>296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/>
      <c r="Z2" s="575" t="s">
        <v>176</v>
      </c>
      <c r="AA2" s="575"/>
      <c r="AB2" s="575" t="s">
        <v>176</v>
      </c>
      <c r="AC2" s="575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208"/>
      <c r="AO2" s="90"/>
      <c r="AP2" s="41"/>
      <c r="AQ2" s="90"/>
      <c r="AR2" s="90"/>
      <c r="AS2" s="41"/>
      <c r="AT2" s="41"/>
    </row>
    <row r="3" spans="1:46" ht="22.5" customHeight="1" thickBot="1" x14ac:dyDescent="0.3">
      <c r="A3" s="908"/>
      <c r="B3" s="688"/>
      <c r="C3" s="910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148" t="s">
        <v>134</v>
      </c>
      <c r="K3" s="149"/>
      <c r="L3" s="150"/>
      <c r="M3" s="888" t="s">
        <v>135</v>
      </c>
      <c r="N3" s="890"/>
      <c r="O3" s="888" t="s">
        <v>136</v>
      </c>
      <c r="P3" s="898"/>
      <c r="Q3" s="890"/>
      <c r="R3" s="138" t="s">
        <v>137</v>
      </c>
      <c r="S3" s="152"/>
      <c r="T3" s="152"/>
      <c r="U3" s="888" t="s">
        <v>138</v>
      </c>
      <c r="V3" s="890"/>
      <c r="W3" s="148" t="s">
        <v>139</v>
      </c>
      <c r="X3" s="149"/>
      <c r="Y3" s="242"/>
      <c r="Z3" s="902" t="s">
        <v>140</v>
      </c>
      <c r="AA3" s="903"/>
      <c r="AB3" s="899" t="s">
        <v>141</v>
      </c>
      <c r="AC3" s="900"/>
      <c r="AD3" s="879" t="s">
        <v>142</v>
      </c>
      <c r="AE3" s="880"/>
      <c r="AF3" s="888" t="s">
        <v>143</v>
      </c>
      <c r="AG3" s="889"/>
      <c r="AH3" s="890"/>
      <c r="AI3" s="888" t="s">
        <v>144</v>
      </c>
      <c r="AJ3" s="889"/>
      <c r="AK3" s="890"/>
      <c r="AL3" s="879" t="s">
        <v>246</v>
      </c>
      <c r="AM3" s="880"/>
    </row>
    <row r="4" spans="1:46" ht="22.5" customHeight="1" x14ac:dyDescent="0.25">
      <c r="A4" s="909"/>
      <c r="B4" s="689"/>
      <c r="C4" s="911"/>
      <c r="D4" s="916"/>
      <c r="E4" s="914"/>
      <c r="F4" s="222" t="s">
        <v>145</v>
      </c>
      <c r="G4" s="34"/>
      <c r="H4" s="222" t="s">
        <v>146</v>
      </c>
      <c r="I4" s="151"/>
      <c r="J4" s="426" t="s">
        <v>147</v>
      </c>
      <c r="K4" s="39"/>
      <c r="L4" s="46"/>
      <c r="M4" s="222" t="s">
        <v>148</v>
      </c>
      <c r="N4" s="34"/>
      <c r="O4" s="220" t="s">
        <v>149</v>
      </c>
      <c r="P4" s="221"/>
      <c r="Q4" s="23"/>
      <c r="R4" s="35"/>
      <c r="S4" s="220" t="s">
        <v>150</v>
      </c>
      <c r="T4" s="22"/>
      <c r="U4" s="220" t="s">
        <v>258</v>
      </c>
      <c r="V4" s="23"/>
      <c r="W4" s="574" t="s">
        <v>258</v>
      </c>
      <c r="X4" s="75" t="s">
        <v>237</v>
      </c>
      <c r="Y4" s="76"/>
      <c r="Z4" s="574" t="s">
        <v>258</v>
      </c>
      <c r="AA4" s="38"/>
      <c r="AB4" s="574" t="s">
        <v>258</v>
      </c>
      <c r="AC4" s="151"/>
      <c r="AD4" s="37" t="s">
        <v>151</v>
      </c>
      <c r="AE4" s="428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311</v>
      </c>
      <c r="AM4" s="428"/>
    </row>
    <row r="5" spans="1:46" ht="37.35" customHeight="1" x14ac:dyDescent="0.2">
      <c r="A5" s="909"/>
      <c r="B5" s="689" t="s">
        <v>260</v>
      </c>
      <c r="C5" s="911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881" t="s">
        <v>172</v>
      </c>
      <c r="K5" s="887" t="s">
        <v>221</v>
      </c>
      <c r="L5" s="47" t="s">
        <v>152</v>
      </c>
      <c r="M5" s="881" t="s">
        <v>172</v>
      </c>
      <c r="N5" s="576" t="s">
        <v>166</v>
      </c>
      <c r="O5" s="881" t="s">
        <v>172</v>
      </c>
      <c r="P5" s="887" t="s">
        <v>220</v>
      </c>
      <c r="Q5" s="47" t="s">
        <v>152</v>
      </c>
      <c r="R5" s="894" t="s">
        <v>172</v>
      </c>
      <c r="S5" s="887" t="s">
        <v>257</v>
      </c>
      <c r="T5" s="153" t="s">
        <v>152</v>
      </c>
      <c r="U5" s="881" t="s">
        <v>172</v>
      </c>
      <c r="V5" s="883" t="s">
        <v>166</v>
      </c>
      <c r="W5" s="881" t="s">
        <v>172</v>
      </c>
      <c r="X5" s="887" t="s">
        <v>173</v>
      </c>
      <c r="Y5" s="243" t="s">
        <v>152</v>
      </c>
      <c r="Z5" s="894" t="s">
        <v>172</v>
      </c>
      <c r="AA5" s="576" t="s">
        <v>166</v>
      </c>
      <c r="AB5" s="896" t="s">
        <v>172</v>
      </c>
      <c r="AC5" s="576" t="s">
        <v>166</v>
      </c>
      <c r="AD5" s="881" t="s">
        <v>172</v>
      </c>
      <c r="AE5" s="883" t="s">
        <v>166</v>
      </c>
      <c r="AF5" s="881" t="s">
        <v>172</v>
      </c>
      <c r="AG5" s="887" t="s">
        <v>305</v>
      </c>
      <c r="AH5" s="47" t="s">
        <v>152</v>
      </c>
      <c r="AI5" s="881" t="s">
        <v>172</v>
      </c>
      <c r="AJ5" s="885" t="s">
        <v>306</v>
      </c>
      <c r="AK5" s="47" t="s">
        <v>152</v>
      </c>
      <c r="AL5" s="881" t="s">
        <v>172</v>
      </c>
      <c r="AM5" s="883" t="s">
        <v>166</v>
      </c>
    </row>
    <row r="6" spans="1:46" ht="28.9" customHeight="1" thickBot="1" x14ac:dyDescent="0.25">
      <c r="A6" s="909"/>
      <c r="B6" s="690"/>
      <c r="C6" s="911"/>
      <c r="D6" s="916"/>
      <c r="E6" s="914"/>
      <c r="F6" s="882"/>
      <c r="G6" s="884"/>
      <c r="H6" s="882"/>
      <c r="I6" s="907"/>
      <c r="J6" s="882"/>
      <c r="K6" s="886"/>
      <c r="L6" s="89">
        <v>6</v>
      </c>
      <c r="M6" s="882"/>
      <c r="N6" s="577"/>
      <c r="O6" s="882"/>
      <c r="P6" s="886"/>
      <c r="Q6" s="89">
        <v>16</v>
      </c>
      <c r="R6" s="895"/>
      <c r="S6" s="905"/>
      <c r="T6" s="154">
        <v>6</v>
      </c>
      <c r="U6" s="882"/>
      <c r="V6" s="884"/>
      <c r="W6" s="882"/>
      <c r="X6" s="886"/>
      <c r="Y6" s="244">
        <v>20</v>
      </c>
      <c r="Z6" s="895"/>
      <c r="AA6" s="577"/>
      <c r="AB6" s="897"/>
      <c r="AC6" s="577"/>
      <c r="AD6" s="882"/>
      <c r="AE6" s="884"/>
      <c r="AF6" s="882"/>
      <c r="AG6" s="886"/>
      <c r="AH6" s="89" t="s">
        <v>346</v>
      </c>
      <c r="AI6" s="882"/>
      <c r="AJ6" s="886"/>
      <c r="AK6" s="89" t="s">
        <v>347</v>
      </c>
      <c r="AL6" s="882"/>
      <c r="AM6" s="884"/>
    </row>
    <row r="7" spans="1:46" ht="16.5" thickBot="1" x14ac:dyDescent="0.3">
      <c r="A7" s="909"/>
      <c r="B7" s="690"/>
      <c r="C7" s="912"/>
      <c r="D7" s="916"/>
      <c r="E7" s="914"/>
      <c r="F7" s="485">
        <v>42019</v>
      </c>
      <c r="G7" s="88"/>
      <c r="H7" s="485">
        <f>F7+7</f>
        <v>42026</v>
      </c>
      <c r="I7" s="471"/>
      <c r="J7" s="205">
        <f>H7+7</f>
        <v>42033</v>
      </c>
      <c r="K7" s="206"/>
      <c r="L7" s="207"/>
      <c r="M7" s="139">
        <f>J7+7</f>
        <v>42040</v>
      </c>
      <c r="N7" s="140"/>
      <c r="O7" s="891">
        <f>M7+7</f>
        <v>42047</v>
      </c>
      <c r="P7" s="892"/>
      <c r="Q7" s="893"/>
      <c r="R7" s="205">
        <f>O7+7</f>
        <v>42054</v>
      </c>
      <c r="S7" s="206"/>
      <c r="T7" s="206"/>
      <c r="U7" s="205">
        <f>R7+7</f>
        <v>42061</v>
      </c>
      <c r="V7" s="207"/>
      <c r="W7" s="205">
        <f>U7+7</f>
        <v>42068</v>
      </c>
      <c r="X7" s="206"/>
      <c r="Y7" s="486"/>
      <c r="Z7" s="205">
        <f>W7+7</f>
        <v>42075</v>
      </c>
      <c r="AA7" s="207"/>
      <c r="AB7" s="487">
        <f>Z7+7</f>
        <v>42082</v>
      </c>
      <c r="AC7" s="488"/>
      <c r="AD7" s="472">
        <f>AB7+7</f>
        <v>42089</v>
      </c>
      <c r="AE7" s="473"/>
      <c r="AF7" s="891">
        <f>AD7+7</f>
        <v>42096</v>
      </c>
      <c r="AG7" s="892"/>
      <c r="AH7" s="893"/>
      <c r="AI7" s="891">
        <f>AF7+7</f>
        <v>42103</v>
      </c>
      <c r="AJ7" s="892"/>
      <c r="AK7" s="893"/>
      <c r="AL7" s="489"/>
      <c r="AM7" s="555"/>
    </row>
    <row r="8" spans="1:46" s="381" customFormat="1" ht="18.75" x14ac:dyDescent="0.25">
      <c r="A8" s="617">
        <v>1</v>
      </c>
      <c r="B8" s="691" t="s">
        <v>351</v>
      </c>
      <c r="C8" s="620">
        <v>10</v>
      </c>
      <c r="D8" s="376">
        <f t="shared" ref="D8:D21" si="0">SUM(L8,Q8,T8,Y8,AA8,AC8,AH8,AK8)</f>
        <v>46</v>
      </c>
      <c r="E8" s="403">
        <f t="shared" ref="E8:E21" si="1">SUM(D8:D8)</f>
        <v>46</v>
      </c>
      <c r="F8" s="571"/>
      <c r="G8" s="520"/>
      <c r="H8" s="635"/>
      <c r="I8" s="378"/>
      <c r="J8" s="571"/>
      <c r="K8" s="620">
        <f>C8</f>
        <v>10</v>
      </c>
      <c r="L8" s="535">
        <v>6</v>
      </c>
      <c r="M8" s="377"/>
      <c r="N8" s="403"/>
      <c r="O8" s="649"/>
      <c r="P8" s="427">
        <f>C8</f>
        <v>10</v>
      </c>
      <c r="Q8" s="476" t="str">
        <f t="shared" ref="Q8:Q21" si="2">IF(P8=0,"",VLOOKUP(P8,Підс,2,FALSE))</f>
        <v xml:space="preserve"> </v>
      </c>
      <c r="R8" s="504"/>
      <c r="S8" s="547">
        <f>C8</f>
        <v>10</v>
      </c>
      <c r="T8" s="403">
        <v>6</v>
      </c>
      <c r="U8" s="504"/>
      <c r="V8" s="408"/>
      <c r="W8" s="377"/>
      <c r="X8" s="547">
        <f>C8</f>
        <v>10</v>
      </c>
      <c r="Y8" s="329">
        <f t="shared" ref="Y8:Y21" si="3">IF(X8=0,"",VLOOKUP(X8,Підс,3,FALSE))</f>
        <v>20</v>
      </c>
      <c r="Z8" s="504"/>
      <c r="AA8" s="408"/>
      <c r="AB8" s="635"/>
      <c r="AC8" s="380"/>
      <c r="AD8" s="407"/>
      <c r="AE8" s="408"/>
      <c r="AF8" s="665"/>
      <c r="AG8" s="427">
        <f>C8</f>
        <v>10</v>
      </c>
      <c r="AH8" s="409">
        <f>3+3+1</f>
        <v>7</v>
      </c>
      <c r="AI8" s="431"/>
      <c r="AJ8" s="547">
        <f>C8</f>
        <v>10</v>
      </c>
      <c r="AK8" s="553">
        <f>1+2+4</f>
        <v>7</v>
      </c>
      <c r="AL8" s="379"/>
      <c r="AM8" s="380"/>
    </row>
    <row r="9" spans="1:46" s="381" customFormat="1" ht="24" customHeight="1" x14ac:dyDescent="0.25">
      <c r="A9" s="618">
        <v>2</v>
      </c>
      <c r="B9" s="622" t="s">
        <v>372</v>
      </c>
      <c r="C9" s="621">
        <v>9</v>
      </c>
      <c r="D9" s="475">
        <f t="shared" si="0"/>
        <v>54</v>
      </c>
      <c r="E9" s="506">
        <f t="shared" si="1"/>
        <v>54</v>
      </c>
      <c r="F9" s="416"/>
      <c r="G9" s="386"/>
      <c r="H9" s="635"/>
      <c r="I9" s="384"/>
      <c r="J9" s="416"/>
      <c r="K9" s="621">
        <f>C9</f>
        <v>9</v>
      </c>
      <c r="L9" s="536">
        <v>6</v>
      </c>
      <c r="M9" s="416"/>
      <c r="N9" s="384"/>
      <c r="O9" s="650"/>
      <c r="P9" s="427">
        <f t="shared" ref="P9:P21" si="4">C9</f>
        <v>9</v>
      </c>
      <c r="Q9" s="476">
        <f t="shared" si="2"/>
        <v>12</v>
      </c>
      <c r="R9" s="404"/>
      <c r="S9" s="548">
        <f>C9</f>
        <v>9</v>
      </c>
      <c r="T9" s="506">
        <v>6</v>
      </c>
      <c r="U9" s="404"/>
      <c r="V9" s="386"/>
      <c r="W9" s="416"/>
      <c r="X9" s="548">
        <f>C9</f>
        <v>9</v>
      </c>
      <c r="Y9" s="245">
        <f t="shared" si="3"/>
        <v>10</v>
      </c>
      <c r="Z9" s="404"/>
      <c r="AA9" s="386"/>
      <c r="AB9" s="416"/>
      <c r="AC9" s="384"/>
      <c r="AD9" s="388"/>
      <c r="AE9" s="386"/>
      <c r="AF9" s="666"/>
      <c r="AG9" s="427">
        <f t="shared" ref="AG9:AG21" si="5">C9</f>
        <v>9</v>
      </c>
      <c r="AH9" s="331">
        <f>3+5+1</f>
        <v>9</v>
      </c>
      <c r="AI9" s="417"/>
      <c r="AJ9" s="548">
        <f>C9</f>
        <v>9</v>
      </c>
      <c r="AK9" s="420">
        <v>11</v>
      </c>
      <c r="AL9" s="387"/>
      <c r="AM9" s="384"/>
    </row>
    <row r="10" spans="1:46" s="381" customFormat="1" ht="18.75" x14ac:dyDescent="0.25">
      <c r="A10" s="619">
        <v>3</v>
      </c>
      <c r="B10" s="691" t="s">
        <v>353</v>
      </c>
      <c r="C10" s="621">
        <v>11</v>
      </c>
      <c r="D10" s="475">
        <f t="shared" si="0"/>
        <v>29</v>
      </c>
      <c r="E10" s="506">
        <f t="shared" si="1"/>
        <v>29</v>
      </c>
      <c r="F10" s="416"/>
      <c r="G10" s="386"/>
      <c r="H10" s="635"/>
      <c r="I10" s="384"/>
      <c r="J10" s="416"/>
      <c r="K10" s="621">
        <f t="shared" ref="K10:K21" si="6">C10</f>
        <v>11</v>
      </c>
      <c r="L10" s="536">
        <v>6</v>
      </c>
      <c r="M10" s="416"/>
      <c r="N10" s="384"/>
      <c r="O10" s="650"/>
      <c r="P10" s="427">
        <f t="shared" si="4"/>
        <v>11</v>
      </c>
      <c r="Q10" s="476">
        <f t="shared" si="2"/>
        <v>7</v>
      </c>
      <c r="R10" s="404"/>
      <c r="S10" s="548">
        <f t="shared" ref="S10:S21" si="7">C10</f>
        <v>11</v>
      </c>
      <c r="T10" s="506">
        <v>6</v>
      </c>
      <c r="U10" s="404"/>
      <c r="V10" s="386"/>
      <c r="W10" s="416"/>
      <c r="X10" s="548">
        <f t="shared" ref="X10:X21" si="8">C10</f>
        <v>11</v>
      </c>
      <c r="Y10" s="245">
        <f t="shared" si="3"/>
        <v>10</v>
      </c>
      <c r="Z10" s="404"/>
      <c r="AA10" s="386"/>
      <c r="AB10" s="416"/>
      <c r="AC10" s="384"/>
      <c r="AD10" s="388"/>
      <c r="AE10" s="386"/>
      <c r="AF10" s="666"/>
      <c r="AG10" s="427">
        <f t="shared" si="5"/>
        <v>11</v>
      </c>
      <c r="AH10" s="331"/>
      <c r="AI10" s="417"/>
      <c r="AJ10" s="548">
        <f t="shared" ref="AJ10:AJ21" si="9">C10</f>
        <v>11</v>
      </c>
      <c r="AK10" s="420"/>
      <c r="AL10" s="387"/>
      <c r="AM10" s="384"/>
    </row>
    <row r="11" spans="1:46" s="381" customFormat="1" ht="18.75" x14ac:dyDescent="0.25">
      <c r="A11" s="618">
        <v>4</v>
      </c>
      <c r="B11" s="691" t="s">
        <v>354</v>
      </c>
      <c r="C11" s="621">
        <v>12</v>
      </c>
      <c r="D11" s="475">
        <f t="shared" si="0"/>
        <v>46</v>
      </c>
      <c r="E11" s="506">
        <f t="shared" si="1"/>
        <v>46</v>
      </c>
      <c r="F11" s="416"/>
      <c r="G11" s="386"/>
      <c r="H11" s="635"/>
      <c r="I11" s="384"/>
      <c r="J11" s="416"/>
      <c r="K11" s="621">
        <f t="shared" si="6"/>
        <v>12</v>
      </c>
      <c r="L11" s="536">
        <v>3</v>
      </c>
      <c r="M11" s="416"/>
      <c r="N11" s="384"/>
      <c r="O11" s="650"/>
      <c r="P11" s="427">
        <f t="shared" si="4"/>
        <v>12</v>
      </c>
      <c r="Q11" s="476">
        <f t="shared" si="2"/>
        <v>10</v>
      </c>
      <c r="R11" s="404"/>
      <c r="S11" s="548">
        <f t="shared" si="7"/>
        <v>12</v>
      </c>
      <c r="T11" s="506">
        <v>6</v>
      </c>
      <c r="U11" s="404"/>
      <c r="V11" s="386"/>
      <c r="W11" s="416"/>
      <c r="X11" s="548">
        <f t="shared" si="8"/>
        <v>12</v>
      </c>
      <c r="Y11" s="245">
        <f t="shared" si="3"/>
        <v>10</v>
      </c>
      <c r="Z11" s="404"/>
      <c r="AA11" s="386"/>
      <c r="AB11" s="416"/>
      <c r="AC11" s="384"/>
      <c r="AD11" s="388"/>
      <c r="AE11" s="386"/>
      <c r="AF11" s="666"/>
      <c r="AG11" s="427">
        <f t="shared" si="5"/>
        <v>12</v>
      </c>
      <c r="AH11" s="331">
        <f>3+3+2</f>
        <v>8</v>
      </c>
      <c r="AI11" s="417"/>
      <c r="AJ11" s="548">
        <f t="shared" si="9"/>
        <v>12</v>
      </c>
      <c r="AK11" s="420">
        <f>3+2+4</f>
        <v>9</v>
      </c>
      <c r="AL11" s="387"/>
      <c r="AM11" s="384"/>
    </row>
    <row r="12" spans="1:46" s="381" customFormat="1" ht="18.75" x14ac:dyDescent="0.25">
      <c r="A12" s="619">
        <v>5</v>
      </c>
      <c r="B12" s="691" t="s">
        <v>355</v>
      </c>
      <c r="C12" s="621">
        <v>13</v>
      </c>
      <c r="D12" s="475">
        <f t="shared" si="0"/>
        <v>63</v>
      </c>
      <c r="E12" s="506">
        <f t="shared" si="1"/>
        <v>63</v>
      </c>
      <c r="F12" s="416"/>
      <c r="G12" s="386"/>
      <c r="H12" s="635"/>
      <c r="I12" s="384"/>
      <c r="J12" s="416"/>
      <c r="K12" s="621">
        <f t="shared" si="6"/>
        <v>13</v>
      </c>
      <c r="L12" s="536">
        <v>6</v>
      </c>
      <c r="M12" s="416"/>
      <c r="N12" s="384"/>
      <c r="O12" s="650"/>
      <c r="P12" s="427">
        <f t="shared" si="4"/>
        <v>13</v>
      </c>
      <c r="Q12" s="476">
        <f t="shared" si="2"/>
        <v>15</v>
      </c>
      <c r="R12" s="404"/>
      <c r="S12" s="548">
        <f t="shared" si="7"/>
        <v>13</v>
      </c>
      <c r="T12" s="506">
        <v>6</v>
      </c>
      <c r="U12" s="404"/>
      <c r="V12" s="386"/>
      <c r="W12" s="416"/>
      <c r="X12" s="548">
        <f t="shared" si="8"/>
        <v>13</v>
      </c>
      <c r="Y12" s="245">
        <f t="shared" si="3"/>
        <v>18</v>
      </c>
      <c r="Z12" s="404"/>
      <c r="AA12" s="386"/>
      <c r="AB12" s="416"/>
      <c r="AC12" s="384"/>
      <c r="AD12" s="388"/>
      <c r="AE12" s="386"/>
      <c r="AF12" s="666"/>
      <c r="AG12" s="427">
        <f t="shared" si="5"/>
        <v>13</v>
      </c>
      <c r="AH12" s="331">
        <f>3+3+2</f>
        <v>8</v>
      </c>
      <c r="AI12" s="387"/>
      <c r="AJ12" s="548">
        <f t="shared" si="9"/>
        <v>13</v>
      </c>
      <c r="AK12" s="420">
        <f>2+3+5</f>
        <v>10</v>
      </c>
      <c r="AL12" s="387"/>
      <c r="AM12" s="384"/>
    </row>
    <row r="13" spans="1:46" s="381" customFormat="1" ht="18.75" x14ac:dyDescent="0.25">
      <c r="A13" s="618">
        <v>6</v>
      </c>
      <c r="B13" s="691" t="s">
        <v>356</v>
      </c>
      <c r="C13" s="621">
        <v>14</v>
      </c>
      <c r="D13" s="475">
        <f t="shared" si="0"/>
        <v>0</v>
      </c>
      <c r="E13" s="506">
        <f t="shared" si="1"/>
        <v>0</v>
      </c>
      <c r="F13" s="416"/>
      <c r="G13" s="386"/>
      <c r="H13" s="635"/>
      <c r="I13" s="384"/>
      <c r="J13" s="416"/>
      <c r="K13" s="621">
        <f t="shared" si="6"/>
        <v>14</v>
      </c>
      <c r="L13" s="536"/>
      <c r="M13" s="416"/>
      <c r="N13" s="384"/>
      <c r="O13" s="650"/>
      <c r="P13" s="427">
        <f t="shared" si="4"/>
        <v>14</v>
      </c>
      <c r="Q13" s="476" t="str">
        <f t="shared" si="2"/>
        <v xml:space="preserve"> </v>
      </c>
      <c r="R13" s="404"/>
      <c r="S13" s="548">
        <f t="shared" si="7"/>
        <v>14</v>
      </c>
      <c r="T13" s="506"/>
      <c r="U13" s="404"/>
      <c r="V13" s="386"/>
      <c r="W13" s="416"/>
      <c r="X13" s="548">
        <f t="shared" si="8"/>
        <v>14</v>
      </c>
      <c r="Y13" s="245" t="str">
        <f t="shared" si="3"/>
        <v xml:space="preserve"> </v>
      </c>
      <c r="Z13" s="404"/>
      <c r="AA13" s="386"/>
      <c r="AB13" s="416"/>
      <c r="AC13" s="384"/>
      <c r="AD13" s="388"/>
      <c r="AE13" s="386"/>
      <c r="AF13" s="666"/>
      <c r="AG13" s="427">
        <f t="shared" si="5"/>
        <v>14</v>
      </c>
      <c r="AH13" s="331"/>
      <c r="AI13" s="387"/>
      <c r="AJ13" s="548">
        <f t="shared" si="9"/>
        <v>14</v>
      </c>
      <c r="AK13" s="420"/>
      <c r="AL13" s="387"/>
      <c r="AM13" s="384"/>
    </row>
    <row r="14" spans="1:46" s="381" customFormat="1" ht="18.75" x14ac:dyDescent="0.25">
      <c r="A14" s="619">
        <v>7</v>
      </c>
      <c r="B14" s="691" t="s">
        <v>357</v>
      </c>
      <c r="C14" s="621">
        <v>1</v>
      </c>
      <c r="D14" s="475">
        <f t="shared" si="0"/>
        <v>0</v>
      </c>
      <c r="E14" s="506">
        <f t="shared" si="1"/>
        <v>0</v>
      </c>
      <c r="F14" s="416"/>
      <c r="G14" s="386"/>
      <c r="H14" s="635"/>
      <c r="I14" s="384"/>
      <c r="J14" s="416"/>
      <c r="K14" s="621">
        <f t="shared" si="6"/>
        <v>1</v>
      </c>
      <c r="L14" s="536"/>
      <c r="M14" s="416"/>
      <c r="N14" s="384"/>
      <c r="O14" s="650"/>
      <c r="P14" s="427">
        <f t="shared" si="4"/>
        <v>1</v>
      </c>
      <c r="Q14" s="476" t="str">
        <f t="shared" si="2"/>
        <v xml:space="preserve"> </v>
      </c>
      <c r="R14" s="404"/>
      <c r="S14" s="548">
        <f t="shared" si="7"/>
        <v>1</v>
      </c>
      <c r="T14" s="506"/>
      <c r="U14" s="404"/>
      <c r="V14" s="386"/>
      <c r="W14" s="416"/>
      <c r="X14" s="548">
        <f t="shared" si="8"/>
        <v>1</v>
      </c>
      <c r="Y14" s="245" t="str">
        <f t="shared" si="3"/>
        <v xml:space="preserve"> </v>
      </c>
      <c r="Z14" s="404"/>
      <c r="AA14" s="386"/>
      <c r="AB14" s="416"/>
      <c r="AC14" s="384"/>
      <c r="AD14" s="388"/>
      <c r="AE14" s="386"/>
      <c r="AF14" s="666"/>
      <c r="AG14" s="427">
        <f t="shared" si="5"/>
        <v>1</v>
      </c>
      <c r="AH14" s="331"/>
      <c r="AI14" s="387"/>
      <c r="AJ14" s="548">
        <f t="shared" si="9"/>
        <v>1</v>
      </c>
      <c r="AK14" s="420"/>
      <c r="AL14" s="387"/>
      <c r="AM14" s="384"/>
    </row>
    <row r="15" spans="1:46" s="381" customFormat="1" ht="18.75" x14ac:dyDescent="0.25">
      <c r="A15" s="618">
        <v>8</v>
      </c>
      <c r="B15" s="691" t="s">
        <v>358</v>
      </c>
      <c r="C15" s="621">
        <v>2</v>
      </c>
      <c r="D15" s="475">
        <f t="shared" si="0"/>
        <v>63</v>
      </c>
      <c r="E15" s="506">
        <f t="shared" si="1"/>
        <v>63</v>
      </c>
      <c r="F15" s="416"/>
      <c r="G15" s="386"/>
      <c r="H15" s="635"/>
      <c r="I15" s="384"/>
      <c r="J15" s="416"/>
      <c r="K15" s="621">
        <f t="shared" si="6"/>
        <v>2</v>
      </c>
      <c r="L15" s="536">
        <v>6</v>
      </c>
      <c r="M15" s="416"/>
      <c r="N15" s="384"/>
      <c r="O15" s="650"/>
      <c r="P15" s="427">
        <f t="shared" si="4"/>
        <v>2</v>
      </c>
      <c r="Q15" s="476">
        <f t="shared" si="2"/>
        <v>13</v>
      </c>
      <c r="R15" s="404"/>
      <c r="S15" s="548">
        <f t="shared" si="7"/>
        <v>2</v>
      </c>
      <c r="T15" s="506">
        <v>3</v>
      </c>
      <c r="U15" s="404"/>
      <c r="V15" s="386"/>
      <c r="W15" s="416"/>
      <c r="X15" s="548">
        <f t="shared" si="8"/>
        <v>2</v>
      </c>
      <c r="Y15" s="245">
        <f t="shared" si="3"/>
        <v>20</v>
      </c>
      <c r="Z15" s="404"/>
      <c r="AA15" s="386"/>
      <c r="AB15" s="416"/>
      <c r="AC15" s="384"/>
      <c r="AD15" s="388"/>
      <c r="AE15" s="386"/>
      <c r="AF15" s="666"/>
      <c r="AG15" s="427">
        <f t="shared" si="5"/>
        <v>2</v>
      </c>
      <c r="AH15" s="331">
        <v>11</v>
      </c>
      <c r="AI15" s="387"/>
      <c r="AJ15" s="548">
        <f t="shared" si="9"/>
        <v>2</v>
      </c>
      <c r="AK15" s="420">
        <f>3+3+4</f>
        <v>10</v>
      </c>
      <c r="AL15" s="387"/>
      <c r="AM15" s="384"/>
    </row>
    <row r="16" spans="1:46" s="381" customFormat="1" ht="18.75" x14ac:dyDescent="0.25">
      <c r="A16" s="619">
        <v>9</v>
      </c>
      <c r="B16" s="691" t="s">
        <v>359</v>
      </c>
      <c r="C16" s="621">
        <v>3</v>
      </c>
      <c r="D16" s="475">
        <f t="shared" si="0"/>
        <v>18</v>
      </c>
      <c r="E16" s="506">
        <f t="shared" si="1"/>
        <v>18</v>
      </c>
      <c r="F16" s="416"/>
      <c r="G16" s="386"/>
      <c r="H16" s="635"/>
      <c r="I16" s="384"/>
      <c r="J16" s="416"/>
      <c r="K16" s="621">
        <f t="shared" si="6"/>
        <v>3</v>
      </c>
      <c r="L16" s="536">
        <v>4</v>
      </c>
      <c r="M16" s="416"/>
      <c r="N16" s="384"/>
      <c r="O16" s="650"/>
      <c r="P16" s="427">
        <f t="shared" si="4"/>
        <v>3</v>
      </c>
      <c r="Q16" s="476">
        <f t="shared" si="2"/>
        <v>9</v>
      </c>
      <c r="R16" s="404"/>
      <c r="S16" s="548">
        <f t="shared" si="7"/>
        <v>3</v>
      </c>
      <c r="T16" s="506">
        <v>5</v>
      </c>
      <c r="U16" s="404"/>
      <c r="V16" s="386"/>
      <c r="W16" s="416"/>
      <c r="X16" s="548">
        <f t="shared" si="8"/>
        <v>3</v>
      </c>
      <c r="Y16" s="245" t="str">
        <f t="shared" si="3"/>
        <v xml:space="preserve"> </v>
      </c>
      <c r="Z16" s="404"/>
      <c r="AA16" s="386"/>
      <c r="AB16" s="416"/>
      <c r="AC16" s="384"/>
      <c r="AD16" s="388"/>
      <c r="AE16" s="386"/>
      <c r="AF16" s="666"/>
      <c r="AG16" s="427">
        <f t="shared" si="5"/>
        <v>3</v>
      </c>
      <c r="AH16" s="331"/>
      <c r="AI16" s="387"/>
      <c r="AJ16" s="548">
        <f t="shared" si="9"/>
        <v>3</v>
      </c>
      <c r="AK16" s="420"/>
      <c r="AL16" s="387"/>
      <c r="AM16" s="384"/>
    </row>
    <row r="17" spans="1:51" s="381" customFormat="1" ht="18.75" x14ac:dyDescent="0.25">
      <c r="A17" s="618">
        <v>10</v>
      </c>
      <c r="B17" s="691" t="s">
        <v>360</v>
      </c>
      <c r="C17" s="621">
        <v>4</v>
      </c>
      <c r="D17" s="475">
        <f t="shared" si="0"/>
        <v>1</v>
      </c>
      <c r="E17" s="506">
        <f t="shared" si="1"/>
        <v>1</v>
      </c>
      <c r="F17" s="416"/>
      <c r="G17" s="386"/>
      <c r="H17" s="635"/>
      <c r="I17" s="384"/>
      <c r="J17" s="416"/>
      <c r="K17" s="621">
        <f t="shared" si="6"/>
        <v>4</v>
      </c>
      <c r="L17" s="536"/>
      <c r="M17" s="416"/>
      <c r="N17" s="384"/>
      <c r="O17" s="650"/>
      <c r="P17" s="427">
        <f t="shared" si="4"/>
        <v>4</v>
      </c>
      <c r="Q17" s="476">
        <f t="shared" si="2"/>
        <v>1</v>
      </c>
      <c r="R17" s="404"/>
      <c r="S17" s="548">
        <f t="shared" si="7"/>
        <v>4</v>
      </c>
      <c r="T17" s="506"/>
      <c r="U17" s="404"/>
      <c r="V17" s="386"/>
      <c r="W17" s="416"/>
      <c r="X17" s="548">
        <f t="shared" si="8"/>
        <v>4</v>
      </c>
      <c r="Y17" s="245" t="str">
        <f t="shared" si="3"/>
        <v xml:space="preserve"> </v>
      </c>
      <c r="Z17" s="404"/>
      <c r="AA17" s="386"/>
      <c r="AB17" s="416"/>
      <c r="AC17" s="384"/>
      <c r="AD17" s="388"/>
      <c r="AE17" s="386"/>
      <c r="AF17" s="666"/>
      <c r="AG17" s="427">
        <f t="shared" si="5"/>
        <v>4</v>
      </c>
      <c r="AH17" s="331"/>
      <c r="AI17" s="387"/>
      <c r="AJ17" s="548">
        <f t="shared" si="9"/>
        <v>4</v>
      </c>
      <c r="AK17" s="420"/>
      <c r="AL17" s="387"/>
      <c r="AM17" s="384"/>
    </row>
    <row r="18" spans="1:51" s="381" customFormat="1" ht="24.75" customHeight="1" x14ac:dyDescent="0.25">
      <c r="A18" s="619">
        <v>11</v>
      </c>
      <c r="B18" s="691" t="s">
        <v>361</v>
      </c>
      <c r="C18" s="621">
        <v>5</v>
      </c>
      <c r="D18" s="475">
        <f t="shared" si="0"/>
        <v>57</v>
      </c>
      <c r="E18" s="506">
        <f t="shared" si="1"/>
        <v>57</v>
      </c>
      <c r="F18" s="416"/>
      <c r="G18" s="386"/>
      <c r="H18" s="635"/>
      <c r="I18" s="384"/>
      <c r="J18" s="416"/>
      <c r="K18" s="621">
        <f t="shared" si="6"/>
        <v>5</v>
      </c>
      <c r="L18" s="536">
        <v>5</v>
      </c>
      <c r="M18" s="416"/>
      <c r="N18" s="384"/>
      <c r="O18" s="650"/>
      <c r="P18" s="427">
        <f t="shared" si="4"/>
        <v>5</v>
      </c>
      <c r="Q18" s="476">
        <f t="shared" si="2"/>
        <v>12</v>
      </c>
      <c r="R18" s="404"/>
      <c r="S18" s="548">
        <f t="shared" si="7"/>
        <v>5</v>
      </c>
      <c r="T18" s="506">
        <v>6</v>
      </c>
      <c r="U18" s="404"/>
      <c r="V18" s="386"/>
      <c r="W18" s="416"/>
      <c r="X18" s="548">
        <f t="shared" si="8"/>
        <v>5</v>
      </c>
      <c r="Y18" s="245">
        <f t="shared" si="3"/>
        <v>16</v>
      </c>
      <c r="Z18" s="404"/>
      <c r="AA18" s="386"/>
      <c r="AB18" s="416"/>
      <c r="AC18" s="384"/>
      <c r="AD18" s="388"/>
      <c r="AE18" s="386"/>
      <c r="AF18" s="666"/>
      <c r="AG18" s="427">
        <f t="shared" si="5"/>
        <v>5</v>
      </c>
      <c r="AH18" s="331">
        <f>3+3+3</f>
        <v>9</v>
      </c>
      <c r="AI18" s="387"/>
      <c r="AJ18" s="548">
        <f t="shared" si="9"/>
        <v>5</v>
      </c>
      <c r="AK18" s="420">
        <f>3+3+3</f>
        <v>9</v>
      </c>
      <c r="AL18" s="387"/>
      <c r="AM18" s="384"/>
    </row>
    <row r="19" spans="1:51" s="381" customFormat="1" ht="29.25" customHeight="1" x14ac:dyDescent="0.25">
      <c r="A19" s="618">
        <v>12</v>
      </c>
      <c r="B19" s="691" t="s">
        <v>362</v>
      </c>
      <c r="C19" s="621">
        <v>6</v>
      </c>
      <c r="D19" s="475">
        <f t="shared" si="0"/>
        <v>0</v>
      </c>
      <c r="E19" s="506">
        <f t="shared" si="1"/>
        <v>0</v>
      </c>
      <c r="F19" s="416"/>
      <c r="G19" s="386"/>
      <c r="H19" s="635"/>
      <c r="I19" s="384"/>
      <c r="J19" s="416"/>
      <c r="K19" s="621">
        <f t="shared" si="6"/>
        <v>6</v>
      </c>
      <c r="L19" s="536"/>
      <c r="M19" s="416"/>
      <c r="N19" s="384"/>
      <c r="O19" s="650"/>
      <c r="P19" s="427">
        <f t="shared" si="4"/>
        <v>6</v>
      </c>
      <c r="Q19" s="476" t="str">
        <f t="shared" si="2"/>
        <v xml:space="preserve"> </v>
      </c>
      <c r="R19" s="404"/>
      <c r="S19" s="548">
        <f t="shared" si="7"/>
        <v>6</v>
      </c>
      <c r="T19" s="506"/>
      <c r="U19" s="404"/>
      <c r="V19" s="386"/>
      <c r="W19" s="416"/>
      <c r="X19" s="548">
        <f t="shared" si="8"/>
        <v>6</v>
      </c>
      <c r="Y19" s="245" t="str">
        <f t="shared" si="3"/>
        <v xml:space="preserve"> </v>
      </c>
      <c r="Z19" s="404"/>
      <c r="AA19" s="386"/>
      <c r="AB19" s="416"/>
      <c r="AC19" s="384"/>
      <c r="AD19" s="392"/>
      <c r="AE19" s="386"/>
      <c r="AF19" s="666"/>
      <c r="AG19" s="427">
        <f t="shared" si="5"/>
        <v>6</v>
      </c>
      <c r="AH19" s="331"/>
      <c r="AI19" s="387"/>
      <c r="AJ19" s="548">
        <f t="shared" si="9"/>
        <v>6</v>
      </c>
      <c r="AK19" s="420"/>
      <c r="AL19" s="417"/>
      <c r="AM19" s="384"/>
    </row>
    <row r="20" spans="1:51" s="381" customFormat="1" ht="18.75" x14ac:dyDescent="0.25">
      <c r="A20" s="619">
        <v>13</v>
      </c>
      <c r="B20" s="691" t="s">
        <v>363</v>
      </c>
      <c r="C20" s="621">
        <v>7</v>
      </c>
      <c r="D20" s="475">
        <f t="shared" si="0"/>
        <v>0</v>
      </c>
      <c r="E20" s="506">
        <f t="shared" si="1"/>
        <v>0</v>
      </c>
      <c r="F20" s="404"/>
      <c r="G20" s="386"/>
      <c r="H20" s="635"/>
      <c r="I20" s="384"/>
      <c r="J20" s="416"/>
      <c r="K20" s="621">
        <f t="shared" si="6"/>
        <v>7</v>
      </c>
      <c r="L20" s="536"/>
      <c r="M20" s="416"/>
      <c r="N20" s="384"/>
      <c r="O20" s="650"/>
      <c r="P20" s="427">
        <f t="shared" si="4"/>
        <v>7</v>
      </c>
      <c r="Q20" s="476" t="str">
        <f t="shared" si="2"/>
        <v xml:space="preserve"> </v>
      </c>
      <c r="R20" s="404"/>
      <c r="S20" s="548">
        <f t="shared" si="7"/>
        <v>7</v>
      </c>
      <c r="T20" s="331"/>
      <c r="U20" s="404"/>
      <c r="V20" s="386"/>
      <c r="W20" s="416"/>
      <c r="X20" s="548">
        <f t="shared" si="8"/>
        <v>7</v>
      </c>
      <c r="Y20" s="245" t="str">
        <f t="shared" si="3"/>
        <v xml:space="preserve"> </v>
      </c>
      <c r="Z20" s="404"/>
      <c r="AA20" s="386"/>
      <c r="AB20" s="416"/>
      <c r="AC20" s="384"/>
      <c r="AD20" s="392"/>
      <c r="AE20" s="386"/>
      <c r="AF20" s="666"/>
      <c r="AG20" s="427">
        <f t="shared" si="5"/>
        <v>7</v>
      </c>
      <c r="AH20" s="331"/>
      <c r="AI20" s="387"/>
      <c r="AJ20" s="548">
        <f t="shared" si="9"/>
        <v>7</v>
      </c>
      <c r="AK20" s="420"/>
      <c r="AL20" s="417"/>
      <c r="AM20" s="384"/>
    </row>
    <row r="21" spans="1:51" s="381" customFormat="1" ht="19.5" thickBot="1" x14ac:dyDescent="0.3">
      <c r="A21" s="482">
        <v>14</v>
      </c>
      <c r="B21" s="627" t="s">
        <v>365</v>
      </c>
      <c r="C21" s="621">
        <v>8</v>
      </c>
      <c r="D21" s="395">
        <f t="shared" si="0"/>
        <v>53</v>
      </c>
      <c r="E21" s="507">
        <f t="shared" si="1"/>
        <v>53</v>
      </c>
      <c r="F21" s="398"/>
      <c r="G21" s="399"/>
      <c r="H21" s="430"/>
      <c r="I21" s="397"/>
      <c r="J21" s="416"/>
      <c r="K21" s="700">
        <f t="shared" si="6"/>
        <v>8</v>
      </c>
      <c r="L21" s="537">
        <v>6</v>
      </c>
      <c r="M21" s="430"/>
      <c r="N21" s="397"/>
      <c r="O21" s="651"/>
      <c r="P21" s="427">
        <f t="shared" si="4"/>
        <v>8</v>
      </c>
      <c r="Q21" s="476">
        <f t="shared" si="2"/>
        <v>14</v>
      </c>
      <c r="R21" s="430"/>
      <c r="S21" s="548">
        <f t="shared" si="7"/>
        <v>8</v>
      </c>
      <c r="T21" s="432">
        <v>6</v>
      </c>
      <c r="U21" s="433"/>
      <c r="V21" s="399"/>
      <c r="W21" s="430"/>
      <c r="X21" s="548">
        <f t="shared" si="8"/>
        <v>8</v>
      </c>
      <c r="Y21" s="246">
        <f t="shared" si="3"/>
        <v>18</v>
      </c>
      <c r="Z21" s="433"/>
      <c r="AA21" s="399"/>
      <c r="AB21" s="430"/>
      <c r="AC21" s="397"/>
      <c r="AD21" s="550"/>
      <c r="AE21" s="399"/>
      <c r="AF21" s="667"/>
      <c r="AG21" s="427">
        <f t="shared" si="5"/>
        <v>8</v>
      </c>
      <c r="AH21" s="432"/>
      <c r="AI21" s="400"/>
      <c r="AJ21" s="701">
        <f t="shared" si="9"/>
        <v>8</v>
      </c>
      <c r="AK21" s="429">
        <f>3+3+3</f>
        <v>9</v>
      </c>
      <c r="AL21" s="434"/>
      <c r="AM21" s="397"/>
    </row>
    <row r="22" spans="1:51" ht="18" x14ac:dyDescent="0.25">
      <c r="A22" s="100"/>
      <c r="B22" s="692"/>
      <c r="C22" s="101"/>
      <c r="D22" s="102"/>
      <c r="E22" s="102"/>
      <c r="F22" s="103"/>
      <c r="G22" s="103"/>
      <c r="H22" s="103"/>
      <c r="I22" s="103"/>
      <c r="J22" s="103"/>
      <c r="K22" s="103"/>
      <c r="L22" s="103">
        <f>COUNT(L8:L21)</f>
        <v>9</v>
      </c>
      <c r="M22" s="103"/>
      <c r="N22" s="103"/>
      <c r="O22" s="103"/>
      <c r="P22" s="103"/>
      <c r="Q22" s="103">
        <f>COUNT(Q8:Q21)</f>
        <v>9</v>
      </c>
      <c r="R22" s="103" t="s">
        <v>310</v>
      </c>
      <c r="S22" s="103"/>
      <c r="T22" s="103">
        <f>COUNT(T8:T21)</f>
        <v>9</v>
      </c>
      <c r="U22" s="20"/>
      <c r="V22" s="20"/>
      <c r="W22" s="94"/>
      <c r="X22" s="79"/>
      <c r="Y22" s="103">
        <f>COUNT(Y8:Y21)</f>
        <v>8</v>
      </c>
      <c r="Z22" s="79"/>
      <c r="AA22" s="94"/>
      <c r="AB22" s="79"/>
      <c r="AC22" s="79"/>
      <c r="AD22" s="79"/>
      <c r="AE22" s="79"/>
      <c r="AF22" s="20"/>
      <c r="AG22" s="79"/>
      <c r="AH22" s="103">
        <f>COUNT(AH8:AH21)</f>
        <v>6</v>
      </c>
      <c r="AI22" s="79"/>
      <c r="AJ22" s="79"/>
      <c r="AK22" s="103">
        <f>COUNT(AK8:AK21)</f>
        <v>7</v>
      </c>
      <c r="AL22" s="79"/>
      <c r="AM22" s="20"/>
      <c r="AN22" s="79"/>
      <c r="AO22" s="44"/>
      <c r="AP22" s="45"/>
      <c r="AQ22" s="44"/>
      <c r="AR22" s="20">
        <f>COUNT(AH8:AH21)</f>
        <v>6</v>
      </c>
      <c r="AW22" s="20">
        <f>COUNT(AK8:AK21)</f>
        <v>7</v>
      </c>
    </row>
    <row r="23" spans="1:51" ht="18" x14ac:dyDescent="0.25">
      <c r="A23" s="100"/>
      <c r="B23" s="692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79"/>
      <c r="AO23" s="79"/>
      <c r="AP23" s="44"/>
      <c r="AQ23" s="45"/>
      <c r="AR23" s="44"/>
      <c r="AS23" s="25"/>
    </row>
    <row r="24" spans="1:51" ht="18" x14ac:dyDescent="0.25">
      <c r="A24" s="100"/>
      <c r="B24" s="692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79"/>
      <c r="AO24" s="79"/>
      <c r="AP24" s="44"/>
      <c r="AQ24" s="45"/>
      <c r="AR24" s="44"/>
      <c r="AS24" s="25"/>
    </row>
    <row r="25" spans="1:51" ht="15" x14ac:dyDescent="0.2">
      <c r="A25" s="52"/>
      <c r="B25" s="693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75" x14ac:dyDescent="0.25">
      <c r="A26" s="52"/>
      <c r="B26" s="693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75" x14ac:dyDescent="0.25">
      <c r="A27" s="52"/>
      <c r="B27" s="693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75" x14ac:dyDescent="0.25">
      <c r="A28" s="52"/>
      <c r="B28" s="693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75" x14ac:dyDescent="0.25">
      <c r="A29" s="52"/>
      <c r="B29" s="693"/>
      <c r="C29" s="26"/>
      <c r="D29" s="26"/>
      <c r="E29" s="26"/>
      <c r="F29" s="26"/>
      <c r="G29" s="20"/>
      <c r="H29" s="20" t="s">
        <v>348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75" x14ac:dyDescent="0.25">
      <c r="A30" s="52"/>
      <c r="B30" s="693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129" customHeight="1" x14ac:dyDescent="0.2">
      <c r="A31" s="52"/>
      <c r="B31" s="693"/>
      <c r="C31" s="26"/>
      <c r="D31" s="640"/>
      <c r="E31" s="640"/>
      <c r="F31" s="640"/>
      <c r="G31" s="640"/>
      <c r="H31" s="640"/>
      <c r="I31" s="640"/>
      <c r="J31" s="640"/>
      <c r="K31" s="640"/>
      <c r="L31" s="640"/>
      <c r="M31" s="640"/>
      <c r="N31" s="640"/>
      <c r="O31" s="640"/>
      <c r="P31" s="640"/>
      <c r="Q31" s="727"/>
      <c r="R31" s="639"/>
      <c r="S31" s="20"/>
      <c r="T31" s="20"/>
      <c r="U31" s="20"/>
      <c r="V31" s="20"/>
      <c r="W31" s="20"/>
      <c r="X31" s="20"/>
      <c r="Y31" s="20"/>
      <c r="Z31" s="20"/>
    </row>
    <row r="32" spans="1:51" ht="26.25" customHeight="1" x14ac:dyDescent="0.2">
      <c r="A32" s="52"/>
      <c r="B32" s="694" t="s">
        <v>234</v>
      </c>
      <c r="C32" s="112" t="s">
        <v>152</v>
      </c>
      <c r="D32" s="113">
        <v>1</v>
      </c>
      <c r="E32" s="113">
        <v>2</v>
      </c>
      <c r="F32" s="113">
        <v>3</v>
      </c>
      <c r="G32" s="113">
        <v>4</v>
      </c>
      <c r="H32" s="114">
        <v>5</v>
      </c>
      <c r="I32" s="114">
        <v>6</v>
      </c>
      <c r="J32" s="114">
        <v>7</v>
      </c>
      <c r="K32" s="114">
        <v>8</v>
      </c>
      <c r="L32" s="114">
        <v>9</v>
      </c>
      <c r="M32" s="114">
        <v>10</v>
      </c>
      <c r="N32" s="114">
        <v>11</v>
      </c>
      <c r="O32" s="114">
        <v>12</v>
      </c>
      <c r="P32" s="114">
        <v>13</v>
      </c>
      <c r="Q32" s="114">
        <v>14</v>
      </c>
      <c r="R32" s="115">
        <v>15</v>
      </c>
      <c r="S32" s="116" t="s">
        <v>236</v>
      </c>
      <c r="T32" s="116" t="s">
        <v>170</v>
      </c>
      <c r="U32" s="116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15.75" x14ac:dyDescent="0.2">
      <c r="A33" s="51"/>
      <c r="B33" s="117" t="s">
        <v>232</v>
      </c>
      <c r="C33" s="118"/>
      <c r="D33" s="119"/>
      <c r="E33" s="119"/>
      <c r="F33" s="119"/>
      <c r="G33" s="119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1"/>
      <c r="S33" s="131">
        <v>1</v>
      </c>
      <c r="T33" s="106" t="str">
        <f>IF($D41=0," ",$D41)</f>
        <v xml:space="preserve"> </v>
      </c>
      <c r="U33" s="106" t="str">
        <f>IF($D47=0," ",$D47)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5.75" customHeight="1" x14ac:dyDescent="0.2">
      <c r="A34" s="51"/>
      <c r="B34" s="117" t="s">
        <v>1</v>
      </c>
      <c r="C34" s="155">
        <v>2</v>
      </c>
      <c r="D34" s="332"/>
      <c r="E34" s="347">
        <v>2</v>
      </c>
      <c r="F34" s="347">
        <v>2</v>
      </c>
      <c r="G34" s="347">
        <v>1</v>
      </c>
      <c r="H34" s="347">
        <v>2</v>
      </c>
      <c r="I34" s="356"/>
      <c r="J34" s="347"/>
      <c r="K34" s="356">
        <v>2</v>
      </c>
      <c r="L34" s="356">
        <v>2</v>
      </c>
      <c r="M34" s="356"/>
      <c r="N34" s="356">
        <v>2</v>
      </c>
      <c r="O34" s="347">
        <v>0</v>
      </c>
      <c r="P34" s="356">
        <v>2</v>
      </c>
      <c r="Q34" s="356"/>
      <c r="R34" s="357"/>
      <c r="S34" s="131">
        <v>2</v>
      </c>
      <c r="T34" s="106">
        <f>IF($E41=0," ",$E41)</f>
        <v>13</v>
      </c>
      <c r="U34" s="106">
        <f>IF($E47=0," ",$E47)</f>
        <v>20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117" t="s">
        <v>3</v>
      </c>
      <c r="C35" s="155">
        <v>2</v>
      </c>
      <c r="D35" s="332"/>
      <c r="E35" s="347">
        <v>1</v>
      </c>
      <c r="F35" s="347">
        <v>2</v>
      </c>
      <c r="G35" s="347"/>
      <c r="H35" s="347">
        <v>2</v>
      </c>
      <c r="I35" s="356"/>
      <c r="J35" s="347"/>
      <c r="K35" s="356">
        <v>2</v>
      </c>
      <c r="L35" s="356">
        <v>1</v>
      </c>
      <c r="M35" s="356"/>
      <c r="N35" s="356">
        <v>2</v>
      </c>
      <c r="O35" s="347">
        <v>2</v>
      </c>
      <c r="P35" s="356">
        <v>2</v>
      </c>
      <c r="Q35" s="356"/>
      <c r="R35" s="357"/>
      <c r="S35" s="131">
        <v>3</v>
      </c>
      <c r="T35" s="106">
        <f>IF($F41=0," ",$F41)</f>
        <v>9</v>
      </c>
      <c r="U35" s="106" t="str">
        <f>IF($F47=0," ",$F47)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117" t="s">
        <v>5</v>
      </c>
      <c r="C36" s="155">
        <v>2</v>
      </c>
      <c r="D36" s="332"/>
      <c r="E36" s="347">
        <v>2</v>
      </c>
      <c r="F36" s="347">
        <v>1</v>
      </c>
      <c r="G36" s="347"/>
      <c r="H36" s="347">
        <v>2</v>
      </c>
      <c r="I36" s="356"/>
      <c r="J36" s="347"/>
      <c r="K36" s="356">
        <v>2</v>
      </c>
      <c r="L36" s="356">
        <v>2</v>
      </c>
      <c r="M36" s="356"/>
      <c r="N36" s="356">
        <v>1</v>
      </c>
      <c r="O36" s="347">
        <v>0</v>
      </c>
      <c r="P36" s="356">
        <v>1</v>
      </c>
      <c r="Q36" s="356"/>
      <c r="R36" s="357"/>
      <c r="S36" s="131">
        <v>4</v>
      </c>
      <c r="T36" s="106">
        <f>IF($G41=0," ",$G41)</f>
        <v>1</v>
      </c>
      <c r="U36" s="106" t="str">
        <f>IF($G47=0," ",$G47)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117" t="s">
        <v>6</v>
      </c>
      <c r="C37" s="155">
        <v>2</v>
      </c>
      <c r="D37" s="332"/>
      <c r="E37" s="347">
        <v>2</v>
      </c>
      <c r="F37" s="347">
        <v>2</v>
      </c>
      <c r="G37" s="347"/>
      <c r="H37" s="347">
        <v>2</v>
      </c>
      <c r="I37" s="356"/>
      <c r="J37" s="348"/>
      <c r="K37" s="356">
        <v>2</v>
      </c>
      <c r="L37" s="356">
        <v>1</v>
      </c>
      <c r="M37" s="356"/>
      <c r="N37" s="356">
        <v>2</v>
      </c>
      <c r="O37" s="347">
        <v>2</v>
      </c>
      <c r="P37" s="356">
        <v>2</v>
      </c>
      <c r="Q37" s="356"/>
      <c r="R37" s="357"/>
      <c r="S37" s="131">
        <v>5</v>
      </c>
      <c r="T37" s="106">
        <f>IF($H41=0," ",$H41)</f>
        <v>12</v>
      </c>
      <c r="U37" s="106">
        <f>IF($H47=0," ",$H47)</f>
        <v>16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117" t="s">
        <v>7</v>
      </c>
      <c r="C38" s="155">
        <v>4</v>
      </c>
      <c r="D38" s="332"/>
      <c r="E38" s="347">
        <v>4</v>
      </c>
      <c r="F38" s="347">
        <v>0</v>
      </c>
      <c r="G38" s="347"/>
      <c r="H38" s="347">
        <v>2</v>
      </c>
      <c r="I38" s="356"/>
      <c r="J38" s="348"/>
      <c r="K38" s="356">
        <v>2</v>
      </c>
      <c r="L38" s="356">
        <v>2</v>
      </c>
      <c r="M38" s="356"/>
      <c r="N38" s="356"/>
      <c r="O38" s="347">
        <v>3</v>
      </c>
      <c r="P38" s="356">
        <v>4</v>
      </c>
      <c r="Q38" s="356"/>
      <c r="R38" s="357"/>
      <c r="S38" s="131">
        <v>6</v>
      </c>
      <c r="T38" s="106" t="str">
        <f>IF($I41=0," ",$I41)</f>
        <v xml:space="preserve"> </v>
      </c>
      <c r="U38" s="106" t="str">
        <f>IF($I47=0," ",$I47)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117" t="s">
        <v>8</v>
      </c>
      <c r="C39" s="155">
        <v>2</v>
      </c>
      <c r="D39" s="332"/>
      <c r="E39" s="347">
        <v>1</v>
      </c>
      <c r="F39" s="347">
        <v>1</v>
      </c>
      <c r="G39" s="347"/>
      <c r="H39" s="347">
        <v>1</v>
      </c>
      <c r="I39" s="356"/>
      <c r="J39" s="347"/>
      <c r="K39" s="356">
        <v>2</v>
      </c>
      <c r="L39" s="356">
        <v>2</v>
      </c>
      <c r="M39" s="356"/>
      <c r="N39" s="356"/>
      <c r="O39" s="347">
        <v>1</v>
      </c>
      <c r="P39" s="356">
        <v>2</v>
      </c>
      <c r="Q39" s="356"/>
      <c r="R39" s="357"/>
      <c r="S39" s="131">
        <v>7</v>
      </c>
      <c r="T39" s="106" t="str">
        <f>IF($J41=0," ",$J41)</f>
        <v xml:space="preserve"> </v>
      </c>
      <c r="U39" s="106" t="str">
        <f>IF($J47=0," ",$J47)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117" t="s">
        <v>160</v>
      </c>
      <c r="C40" s="155">
        <v>2</v>
      </c>
      <c r="D40" s="332"/>
      <c r="E40" s="347">
        <v>1</v>
      </c>
      <c r="F40" s="347">
        <v>1</v>
      </c>
      <c r="G40" s="347"/>
      <c r="H40" s="347">
        <v>1</v>
      </c>
      <c r="I40" s="356"/>
      <c r="J40" s="347"/>
      <c r="K40" s="356">
        <v>2</v>
      </c>
      <c r="L40" s="356">
        <v>2</v>
      </c>
      <c r="M40" s="356"/>
      <c r="N40" s="356"/>
      <c r="O40" s="347">
        <v>2</v>
      </c>
      <c r="P40" s="356">
        <v>2</v>
      </c>
      <c r="Q40" s="356"/>
      <c r="R40" s="357"/>
      <c r="S40" s="131">
        <v>8</v>
      </c>
      <c r="T40" s="106">
        <f>IF($K41=0," ",$K41)</f>
        <v>14</v>
      </c>
      <c r="U40" s="106">
        <f>IF($K47=0," ",$K47)</f>
        <v>18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122" t="s">
        <v>38</v>
      </c>
      <c r="C41" s="123">
        <f t="shared" ref="C41" si="10">SUM(C34:C40)</f>
        <v>16</v>
      </c>
      <c r="D41" s="107">
        <f t="shared" ref="D41:R41" si="11">SUM(D34:D40)</f>
        <v>0</v>
      </c>
      <c r="E41" s="107">
        <f t="shared" si="11"/>
        <v>13</v>
      </c>
      <c r="F41" s="107">
        <f t="shared" si="11"/>
        <v>9</v>
      </c>
      <c r="G41" s="107">
        <f t="shared" si="11"/>
        <v>1</v>
      </c>
      <c r="H41" s="107">
        <f t="shared" si="11"/>
        <v>12</v>
      </c>
      <c r="I41" s="107">
        <f t="shared" si="11"/>
        <v>0</v>
      </c>
      <c r="J41" s="107">
        <f t="shared" si="11"/>
        <v>0</v>
      </c>
      <c r="K41" s="107">
        <f t="shared" si="11"/>
        <v>14</v>
      </c>
      <c r="L41" s="107">
        <f t="shared" si="11"/>
        <v>12</v>
      </c>
      <c r="M41" s="107">
        <f t="shared" si="11"/>
        <v>0</v>
      </c>
      <c r="N41" s="107">
        <f t="shared" si="11"/>
        <v>7</v>
      </c>
      <c r="O41" s="107">
        <f t="shared" si="11"/>
        <v>10</v>
      </c>
      <c r="P41" s="421">
        <f t="shared" si="11"/>
        <v>15</v>
      </c>
      <c r="Q41" s="107">
        <f t="shared" si="11"/>
        <v>0</v>
      </c>
      <c r="R41" s="108">
        <f t="shared" si="11"/>
        <v>0</v>
      </c>
      <c r="S41" s="131">
        <v>9</v>
      </c>
      <c r="T41" s="106">
        <f>IF($L41=0," ",$L41)</f>
        <v>12</v>
      </c>
      <c r="U41" s="106">
        <f>IF($L47=0," ",$L47)</f>
        <v>10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75" x14ac:dyDescent="0.2">
      <c r="A42" s="51"/>
      <c r="B42" s="124" t="s">
        <v>10</v>
      </c>
      <c r="C42" s="125"/>
      <c r="D42" s="109"/>
      <c r="E42" s="109"/>
      <c r="F42" s="109"/>
      <c r="G42" s="110"/>
      <c r="H42" s="110"/>
      <c r="I42" s="110"/>
      <c r="J42" s="110"/>
      <c r="K42" s="110"/>
      <c r="L42" s="110"/>
      <c r="M42" s="110"/>
      <c r="N42" s="110"/>
      <c r="O42" s="110"/>
      <c r="P42" s="425"/>
      <c r="Q42" s="110"/>
      <c r="R42" s="111"/>
      <c r="S42" s="131">
        <v>10</v>
      </c>
      <c r="T42" s="106" t="str">
        <f>IF($M41=0," ",$M41)</f>
        <v xml:space="preserve"> </v>
      </c>
      <c r="U42" s="106">
        <f>IF($M47=0," ",$M47)</f>
        <v>20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5">
      <c r="A43" s="51"/>
      <c r="B43" s="126" t="s">
        <v>13</v>
      </c>
      <c r="C43" s="155">
        <v>10</v>
      </c>
      <c r="D43" s="363"/>
      <c r="E43" s="364">
        <v>10</v>
      </c>
      <c r="F43" s="364"/>
      <c r="G43" s="365"/>
      <c r="H43" s="365">
        <v>10</v>
      </c>
      <c r="I43" s="365"/>
      <c r="J43" s="365"/>
      <c r="K43" s="365">
        <v>10</v>
      </c>
      <c r="L43" s="365">
        <v>10</v>
      </c>
      <c r="M43" s="365">
        <v>10</v>
      </c>
      <c r="N43" s="365">
        <v>10</v>
      </c>
      <c r="O43" s="365">
        <v>10</v>
      </c>
      <c r="P43" s="365">
        <v>10</v>
      </c>
      <c r="Q43" s="365"/>
      <c r="R43" s="366"/>
      <c r="S43" s="131">
        <v>11</v>
      </c>
      <c r="T43" s="106">
        <f>IF($N41=0," ",$N41)</f>
        <v>7</v>
      </c>
      <c r="U43" s="106">
        <f>IF($N47=0," ",$N47)</f>
        <v>10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5">
      <c r="A44" s="51"/>
      <c r="B44" s="126" t="s">
        <v>161</v>
      </c>
      <c r="C44" s="155">
        <v>2</v>
      </c>
      <c r="D44" s="363"/>
      <c r="E44" s="364">
        <v>2</v>
      </c>
      <c r="F44" s="364"/>
      <c r="G44" s="365"/>
      <c r="H44" s="365">
        <v>2</v>
      </c>
      <c r="I44" s="365"/>
      <c r="J44" s="365"/>
      <c r="K44" s="365"/>
      <c r="L44" s="365"/>
      <c r="M44" s="365">
        <v>2</v>
      </c>
      <c r="N44" s="365"/>
      <c r="O44" s="365"/>
      <c r="P44" s="365">
        <v>2</v>
      </c>
      <c r="Q44" s="365"/>
      <c r="R44" s="366"/>
      <c r="S44" s="131">
        <v>12</v>
      </c>
      <c r="T44" s="106">
        <f>IF($O41=0," ",$O41)</f>
        <v>10</v>
      </c>
      <c r="U44" s="106">
        <f>IF($O47=0," ",$O47)</f>
        <v>10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8" x14ac:dyDescent="0.25">
      <c r="A45" s="51"/>
      <c r="B45" s="126" t="s">
        <v>15</v>
      </c>
      <c r="C45" s="155">
        <v>4</v>
      </c>
      <c r="D45" s="367"/>
      <c r="E45" s="368">
        <v>4</v>
      </c>
      <c r="F45" s="368"/>
      <c r="G45" s="369"/>
      <c r="H45" s="369">
        <v>4</v>
      </c>
      <c r="I45" s="369"/>
      <c r="J45" s="369"/>
      <c r="K45" s="369">
        <v>4</v>
      </c>
      <c r="L45" s="369"/>
      <c r="M45" s="369">
        <v>4</v>
      </c>
      <c r="N45" s="369"/>
      <c r="O45" s="369"/>
      <c r="P45" s="369">
        <v>4</v>
      </c>
      <c r="Q45" s="369"/>
      <c r="R45" s="370"/>
      <c r="S45" s="131">
        <v>13</v>
      </c>
      <c r="T45" s="106">
        <f>IF($P41=0," ",$P41)</f>
        <v>15</v>
      </c>
      <c r="U45" s="106">
        <f>IF($P47=0," ",$P47)</f>
        <v>18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5">
      <c r="A46" s="51"/>
      <c r="B46" s="164" t="s">
        <v>227</v>
      </c>
      <c r="C46" s="155">
        <v>4</v>
      </c>
      <c r="D46" s="367"/>
      <c r="E46" s="368">
        <v>4</v>
      </c>
      <c r="F46" s="368"/>
      <c r="G46" s="369"/>
      <c r="H46" s="369"/>
      <c r="I46" s="369"/>
      <c r="J46" s="369"/>
      <c r="K46" s="369">
        <v>4</v>
      </c>
      <c r="L46" s="369"/>
      <c r="M46" s="369">
        <v>4</v>
      </c>
      <c r="N46" s="369"/>
      <c r="O46" s="369"/>
      <c r="P46" s="369">
        <v>2</v>
      </c>
      <c r="Q46" s="369"/>
      <c r="R46" s="370"/>
      <c r="S46" s="131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.75" x14ac:dyDescent="0.2">
      <c r="A47" s="51"/>
      <c r="B47" s="122" t="s">
        <v>38</v>
      </c>
      <c r="C47" s="123">
        <f>SUM(C43:C46)</f>
        <v>20</v>
      </c>
      <c r="D47" s="107">
        <f t="shared" ref="D47:R47" si="12">SUM(D43:D46)</f>
        <v>0</v>
      </c>
      <c r="E47" s="107">
        <f t="shared" si="12"/>
        <v>20</v>
      </c>
      <c r="F47" s="107">
        <f t="shared" si="12"/>
        <v>0</v>
      </c>
      <c r="G47" s="107">
        <f t="shared" si="12"/>
        <v>0</v>
      </c>
      <c r="H47" s="107">
        <f t="shared" si="12"/>
        <v>16</v>
      </c>
      <c r="I47" s="107">
        <f t="shared" si="12"/>
        <v>0</v>
      </c>
      <c r="J47" s="107">
        <f t="shared" si="12"/>
        <v>0</v>
      </c>
      <c r="K47" s="107">
        <f t="shared" si="12"/>
        <v>18</v>
      </c>
      <c r="L47" s="107">
        <f t="shared" si="12"/>
        <v>10</v>
      </c>
      <c r="M47" s="107">
        <f t="shared" si="12"/>
        <v>20</v>
      </c>
      <c r="N47" s="107">
        <f t="shared" si="12"/>
        <v>10</v>
      </c>
      <c r="O47" s="107">
        <f t="shared" si="12"/>
        <v>10</v>
      </c>
      <c r="P47" s="107">
        <f t="shared" si="12"/>
        <v>18</v>
      </c>
      <c r="Q47" s="107">
        <f t="shared" si="12"/>
        <v>0</v>
      </c>
      <c r="R47" s="108">
        <f t="shared" si="12"/>
        <v>0</v>
      </c>
      <c r="S47" s="131">
        <v>15</v>
      </c>
      <c r="T47" s="106" t="str">
        <f>IF($R41=0," ",$R41)</f>
        <v xml:space="preserve"> </v>
      </c>
      <c r="U47" s="106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">
      <c r="A48" s="51"/>
      <c r="B48" s="695"/>
      <c r="C48" s="127"/>
      <c r="D48" s="127"/>
      <c r="E48" s="127"/>
      <c r="F48" s="127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32"/>
      <c r="T48" s="20">
        <f>COUNTIF(T33:T47,"&gt;0")</f>
        <v>9</v>
      </c>
      <c r="U48" s="20">
        <f>COUNTIF(U33:U47,"&gt;0")</f>
        <v>8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695"/>
      <c r="C49" s="127"/>
      <c r="D49" s="127"/>
      <c r="E49" s="127"/>
      <c r="F49" s="127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05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695"/>
      <c r="C50" s="127"/>
      <c r="D50" s="127"/>
      <c r="E50" s="127"/>
      <c r="F50" s="127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05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1"/>
      <c r="B51" s="696"/>
      <c r="C51" s="129"/>
      <c r="D51" s="129"/>
      <c r="E51" s="129"/>
      <c r="F51" s="129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</row>
    <row r="52" spans="1:50" x14ac:dyDescent="0.2">
      <c r="A52" s="51"/>
      <c r="B52" s="696"/>
      <c r="C52" s="129"/>
      <c r="D52" s="129"/>
      <c r="E52" s="129"/>
      <c r="F52" s="129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</row>
    <row r="53" spans="1:50" x14ac:dyDescent="0.2">
      <c r="A53" s="51"/>
      <c r="B53" s="697"/>
    </row>
    <row r="54" spans="1:50" x14ac:dyDescent="0.2">
      <c r="A54" s="51"/>
      <c r="B54" s="697"/>
    </row>
    <row r="55" spans="1:50" x14ac:dyDescent="0.2">
      <c r="A55" s="51"/>
      <c r="B55" s="697"/>
    </row>
    <row r="56" spans="1:50" x14ac:dyDescent="0.2">
      <c r="A56" s="51"/>
      <c r="B56" s="697"/>
    </row>
    <row r="57" spans="1:50" x14ac:dyDescent="0.2">
      <c r="A57" s="51"/>
      <c r="B57" s="697"/>
    </row>
    <row r="58" spans="1:50" x14ac:dyDescent="0.2">
      <c r="A58" s="51"/>
      <c r="B58" s="697"/>
    </row>
    <row r="59" spans="1:50" x14ac:dyDescent="0.2">
      <c r="A59" s="51"/>
      <c r="B59" s="697"/>
    </row>
    <row r="60" spans="1:50" x14ac:dyDescent="0.2">
      <c r="A60" s="51"/>
      <c r="B60" s="697"/>
    </row>
    <row r="61" spans="1:50" x14ac:dyDescent="0.2">
      <c r="A61" s="51"/>
      <c r="B61" s="697"/>
    </row>
    <row r="62" spans="1:50" x14ac:dyDescent="0.2">
      <c r="A62" s="51"/>
      <c r="B62" s="697"/>
    </row>
    <row r="63" spans="1:50" x14ac:dyDescent="0.2">
      <c r="A63" s="51"/>
      <c r="B63" s="697"/>
    </row>
    <row r="64" spans="1:50" x14ac:dyDescent="0.2">
      <c r="A64" s="51"/>
      <c r="B64" s="697"/>
    </row>
    <row r="65" spans="1:2" x14ac:dyDescent="0.2">
      <c r="A65" s="51"/>
      <c r="B65" s="697"/>
    </row>
    <row r="66" spans="1:2" x14ac:dyDescent="0.2">
      <c r="A66" s="51"/>
      <c r="B66" s="697"/>
    </row>
    <row r="67" spans="1:2" x14ac:dyDescent="0.2">
      <c r="A67" s="51"/>
      <c r="B67" s="697"/>
    </row>
    <row r="68" spans="1:2" x14ac:dyDescent="0.2">
      <c r="A68" s="51"/>
      <c r="B68" s="697"/>
    </row>
    <row r="69" spans="1:2" x14ac:dyDescent="0.2">
      <c r="A69" s="51"/>
      <c r="B69" s="697"/>
    </row>
    <row r="70" spans="1:2" x14ac:dyDescent="0.2">
      <c r="A70" s="51"/>
      <c r="B70" s="697"/>
    </row>
    <row r="71" spans="1:2" x14ac:dyDescent="0.2">
      <c r="A71" s="51"/>
      <c r="B71" s="697"/>
    </row>
    <row r="72" spans="1:2" x14ac:dyDescent="0.2">
      <c r="A72" s="51"/>
      <c r="B72" s="697"/>
    </row>
    <row r="73" spans="1:2" x14ac:dyDescent="0.2">
      <c r="A73" s="51"/>
      <c r="B73" s="697"/>
    </row>
    <row r="74" spans="1:2" x14ac:dyDescent="0.2">
      <c r="A74" s="51"/>
      <c r="B74" s="697"/>
    </row>
    <row r="75" spans="1:2" x14ac:dyDescent="0.2">
      <c r="A75" s="51"/>
      <c r="B75" s="697"/>
    </row>
    <row r="76" spans="1:2" x14ac:dyDescent="0.2">
      <c r="A76" s="51"/>
      <c r="B76" s="697"/>
    </row>
    <row r="77" spans="1:2" x14ac:dyDescent="0.2">
      <c r="A77" s="51"/>
      <c r="B77" s="697"/>
    </row>
    <row r="78" spans="1:2" x14ac:dyDescent="0.2">
      <c r="A78" s="51"/>
      <c r="B78" s="697"/>
    </row>
    <row r="79" spans="1:2" x14ac:dyDescent="0.2">
      <c r="A79" s="51"/>
      <c r="B79" s="697"/>
    </row>
    <row r="80" spans="1:2" x14ac:dyDescent="0.2">
      <c r="A80" s="51"/>
      <c r="B80" s="697"/>
    </row>
    <row r="81" spans="1:2" x14ac:dyDescent="0.2">
      <c r="A81" s="51"/>
      <c r="B81" s="697"/>
    </row>
    <row r="82" spans="1:2" x14ac:dyDescent="0.2">
      <c r="A82" s="51"/>
      <c r="B82" s="697"/>
    </row>
    <row r="83" spans="1:2" x14ac:dyDescent="0.2">
      <c r="A83" s="51"/>
      <c r="B83" s="697"/>
    </row>
    <row r="84" spans="1:2" x14ac:dyDescent="0.2">
      <c r="A84" s="51"/>
      <c r="B84" s="697"/>
    </row>
    <row r="85" spans="1:2" x14ac:dyDescent="0.2">
      <c r="A85" s="51"/>
      <c r="B85" s="697"/>
    </row>
    <row r="86" spans="1:2" x14ac:dyDescent="0.2">
      <c r="A86" s="51"/>
      <c r="B86" s="697"/>
    </row>
    <row r="87" spans="1:2" x14ac:dyDescent="0.2">
      <c r="A87" s="51"/>
      <c r="B87" s="697"/>
    </row>
    <row r="88" spans="1:2" x14ac:dyDescent="0.2">
      <c r="A88" s="51"/>
      <c r="B88" s="697"/>
    </row>
    <row r="89" spans="1:2" x14ac:dyDescent="0.2">
      <c r="A89" s="51"/>
      <c r="B89" s="697"/>
    </row>
    <row r="90" spans="1:2" x14ac:dyDescent="0.2">
      <c r="A90" s="51"/>
      <c r="B90" s="697"/>
    </row>
    <row r="91" spans="1:2" x14ac:dyDescent="0.2">
      <c r="A91" s="51"/>
      <c r="B91" s="697"/>
    </row>
    <row r="92" spans="1:2" x14ac:dyDescent="0.2">
      <c r="A92" s="51"/>
      <c r="B92" s="697"/>
    </row>
    <row r="93" spans="1:2" x14ac:dyDescent="0.2">
      <c r="A93" s="51"/>
      <c r="B93" s="697"/>
    </row>
    <row r="94" spans="1:2" x14ac:dyDescent="0.2">
      <c r="A94" s="51"/>
      <c r="B94" s="697"/>
    </row>
    <row r="95" spans="1:2" x14ac:dyDescent="0.2">
      <c r="A95" s="51"/>
      <c r="B95" s="697"/>
    </row>
    <row r="96" spans="1:2" x14ac:dyDescent="0.2">
      <c r="A96" s="51"/>
      <c r="B96" s="697"/>
    </row>
    <row r="97" spans="1:2" x14ac:dyDescent="0.2">
      <c r="A97" s="51"/>
      <c r="B97" s="697"/>
    </row>
    <row r="98" spans="1:2" x14ac:dyDescent="0.2">
      <c r="A98" s="51"/>
      <c r="B98" s="697"/>
    </row>
    <row r="99" spans="1:2" x14ac:dyDescent="0.2">
      <c r="A99" s="51"/>
      <c r="B99" s="697"/>
    </row>
    <row r="100" spans="1:2" x14ac:dyDescent="0.2">
      <c r="A100" s="51"/>
      <c r="B100" s="697"/>
    </row>
    <row r="101" spans="1:2" x14ac:dyDescent="0.2">
      <c r="A101" s="51"/>
      <c r="B101" s="697"/>
    </row>
    <row r="102" spans="1:2" x14ac:dyDescent="0.2">
      <c r="A102" s="51"/>
      <c r="B102" s="697"/>
    </row>
    <row r="103" spans="1:2" x14ac:dyDescent="0.2">
      <c r="A103" s="51"/>
      <c r="B103" s="697"/>
    </row>
    <row r="104" spans="1:2" x14ac:dyDescent="0.2">
      <c r="A104" s="51"/>
      <c r="B104" s="697"/>
    </row>
    <row r="105" spans="1:2" x14ac:dyDescent="0.2">
      <c r="A105" s="51"/>
      <c r="B105" s="697"/>
    </row>
    <row r="106" spans="1:2" x14ac:dyDescent="0.2">
      <c r="A106" s="51"/>
      <c r="B106" s="697"/>
    </row>
    <row r="107" spans="1:2" x14ac:dyDescent="0.2">
      <c r="A107" s="51"/>
      <c r="B107" s="697"/>
    </row>
    <row r="108" spans="1:2" x14ac:dyDescent="0.2">
      <c r="A108" s="51"/>
      <c r="B108" s="697"/>
    </row>
    <row r="109" spans="1:2" x14ac:dyDescent="0.2">
      <c r="A109" s="51"/>
      <c r="B109" s="697"/>
    </row>
    <row r="110" spans="1:2" x14ac:dyDescent="0.2">
      <c r="A110" s="51"/>
      <c r="B110" s="697"/>
    </row>
    <row r="111" spans="1:2" x14ac:dyDescent="0.2">
      <c r="A111" s="51"/>
      <c r="B111" s="697"/>
    </row>
    <row r="112" spans="1:2" x14ac:dyDescent="0.2">
      <c r="A112" s="51"/>
      <c r="B112" s="697"/>
    </row>
    <row r="113" spans="1:2" x14ac:dyDescent="0.2">
      <c r="A113" s="51"/>
      <c r="B113" s="697"/>
    </row>
    <row r="114" spans="1:2" x14ac:dyDescent="0.2">
      <c r="A114" s="51"/>
      <c r="B114" s="697"/>
    </row>
    <row r="115" spans="1:2" x14ac:dyDescent="0.2">
      <c r="A115" s="51"/>
      <c r="B115" s="697"/>
    </row>
    <row r="116" spans="1:2" x14ac:dyDescent="0.2">
      <c r="A116" s="51"/>
      <c r="B116" s="697"/>
    </row>
    <row r="117" spans="1:2" x14ac:dyDescent="0.2">
      <c r="A117" s="51"/>
      <c r="B117" s="697"/>
    </row>
    <row r="118" spans="1:2" x14ac:dyDescent="0.2">
      <c r="A118" s="51"/>
      <c r="B118" s="697"/>
    </row>
    <row r="119" spans="1:2" x14ac:dyDescent="0.2">
      <c r="A119" s="51"/>
      <c r="B119" s="697"/>
    </row>
    <row r="120" spans="1:2" x14ac:dyDescent="0.2">
      <c r="A120" s="51"/>
      <c r="B120" s="697"/>
    </row>
    <row r="121" spans="1:2" x14ac:dyDescent="0.2">
      <c r="A121" s="51"/>
      <c r="B121" s="697"/>
    </row>
    <row r="122" spans="1:2" x14ac:dyDescent="0.2">
      <c r="A122" s="51"/>
      <c r="B122" s="697"/>
    </row>
    <row r="123" spans="1:2" x14ac:dyDescent="0.2">
      <c r="A123" s="51"/>
      <c r="B123" s="697"/>
    </row>
    <row r="124" spans="1:2" x14ac:dyDescent="0.2">
      <c r="A124" s="51"/>
      <c r="B124" s="697"/>
    </row>
    <row r="125" spans="1:2" x14ac:dyDescent="0.2">
      <c r="A125" s="51"/>
      <c r="B125" s="697"/>
    </row>
    <row r="126" spans="1:2" x14ac:dyDescent="0.2">
      <c r="A126" s="51"/>
      <c r="B126" s="697"/>
    </row>
    <row r="127" spans="1:2" x14ac:dyDescent="0.2">
      <c r="A127" s="51"/>
      <c r="B127" s="697"/>
    </row>
    <row r="128" spans="1:2" x14ac:dyDescent="0.2">
      <c r="A128" s="51"/>
      <c r="B128" s="697"/>
    </row>
    <row r="129" spans="1:2" x14ac:dyDescent="0.2">
      <c r="A129" s="51"/>
      <c r="B129" s="697"/>
    </row>
    <row r="130" spans="1:2" x14ac:dyDescent="0.2">
      <c r="A130" s="51"/>
      <c r="B130" s="697"/>
    </row>
    <row r="131" spans="1:2" x14ac:dyDescent="0.2">
      <c r="A131" s="51"/>
      <c r="B131" s="697"/>
    </row>
    <row r="132" spans="1:2" x14ac:dyDescent="0.2">
      <c r="A132" s="51"/>
      <c r="B132" s="697"/>
    </row>
    <row r="133" spans="1:2" x14ac:dyDescent="0.2">
      <c r="A133" s="51"/>
      <c r="B133" s="697"/>
    </row>
    <row r="134" spans="1:2" x14ac:dyDescent="0.2">
      <c r="A134" s="51"/>
      <c r="B134" s="697"/>
    </row>
    <row r="135" spans="1:2" x14ac:dyDescent="0.2">
      <c r="A135" s="51"/>
      <c r="B135" s="697"/>
    </row>
    <row r="136" spans="1:2" x14ac:dyDescent="0.2">
      <c r="A136" s="51"/>
      <c r="B136" s="697"/>
    </row>
    <row r="137" spans="1:2" x14ac:dyDescent="0.2">
      <c r="A137" s="51"/>
      <c r="B137" s="697"/>
    </row>
    <row r="138" spans="1:2" x14ac:dyDescent="0.2">
      <c r="A138" s="51"/>
      <c r="B138" s="697"/>
    </row>
    <row r="139" spans="1:2" x14ac:dyDescent="0.2">
      <c r="A139" s="51"/>
      <c r="B139" s="697"/>
    </row>
    <row r="140" spans="1:2" x14ac:dyDescent="0.2">
      <c r="A140" s="51"/>
      <c r="B140" s="697"/>
    </row>
    <row r="141" spans="1:2" x14ac:dyDescent="0.2">
      <c r="A141" s="51"/>
      <c r="B141" s="697"/>
    </row>
    <row r="142" spans="1:2" x14ac:dyDescent="0.2">
      <c r="A142" s="51"/>
      <c r="B142" s="697"/>
    </row>
    <row r="143" spans="1:2" x14ac:dyDescent="0.2">
      <c r="A143" s="51"/>
      <c r="B143" s="697"/>
    </row>
    <row r="144" spans="1:2" x14ac:dyDescent="0.2">
      <c r="A144" s="51"/>
      <c r="B144" s="697"/>
    </row>
    <row r="145" spans="1:2" x14ac:dyDescent="0.2">
      <c r="A145" s="51"/>
      <c r="B145" s="697"/>
    </row>
  </sheetData>
  <customSheetViews>
    <customSheetView guid="{C5D960BD-C1A6-4228-A267-A87ADCF0AB55}" scale="70" showPageBreaks="1" showGridLines="0" fitToPage="1" printArea="1">
      <pane xSplit="6" ySplit="6" topLeftCell="G7" activePane="bottomRight" state="frozen"/>
      <selection pane="bottomRight" activeCell="B2" sqref="B2"/>
      <pageMargins left="0.56000000000000005" right="0.39" top="0.64" bottom="0.65" header="0.5" footer="0.5"/>
      <pageSetup paperSize="9" scale="27" fitToWidth="2" orientation="portrait" horizontalDpi="4294967293" r:id="rId1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G32" activePane="bottomRight" state="frozen"/>
      <selection pane="bottomRight" activeCell="P47" sqref="P47"/>
      <pageMargins left="0.56000000000000005" right="0.39" top="0.64" bottom="0.65" header="0.5" footer="0.5"/>
      <pageSetup paperSize="9" scale="27" fitToWidth="2" orientation="portrait" horizontalDpi="4294967293" r:id="rId2"/>
      <headerFooter alignWithMargins="0">
        <oddHeader>&amp;C</oddHeader>
      </headerFooter>
    </customSheetView>
    <customSheetView guid="{1C44C54F-C0A4-451D-B8A0-B8C17D7E284D}" scale="70" showPageBreaks="1" showGridLines="0" fitToPage="1" printArea="1">
      <pane xSplit="6" ySplit="6" topLeftCell="AE7" activePane="bottomRight" state="frozen"/>
      <selection pane="bottomRight" activeCell="C3" sqref="C3:C7"/>
      <pageMargins left="0.56000000000000005" right="0.39" top="0.64" bottom="0.65" header="0.5" footer="0.5"/>
      <pageSetup paperSize="9" scale="28" fitToWidth="2" orientation="portrait" horizontalDpi="4294967293" verticalDpi="0" r:id="rId3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9" scale="30" fitToWidth="2" orientation="portrait" horizontalDpi="4294967293" r:id="rId4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5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6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7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8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9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10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11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12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13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16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22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23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24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25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26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27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28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29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30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31"/>
      <headerFooter alignWithMargins="0">
        <oddHeader>&amp;C</oddHeader>
      </headerFooter>
    </customSheetView>
    <customSheetView guid="{C2F30B35-D639-4BB4-A50F-41AB6A913442}" scale="70" showPageBreaks="1" showGridLines="0" fitToPage="1" hiddenRows="1">
      <pane xSplit="6" ySplit="7" topLeftCell="AH14" activePane="bottomRight" state="frozen"/>
      <selection pane="bottomRight" activeCell="AW17" sqref="AW17"/>
      <pageMargins left="0.56000000000000005" right="0.39" top="0.64" bottom="0.65" header="0.5" footer="0.5"/>
      <pageSetup paperSize="9" scale="51" fitToWidth="2" orientation="landscape" r:id="rId3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AN7" activePane="bottomRight" state="frozen"/>
      <selection pane="bottomRight" activeCell="AV13" sqref="AV13"/>
      <pageMargins left="0.56000000000000005" right="0.39" top="0.64" bottom="0.65" header="0.5" footer="0.5"/>
      <pageSetup paperSize="9" scale="40" fitToWidth="2" orientation="landscape" r:id="rId33"/>
      <headerFooter alignWithMargins="0">
        <oddHeader>&amp;C</oddHeader>
      </headerFooter>
    </customSheetView>
  </customSheetViews>
  <mergeCells count="45">
    <mergeCell ref="A3:A7"/>
    <mergeCell ref="F5:F6"/>
    <mergeCell ref="G5:G6"/>
    <mergeCell ref="C3:C7"/>
    <mergeCell ref="E3:E7"/>
    <mergeCell ref="F3:G3"/>
    <mergeCell ref="D3:D7"/>
    <mergeCell ref="V2:W2"/>
    <mergeCell ref="Z3:AA3"/>
    <mergeCell ref="H3:I3"/>
    <mergeCell ref="M3:N3"/>
    <mergeCell ref="M5:M6"/>
    <mergeCell ref="V5:V6"/>
    <mergeCell ref="S5:S6"/>
    <mergeCell ref="U5:U6"/>
    <mergeCell ref="W5:W6"/>
    <mergeCell ref="H5:H6"/>
    <mergeCell ref="I5:I6"/>
    <mergeCell ref="J5:J6"/>
    <mergeCell ref="K5:K6"/>
    <mergeCell ref="S2:T2"/>
    <mergeCell ref="AD3:AE3"/>
    <mergeCell ref="U3:V3"/>
    <mergeCell ref="O3:Q3"/>
    <mergeCell ref="AF3:AH3"/>
    <mergeCell ref="AB3:AC3"/>
    <mergeCell ref="AI7:AK7"/>
    <mergeCell ref="AE5:AE6"/>
    <mergeCell ref="AD5:AD6"/>
    <mergeCell ref="O7:Q7"/>
    <mergeCell ref="AF7:AH7"/>
    <mergeCell ref="AI5:AI6"/>
    <mergeCell ref="P5:P6"/>
    <mergeCell ref="O5:O6"/>
    <mergeCell ref="AF5:AF6"/>
    <mergeCell ref="R5:R6"/>
    <mergeCell ref="Z5:Z6"/>
    <mergeCell ref="X5:X6"/>
    <mergeCell ref="AB5:AB6"/>
    <mergeCell ref="AL3:AM3"/>
    <mergeCell ref="AL5:AL6"/>
    <mergeCell ref="AM5:AM6"/>
    <mergeCell ref="AJ5:AJ6"/>
    <mergeCell ref="AG5:AG6"/>
    <mergeCell ref="AI3:AK3"/>
  </mergeCells>
  <phoneticPr fontId="1" type="noConversion"/>
  <conditionalFormatting sqref="M29 F22:F24 E8:E21">
    <cfRule type="cellIs" dxfId="11" priority="1" stopIfTrue="1" operator="greaterThan">
      <formula>21</formula>
    </cfRule>
  </conditionalFormatting>
  <pageMargins left="0.56000000000000005" right="0.39" top="0.64" bottom="0.65" header="0.5" footer="0.5"/>
  <pageSetup paperSize="9" scale="27" fitToWidth="2" orientation="portrait" horizontalDpi="4294967293" r:id="rId34"/>
  <headerFooter alignWithMargins="0">
    <oddHeader>&amp;C</oddHeader>
  </headerFooter>
  <legacy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AY144"/>
  <sheetViews>
    <sheetView showGridLines="0" zoomScale="70" zoomScaleNormal="80" zoomScalePageLayoutView="5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C3" sqref="C3:C7"/>
    </sheetView>
  </sheetViews>
  <sheetFormatPr defaultColWidth="9.28515625" defaultRowHeight="12.75" x14ac:dyDescent="0.2"/>
  <cols>
    <col min="1" max="1" width="4.28515625" style="1" customWidth="1"/>
    <col min="2" max="2" width="54.28515625" style="30" customWidth="1"/>
    <col min="3" max="3" width="6.7109375" style="30" customWidth="1"/>
    <col min="4" max="4" width="8.140625" style="30" customWidth="1"/>
    <col min="5" max="5" width="6.7109375" style="30" customWidth="1"/>
    <col min="6" max="6" width="11" style="30" customWidth="1"/>
    <col min="7" max="7" width="14" style="1" customWidth="1"/>
    <col min="8" max="8" width="10.5703125" style="1" customWidth="1"/>
    <col min="9" max="9" width="12.28515625" style="1" customWidth="1"/>
    <col min="10" max="10" width="10.42578125" style="1" customWidth="1"/>
    <col min="11" max="11" width="14.28515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3.28515625" style="1" customWidth="1"/>
    <col min="16" max="16" width="9.7109375" style="1" customWidth="1"/>
    <col min="17" max="17" width="9" style="1" customWidth="1"/>
    <col min="18" max="18" width="10" style="1" customWidth="1"/>
    <col min="19" max="19" width="9.7109375" style="1" customWidth="1"/>
    <col min="20" max="20" width="9" style="51" customWidth="1"/>
    <col min="21" max="21" width="13" style="1" customWidth="1"/>
    <col min="22" max="22" width="9.85546875" style="1" customWidth="1"/>
    <col min="23" max="23" width="11.7109375" style="1" customWidth="1"/>
    <col min="24" max="24" width="11.5703125" style="1" customWidth="1"/>
    <col min="25" max="25" width="9.28515625" style="1" customWidth="1"/>
    <col min="26" max="26" width="12" style="1" customWidth="1"/>
    <col min="27" max="27" width="9.7109375" style="1" customWidth="1"/>
    <col min="28" max="28" width="10.7109375" style="1" customWidth="1"/>
    <col min="29" max="29" width="10.28515625" style="1" customWidth="1"/>
    <col min="30" max="30" width="10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1.7109375" style="1" customWidth="1"/>
    <col min="36" max="36" width="11" style="1" customWidth="1"/>
    <col min="37" max="37" width="12" style="1" customWidth="1"/>
    <col min="38" max="38" width="10.7109375" style="1" customWidth="1"/>
    <col min="39" max="39" width="9.85546875" style="1" customWidth="1"/>
    <col min="40" max="40" width="11.5703125" style="1" customWidth="1"/>
    <col min="41" max="41" width="10" style="1" customWidth="1"/>
    <col min="42" max="42" width="10.85546875" style="1" customWidth="1"/>
    <col min="43" max="43" width="11.28515625" style="1" customWidth="1"/>
    <col min="44" max="44" width="8" style="1" customWidth="1"/>
    <col min="45" max="45" width="12.140625" style="1" customWidth="1"/>
    <col min="46" max="46" width="10.42578125" style="1" bestFit="1" customWidth="1"/>
    <col min="47" max="47" width="13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0.42578125" style="1" bestFit="1" customWidth="1"/>
    <col min="53" max="53" width="9.28515625" style="1"/>
    <col min="54" max="54" width="10.42578125" style="1" bestFit="1" customWidth="1"/>
    <col min="55" max="16384" width="9.28515625" style="1"/>
  </cols>
  <sheetData>
    <row r="1" spans="1:46" x14ac:dyDescent="0.2">
      <c r="U1" s="1" t="s">
        <v>266</v>
      </c>
    </row>
    <row r="2" spans="1:46" ht="29.25" customHeight="1" thickBot="1" x14ac:dyDescent="0.25">
      <c r="A2" s="20"/>
      <c r="B2" s="239" t="s">
        <v>297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 s="166"/>
      <c r="Q2" t="s">
        <v>175</v>
      </c>
      <c r="R2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/>
      <c r="Z2" s="575" t="s">
        <v>176</v>
      </c>
      <c r="AA2" s="575"/>
      <c r="AB2" s="575" t="s">
        <v>176</v>
      </c>
      <c r="AC2" s="575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41"/>
      <c r="AQ2" s="90"/>
      <c r="AR2" s="90"/>
      <c r="AS2" s="41"/>
      <c r="AT2" s="41"/>
    </row>
    <row r="3" spans="1:46" ht="22.5" customHeight="1" thickBot="1" x14ac:dyDescent="0.3">
      <c r="A3" s="908"/>
      <c r="B3" s="209"/>
      <c r="C3" s="942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439" t="s">
        <v>134</v>
      </c>
      <c r="K3" s="440"/>
      <c r="L3" s="441"/>
      <c r="M3" s="923" t="s">
        <v>135</v>
      </c>
      <c r="N3" s="932"/>
      <c r="O3" s="923" t="s">
        <v>136</v>
      </c>
      <c r="P3" s="944"/>
      <c r="Q3" s="932"/>
      <c r="R3" s="442" t="s">
        <v>137</v>
      </c>
      <c r="S3" s="443"/>
      <c r="T3" s="443"/>
      <c r="U3" s="923" t="s">
        <v>138</v>
      </c>
      <c r="V3" s="932"/>
      <c r="W3" s="444" t="s">
        <v>139</v>
      </c>
      <c r="X3" s="445"/>
      <c r="Y3" s="446"/>
      <c r="Z3" s="921" t="s">
        <v>140</v>
      </c>
      <c r="AA3" s="922"/>
      <c r="AB3" s="923" t="s">
        <v>141</v>
      </c>
      <c r="AC3" s="924"/>
      <c r="AD3" s="919" t="s">
        <v>142</v>
      </c>
      <c r="AE3" s="920"/>
      <c r="AF3" s="923" t="s">
        <v>143</v>
      </c>
      <c r="AG3" s="931"/>
      <c r="AH3" s="932"/>
      <c r="AI3" s="923" t="s">
        <v>144</v>
      </c>
      <c r="AJ3" s="931"/>
      <c r="AK3" s="932"/>
      <c r="AL3" s="919"/>
      <c r="AM3" s="920"/>
    </row>
    <row r="4" spans="1:46" ht="22.5" customHeight="1" x14ac:dyDescent="0.25">
      <c r="A4" s="909"/>
      <c r="B4" s="210"/>
      <c r="C4" s="943"/>
      <c r="D4" s="916"/>
      <c r="E4" s="914"/>
      <c r="F4" s="33" t="s">
        <v>145</v>
      </c>
      <c r="G4" s="34"/>
      <c r="H4" s="33" t="s">
        <v>146</v>
      </c>
      <c r="I4" s="151"/>
      <c r="J4" s="447" t="s">
        <v>147</v>
      </c>
      <c r="K4" s="448"/>
      <c r="L4" s="449"/>
      <c r="M4" s="450" t="s">
        <v>148</v>
      </c>
      <c r="N4" s="451"/>
      <c r="O4" s="450" t="s">
        <v>149</v>
      </c>
      <c r="P4" s="452"/>
      <c r="Q4" s="451"/>
      <c r="R4" s="453"/>
      <c r="S4" s="450" t="s">
        <v>150</v>
      </c>
      <c r="T4" s="454"/>
      <c r="U4" s="450" t="s">
        <v>258</v>
      </c>
      <c r="V4" s="451"/>
      <c r="W4" s="578" t="s">
        <v>258</v>
      </c>
      <c r="X4" s="455" t="s">
        <v>237</v>
      </c>
      <c r="Y4" s="456"/>
      <c r="Z4" s="578" t="s">
        <v>258</v>
      </c>
      <c r="AA4" s="457"/>
      <c r="AB4" s="578" t="s">
        <v>258</v>
      </c>
      <c r="AC4" s="454"/>
      <c r="AD4" s="458" t="s">
        <v>151</v>
      </c>
      <c r="AE4" s="459"/>
      <c r="AF4" s="458" t="s">
        <v>151</v>
      </c>
      <c r="AG4" s="460"/>
      <c r="AH4" s="40" t="s">
        <v>12</v>
      </c>
      <c r="AI4" s="458" t="s">
        <v>259</v>
      </c>
      <c r="AJ4" s="461"/>
      <c r="AK4" s="48" t="s">
        <v>18</v>
      </c>
      <c r="AL4" s="458"/>
      <c r="AM4" s="459"/>
    </row>
    <row r="5" spans="1:46" ht="37.35" customHeight="1" x14ac:dyDescent="0.2">
      <c r="A5" s="909"/>
      <c r="B5" s="214" t="s">
        <v>261</v>
      </c>
      <c r="C5" s="943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927" t="s">
        <v>172</v>
      </c>
      <c r="K5" s="925" t="s">
        <v>221</v>
      </c>
      <c r="L5" s="462" t="s">
        <v>152</v>
      </c>
      <c r="M5" s="927" t="s">
        <v>172</v>
      </c>
      <c r="N5" s="576" t="s">
        <v>166</v>
      </c>
      <c r="O5" s="927" t="s">
        <v>172</v>
      </c>
      <c r="P5" s="925" t="s">
        <v>220</v>
      </c>
      <c r="Q5" s="462" t="s">
        <v>152</v>
      </c>
      <c r="R5" s="929" t="s">
        <v>172</v>
      </c>
      <c r="S5" s="925" t="s">
        <v>257</v>
      </c>
      <c r="T5" s="590" t="s">
        <v>152</v>
      </c>
      <c r="U5" s="927" t="s">
        <v>172</v>
      </c>
      <c r="V5" s="917" t="s">
        <v>166</v>
      </c>
      <c r="W5" s="936" t="s">
        <v>172</v>
      </c>
      <c r="X5" s="940" t="s">
        <v>173</v>
      </c>
      <c r="Y5" s="463" t="s">
        <v>152</v>
      </c>
      <c r="Z5" s="929" t="s">
        <v>172</v>
      </c>
      <c r="AA5" s="576" t="s">
        <v>166</v>
      </c>
      <c r="AB5" s="927" t="s">
        <v>172</v>
      </c>
      <c r="AC5" s="576" t="s">
        <v>166</v>
      </c>
      <c r="AD5" s="927" t="s">
        <v>172</v>
      </c>
      <c r="AE5" s="917" t="s">
        <v>166</v>
      </c>
      <c r="AF5" s="927" t="s">
        <v>172</v>
      </c>
      <c r="AG5" s="939" t="s">
        <v>305</v>
      </c>
      <c r="AH5" s="462" t="s">
        <v>152</v>
      </c>
      <c r="AI5" s="927" t="s">
        <v>172</v>
      </c>
      <c r="AJ5" s="939" t="s">
        <v>306</v>
      </c>
      <c r="AK5" s="462" t="s">
        <v>152</v>
      </c>
      <c r="AL5" s="927"/>
      <c r="AM5" s="917"/>
    </row>
    <row r="6" spans="1:46" ht="28.9" customHeight="1" thickBot="1" x14ac:dyDescent="0.25">
      <c r="A6" s="909"/>
      <c r="B6" s="211"/>
      <c r="C6" s="943"/>
      <c r="D6" s="916"/>
      <c r="E6" s="914"/>
      <c r="F6" s="882"/>
      <c r="G6" s="884"/>
      <c r="H6" s="882"/>
      <c r="I6" s="907"/>
      <c r="J6" s="928"/>
      <c r="K6" s="926"/>
      <c r="L6" s="464">
        <v>6</v>
      </c>
      <c r="M6" s="928"/>
      <c r="N6" s="577"/>
      <c r="O6" s="928"/>
      <c r="P6" s="926"/>
      <c r="Q6" s="465">
        <v>16</v>
      </c>
      <c r="R6" s="930"/>
      <c r="S6" s="945"/>
      <c r="T6" s="591">
        <v>6</v>
      </c>
      <c r="U6" s="928"/>
      <c r="V6" s="918"/>
      <c r="W6" s="937"/>
      <c r="X6" s="941"/>
      <c r="Y6" s="466">
        <v>20</v>
      </c>
      <c r="Z6" s="930"/>
      <c r="AA6" s="577"/>
      <c r="AB6" s="938"/>
      <c r="AC6" s="577"/>
      <c r="AD6" s="928"/>
      <c r="AE6" s="918"/>
      <c r="AF6" s="928"/>
      <c r="AG6" s="926"/>
      <c r="AH6" s="465" t="s">
        <v>346</v>
      </c>
      <c r="AI6" s="928"/>
      <c r="AJ6" s="926"/>
      <c r="AK6" s="465" t="s">
        <v>347</v>
      </c>
      <c r="AL6" s="928"/>
      <c r="AM6" s="918"/>
    </row>
    <row r="7" spans="1:46" ht="25.5" customHeight="1" thickBot="1" x14ac:dyDescent="0.3">
      <c r="A7" s="909"/>
      <c r="B7" s="224"/>
      <c r="C7" s="912"/>
      <c r="D7" s="916"/>
      <c r="E7" s="914"/>
      <c r="F7" s="485">
        <v>42384</v>
      </c>
      <c r="G7" s="88"/>
      <c r="H7" s="707">
        <f>F7+7</f>
        <v>42391</v>
      </c>
      <c r="I7" s="471"/>
      <c r="J7" s="468">
        <f>H7+7</f>
        <v>42398</v>
      </c>
      <c r="K7" s="469"/>
      <c r="L7" s="470"/>
      <c r="M7" s="492">
        <f>J7+7</f>
        <v>42405</v>
      </c>
      <c r="N7" s="493"/>
      <c r="O7" s="933">
        <f>M7+7</f>
        <v>42412</v>
      </c>
      <c r="P7" s="934"/>
      <c r="Q7" s="935"/>
      <c r="R7" s="468">
        <f>O7+7</f>
        <v>42419</v>
      </c>
      <c r="S7" s="469"/>
      <c r="T7" s="469"/>
      <c r="U7" s="468">
        <f>R7+7</f>
        <v>42426</v>
      </c>
      <c r="V7" s="470"/>
      <c r="W7" s="468">
        <f>U7+7</f>
        <v>42433</v>
      </c>
      <c r="X7" s="469"/>
      <c r="Y7" s="470"/>
      <c r="Z7" s="468">
        <f>W7+7</f>
        <v>42440</v>
      </c>
      <c r="AA7" s="470"/>
      <c r="AB7" s="468">
        <f>Z7+7</f>
        <v>42447</v>
      </c>
      <c r="AC7" s="470"/>
      <c r="AD7" s="494">
        <f>AB7+7</f>
        <v>42454</v>
      </c>
      <c r="AE7" s="495"/>
      <c r="AF7" s="933">
        <f>AD7+7</f>
        <v>42461</v>
      </c>
      <c r="AG7" s="934"/>
      <c r="AH7" s="935"/>
      <c r="AI7" s="933">
        <f>AF7+7</f>
        <v>42468</v>
      </c>
      <c r="AJ7" s="934"/>
      <c r="AK7" s="935"/>
      <c r="AL7" s="496"/>
      <c r="AM7" s="556"/>
    </row>
    <row r="8" spans="1:46" s="381" customFormat="1" ht="18.75" x14ac:dyDescent="0.25">
      <c r="A8" s="617">
        <v>1</v>
      </c>
      <c r="B8" s="712"/>
      <c r="C8" s="427"/>
      <c r="D8" s="628">
        <f t="shared" ref="D8:D19" si="0">SUM(L8,Q8,T8,Y8,AA8,AC8,AH8,AK8)</f>
        <v>0</v>
      </c>
      <c r="E8" s="403">
        <f t="shared" ref="E8:E21" si="1">SUM(D8:D8)</f>
        <v>0</v>
      </c>
      <c r="F8" s="505"/>
      <c r="G8" s="520"/>
      <c r="H8" s="377"/>
      <c r="I8" s="378"/>
      <c r="J8" s="504"/>
      <c r="K8" s="427">
        <f>C8</f>
        <v>0</v>
      </c>
      <c r="L8" s="637"/>
      <c r="M8" s="377"/>
      <c r="N8" s="403"/>
      <c r="O8" s="662"/>
      <c r="P8" s="427">
        <f>C8</f>
        <v>0</v>
      </c>
      <c r="Q8" s="476" t="str">
        <f t="shared" ref="Q8:Q20" si="2">IF(P8=0,"",VLOOKUP(P8,Підс1,2,FALSE))</f>
        <v/>
      </c>
      <c r="R8" s="407" t="s">
        <v>345</v>
      </c>
      <c r="S8" s="547">
        <f>C8</f>
        <v>0</v>
      </c>
      <c r="T8" s="403"/>
      <c r="U8" s="407"/>
      <c r="V8" s="408"/>
      <c r="W8" s="379"/>
      <c r="X8" s="547">
        <f>C8</f>
        <v>0</v>
      </c>
      <c r="Y8" s="245" t="str">
        <f t="shared" ref="Y8:Y21" si="3">IF(X8=0,"",VLOOKUP(X8,Підс1,3,FALSE))</f>
        <v/>
      </c>
      <c r="Z8" s="513"/>
      <c r="AA8" s="408"/>
      <c r="AB8" s="379"/>
      <c r="AC8" s="380"/>
      <c r="AD8" s="551"/>
      <c r="AE8" s="408"/>
      <c r="AF8" s="684"/>
      <c r="AG8" s="427">
        <f>C8</f>
        <v>0</v>
      </c>
      <c r="AH8" s="409"/>
      <c r="AI8" s="467"/>
      <c r="AJ8" s="547">
        <f>C8</f>
        <v>0</v>
      </c>
      <c r="AK8" s="553"/>
      <c r="AL8" s="559"/>
      <c r="AM8" s="380"/>
    </row>
    <row r="9" spans="1:46" s="381" customFormat="1" ht="18.75" x14ac:dyDescent="0.25">
      <c r="A9" s="618">
        <v>2</v>
      </c>
      <c r="B9" s="702" t="s">
        <v>366</v>
      </c>
      <c r="C9" s="427">
        <v>15</v>
      </c>
      <c r="D9" s="475">
        <f t="shared" si="0"/>
        <v>58</v>
      </c>
      <c r="E9" s="506">
        <f t="shared" si="1"/>
        <v>58</v>
      </c>
      <c r="F9" s="734" t="s">
        <v>345</v>
      </c>
      <c r="G9" s="386"/>
      <c r="H9" s="383" t="s">
        <v>345</v>
      </c>
      <c r="I9" s="384"/>
      <c r="J9" s="385" t="s">
        <v>345</v>
      </c>
      <c r="K9" s="427">
        <f>C9</f>
        <v>15</v>
      </c>
      <c r="L9" s="638"/>
      <c r="M9" s="383"/>
      <c r="N9" s="384"/>
      <c r="O9" s="663" t="s">
        <v>345</v>
      </c>
      <c r="P9" s="427">
        <f t="shared" ref="P9:P21" si="4">C9</f>
        <v>15</v>
      </c>
      <c r="Q9" s="476">
        <f t="shared" si="2"/>
        <v>16</v>
      </c>
      <c r="R9" s="388" t="s">
        <v>345</v>
      </c>
      <c r="S9" s="548">
        <f>C9</f>
        <v>15</v>
      </c>
      <c r="T9" s="506">
        <v>6</v>
      </c>
      <c r="U9" s="388" t="s">
        <v>345</v>
      </c>
      <c r="V9" s="386"/>
      <c r="W9" s="387"/>
      <c r="X9" s="548">
        <f>C9</f>
        <v>15</v>
      </c>
      <c r="Y9" s="245">
        <f t="shared" si="3"/>
        <v>14</v>
      </c>
      <c r="Z9" s="388" t="s">
        <v>345</v>
      </c>
      <c r="AA9" s="386"/>
      <c r="AB9" s="387" t="s">
        <v>345</v>
      </c>
      <c r="AC9" s="384"/>
      <c r="AD9" s="389" t="s">
        <v>345</v>
      </c>
      <c r="AE9" s="386"/>
      <c r="AF9" s="685"/>
      <c r="AG9" s="427">
        <f t="shared" ref="AG9:AG21" si="5">C9</f>
        <v>15</v>
      </c>
      <c r="AH9" s="331">
        <f>3+5+3</f>
        <v>11</v>
      </c>
      <c r="AI9" s="552"/>
      <c r="AJ9" s="548">
        <f>C9</f>
        <v>15</v>
      </c>
      <c r="AK9" s="420">
        <v>11</v>
      </c>
      <c r="AL9" s="390"/>
      <c r="AM9" s="384"/>
    </row>
    <row r="10" spans="1:46" s="381" customFormat="1" ht="24" customHeight="1" x14ac:dyDescent="0.25">
      <c r="A10" s="619">
        <v>3</v>
      </c>
      <c r="B10" s="622" t="s">
        <v>367</v>
      </c>
      <c r="C10" s="427">
        <v>13</v>
      </c>
      <c r="D10" s="475">
        <f t="shared" si="0"/>
        <v>46</v>
      </c>
      <c r="E10" s="506">
        <f t="shared" si="1"/>
        <v>46</v>
      </c>
      <c r="F10" s="734" t="s">
        <v>345</v>
      </c>
      <c r="G10" s="386"/>
      <c r="H10" s="383" t="s">
        <v>345</v>
      </c>
      <c r="I10" s="384"/>
      <c r="J10" s="385" t="s">
        <v>345</v>
      </c>
      <c r="K10" s="427">
        <f t="shared" ref="K10:K20" si="6">C10</f>
        <v>13</v>
      </c>
      <c r="L10" s="536"/>
      <c r="M10" s="383"/>
      <c r="N10" s="384"/>
      <c r="O10" s="663" t="s">
        <v>345</v>
      </c>
      <c r="P10" s="427">
        <f t="shared" si="4"/>
        <v>13</v>
      </c>
      <c r="Q10" s="476">
        <f t="shared" si="2"/>
        <v>10</v>
      </c>
      <c r="R10" s="388" t="s">
        <v>345</v>
      </c>
      <c r="S10" s="548">
        <f t="shared" ref="S10:S21" si="7">C10</f>
        <v>13</v>
      </c>
      <c r="T10" s="506"/>
      <c r="U10" s="388" t="s">
        <v>344</v>
      </c>
      <c r="V10" s="386"/>
      <c r="W10" s="387"/>
      <c r="X10" s="548">
        <f t="shared" ref="X10:X21" si="8">C10</f>
        <v>13</v>
      </c>
      <c r="Y10" s="245">
        <f t="shared" si="3"/>
        <v>14</v>
      </c>
      <c r="Z10" s="392" t="s">
        <v>345</v>
      </c>
      <c r="AA10" s="386"/>
      <c r="AB10" s="387" t="s">
        <v>344</v>
      </c>
      <c r="AC10" s="384"/>
      <c r="AD10" s="389" t="s">
        <v>344</v>
      </c>
      <c r="AE10" s="386"/>
      <c r="AF10" s="685"/>
      <c r="AG10" s="427">
        <f t="shared" si="5"/>
        <v>13</v>
      </c>
      <c r="AH10" s="331">
        <v>11</v>
      </c>
      <c r="AI10" s="390"/>
      <c r="AJ10" s="548">
        <f t="shared" ref="AJ10:AJ20" si="9">C10</f>
        <v>13</v>
      </c>
      <c r="AK10" s="420">
        <v>11</v>
      </c>
      <c r="AL10" s="390"/>
      <c r="AM10" s="384"/>
    </row>
    <row r="11" spans="1:46" s="381" customFormat="1" ht="18.75" x14ac:dyDescent="0.25">
      <c r="A11" s="618">
        <v>4</v>
      </c>
      <c r="B11" s="622" t="s">
        <v>368</v>
      </c>
      <c r="C11" s="427">
        <v>12</v>
      </c>
      <c r="D11" s="475">
        <f t="shared" si="0"/>
        <v>50</v>
      </c>
      <c r="E11" s="506">
        <f t="shared" si="1"/>
        <v>50</v>
      </c>
      <c r="F11" s="734" t="s">
        <v>344</v>
      </c>
      <c r="G11" s="386"/>
      <c r="H11" s="383" t="s">
        <v>345</v>
      </c>
      <c r="I11" s="384"/>
      <c r="J11" s="385" t="s">
        <v>344</v>
      </c>
      <c r="K11" s="427">
        <f t="shared" si="6"/>
        <v>12</v>
      </c>
      <c r="L11" s="536">
        <v>6</v>
      </c>
      <c r="M11" s="383"/>
      <c r="N11" s="384"/>
      <c r="O11" s="663" t="s">
        <v>344</v>
      </c>
      <c r="P11" s="427">
        <f t="shared" si="4"/>
        <v>12</v>
      </c>
      <c r="Q11" s="476">
        <f t="shared" si="2"/>
        <v>6</v>
      </c>
      <c r="R11" s="388" t="s">
        <v>345</v>
      </c>
      <c r="S11" s="548">
        <f t="shared" si="7"/>
        <v>12</v>
      </c>
      <c r="T11" s="506">
        <v>6</v>
      </c>
      <c r="U11" s="388" t="s">
        <v>344</v>
      </c>
      <c r="V11" s="386"/>
      <c r="W11" s="387"/>
      <c r="X11" s="548">
        <f t="shared" si="8"/>
        <v>12</v>
      </c>
      <c r="Y11" s="245">
        <f t="shared" si="3"/>
        <v>10</v>
      </c>
      <c r="Z11" s="388" t="s">
        <v>344</v>
      </c>
      <c r="AA11" s="386"/>
      <c r="AB11" s="387" t="s">
        <v>344</v>
      </c>
      <c r="AC11" s="384"/>
      <c r="AD11" s="389" t="s">
        <v>344</v>
      </c>
      <c r="AE11" s="386"/>
      <c r="AF11" s="685"/>
      <c r="AG11" s="427">
        <f t="shared" si="5"/>
        <v>12</v>
      </c>
      <c r="AH11" s="331">
        <v>11</v>
      </c>
      <c r="AI11" s="390"/>
      <c r="AJ11" s="548">
        <f t="shared" si="9"/>
        <v>12</v>
      </c>
      <c r="AK11" s="420">
        <v>11</v>
      </c>
      <c r="AL11" s="390"/>
      <c r="AM11" s="384"/>
    </row>
    <row r="12" spans="1:46" s="381" customFormat="1" ht="21.75" customHeight="1" x14ac:dyDescent="0.25">
      <c r="A12" s="619">
        <v>5</v>
      </c>
      <c r="B12" s="622" t="s">
        <v>369</v>
      </c>
      <c r="C12" s="427">
        <v>11</v>
      </c>
      <c r="D12" s="475">
        <f t="shared" si="0"/>
        <v>53</v>
      </c>
      <c r="E12" s="506">
        <f t="shared" si="1"/>
        <v>53</v>
      </c>
      <c r="F12" s="734" t="s">
        <v>345</v>
      </c>
      <c r="G12" s="386"/>
      <c r="H12" s="383" t="s">
        <v>345</v>
      </c>
      <c r="I12" s="384"/>
      <c r="J12" s="385" t="s">
        <v>345</v>
      </c>
      <c r="K12" s="427">
        <f t="shared" si="6"/>
        <v>11</v>
      </c>
      <c r="L12" s="536">
        <v>5</v>
      </c>
      <c r="M12" s="383"/>
      <c r="N12" s="384"/>
      <c r="O12" s="663" t="s">
        <v>345</v>
      </c>
      <c r="P12" s="427">
        <f t="shared" si="4"/>
        <v>11</v>
      </c>
      <c r="Q12" s="476">
        <f t="shared" si="2"/>
        <v>12</v>
      </c>
      <c r="R12" s="388" t="s">
        <v>345</v>
      </c>
      <c r="S12" s="548">
        <f t="shared" si="7"/>
        <v>11</v>
      </c>
      <c r="T12" s="506">
        <v>6</v>
      </c>
      <c r="U12" s="388" t="s">
        <v>344</v>
      </c>
      <c r="V12" s="386"/>
      <c r="W12" s="387"/>
      <c r="X12" s="548">
        <f t="shared" si="8"/>
        <v>11</v>
      </c>
      <c r="Y12" s="245">
        <f t="shared" si="3"/>
        <v>9</v>
      </c>
      <c r="Z12" s="392" t="s">
        <v>344</v>
      </c>
      <c r="AA12" s="386"/>
      <c r="AB12" s="387" t="s">
        <v>345</v>
      </c>
      <c r="AC12" s="384"/>
      <c r="AD12" s="393" t="s">
        <v>344</v>
      </c>
      <c r="AE12" s="386"/>
      <c r="AF12" s="685"/>
      <c r="AG12" s="427">
        <f t="shared" si="5"/>
        <v>11</v>
      </c>
      <c r="AH12" s="331">
        <v>11</v>
      </c>
      <c r="AI12" s="390"/>
      <c r="AJ12" s="548">
        <f t="shared" si="9"/>
        <v>11</v>
      </c>
      <c r="AK12" s="420">
        <v>10</v>
      </c>
      <c r="AL12" s="552"/>
      <c r="AM12" s="384"/>
    </row>
    <row r="13" spans="1:46" s="381" customFormat="1" ht="18.75" x14ac:dyDescent="0.25">
      <c r="A13" s="618">
        <v>6</v>
      </c>
      <c r="B13" s="622" t="s">
        <v>370</v>
      </c>
      <c r="C13" s="427">
        <v>10</v>
      </c>
      <c r="D13" s="475">
        <f t="shared" si="0"/>
        <v>49</v>
      </c>
      <c r="E13" s="506">
        <f t="shared" si="1"/>
        <v>49</v>
      </c>
      <c r="F13" s="734" t="s">
        <v>345</v>
      </c>
      <c r="G13" s="386"/>
      <c r="H13" s="383" t="s">
        <v>344</v>
      </c>
      <c r="I13" s="384"/>
      <c r="J13" s="385" t="s">
        <v>345</v>
      </c>
      <c r="K13" s="427">
        <f t="shared" si="6"/>
        <v>10</v>
      </c>
      <c r="L13" s="536">
        <v>3</v>
      </c>
      <c r="M13" s="383"/>
      <c r="N13" s="384"/>
      <c r="O13" s="663" t="s">
        <v>345</v>
      </c>
      <c r="P13" s="427">
        <f t="shared" si="4"/>
        <v>10</v>
      </c>
      <c r="Q13" s="476">
        <f t="shared" si="2"/>
        <v>12</v>
      </c>
      <c r="R13" s="388" t="s">
        <v>345</v>
      </c>
      <c r="S13" s="548">
        <f t="shared" si="7"/>
        <v>10</v>
      </c>
      <c r="T13" s="506">
        <v>6</v>
      </c>
      <c r="U13" s="388" t="s">
        <v>344</v>
      </c>
      <c r="V13" s="386"/>
      <c r="W13" s="387"/>
      <c r="X13" s="548">
        <f t="shared" si="8"/>
        <v>10</v>
      </c>
      <c r="Y13" s="245">
        <f t="shared" si="3"/>
        <v>9</v>
      </c>
      <c r="Z13" s="392" t="s">
        <v>344</v>
      </c>
      <c r="AA13" s="386"/>
      <c r="AB13" s="387" t="s">
        <v>345</v>
      </c>
      <c r="AC13" s="384"/>
      <c r="AD13" s="393" t="s">
        <v>344</v>
      </c>
      <c r="AE13" s="386"/>
      <c r="AF13" s="685"/>
      <c r="AG13" s="427">
        <f t="shared" si="5"/>
        <v>10</v>
      </c>
      <c r="AH13" s="331">
        <f>3+3+3</f>
        <v>9</v>
      </c>
      <c r="AI13" s="390"/>
      <c r="AJ13" s="548">
        <f t="shared" si="9"/>
        <v>10</v>
      </c>
      <c r="AK13" s="420">
        <v>10</v>
      </c>
      <c r="AL13" s="552"/>
      <c r="AM13" s="384"/>
    </row>
    <row r="14" spans="1:46" s="381" customFormat="1" ht="18.75" x14ac:dyDescent="0.25">
      <c r="A14" s="619">
        <v>7</v>
      </c>
      <c r="B14" s="622" t="s">
        <v>371</v>
      </c>
      <c r="C14" s="427">
        <v>9</v>
      </c>
      <c r="D14" s="475">
        <f t="shared" si="0"/>
        <v>43.5</v>
      </c>
      <c r="E14" s="506">
        <f t="shared" si="1"/>
        <v>43.5</v>
      </c>
      <c r="F14" s="734" t="s">
        <v>344</v>
      </c>
      <c r="G14" s="386"/>
      <c r="H14" s="383" t="s">
        <v>344</v>
      </c>
      <c r="I14" s="384"/>
      <c r="J14" s="385" t="s">
        <v>344</v>
      </c>
      <c r="K14" s="427">
        <f t="shared" si="6"/>
        <v>9</v>
      </c>
      <c r="L14" s="536">
        <v>2</v>
      </c>
      <c r="M14" s="383"/>
      <c r="N14" s="384"/>
      <c r="O14" s="663" t="s">
        <v>344</v>
      </c>
      <c r="P14" s="427">
        <f t="shared" si="4"/>
        <v>9</v>
      </c>
      <c r="Q14" s="476">
        <f t="shared" si="2"/>
        <v>8</v>
      </c>
      <c r="R14" s="388" t="s">
        <v>345</v>
      </c>
      <c r="S14" s="548">
        <f t="shared" si="7"/>
        <v>9</v>
      </c>
      <c r="T14" s="506">
        <v>6</v>
      </c>
      <c r="U14" s="388" t="s">
        <v>344</v>
      </c>
      <c r="V14" s="386"/>
      <c r="W14" s="387"/>
      <c r="X14" s="548">
        <f t="shared" si="8"/>
        <v>9</v>
      </c>
      <c r="Y14" s="245">
        <f t="shared" si="3"/>
        <v>10.5</v>
      </c>
      <c r="Z14" s="388" t="s">
        <v>345</v>
      </c>
      <c r="AA14" s="386"/>
      <c r="AB14" s="387" t="s">
        <v>344</v>
      </c>
      <c r="AC14" s="384"/>
      <c r="AD14" s="389" t="s">
        <v>344</v>
      </c>
      <c r="AE14" s="386"/>
      <c r="AF14" s="685"/>
      <c r="AG14" s="427">
        <f t="shared" si="5"/>
        <v>9</v>
      </c>
      <c r="AH14" s="331">
        <f>3+5+3</f>
        <v>11</v>
      </c>
      <c r="AI14" s="390"/>
      <c r="AJ14" s="548">
        <f t="shared" si="9"/>
        <v>9</v>
      </c>
      <c r="AK14" s="420">
        <f>3+3</f>
        <v>6</v>
      </c>
      <c r="AL14" s="390"/>
      <c r="AM14" s="384"/>
    </row>
    <row r="15" spans="1:46" s="381" customFormat="1" ht="18.75" x14ac:dyDescent="0.25">
      <c r="A15" s="618">
        <v>8</v>
      </c>
      <c r="B15" s="703" t="s">
        <v>352</v>
      </c>
      <c r="C15" s="427">
        <v>8</v>
      </c>
      <c r="D15" s="475">
        <f t="shared" si="0"/>
        <v>0</v>
      </c>
      <c r="E15" s="506">
        <f t="shared" si="1"/>
        <v>0</v>
      </c>
      <c r="F15" s="734" t="s">
        <v>344</v>
      </c>
      <c r="G15" s="386"/>
      <c r="H15" s="383" t="s">
        <v>345</v>
      </c>
      <c r="I15" s="384"/>
      <c r="J15" s="385" t="s">
        <v>345</v>
      </c>
      <c r="K15" s="427">
        <f t="shared" si="6"/>
        <v>8</v>
      </c>
      <c r="L15" s="536"/>
      <c r="M15" s="383"/>
      <c r="N15" s="384"/>
      <c r="O15" s="663" t="s">
        <v>345</v>
      </c>
      <c r="P15" s="427">
        <f t="shared" si="4"/>
        <v>8</v>
      </c>
      <c r="Q15" s="476" t="str">
        <f t="shared" si="2"/>
        <v xml:space="preserve"> </v>
      </c>
      <c r="R15" s="388" t="s">
        <v>345</v>
      </c>
      <c r="S15" s="548">
        <f t="shared" si="7"/>
        <v>8</v>
      </c>
      <c r="T15" s="506"/>
      <c r="U15" s="388" t="s">
        <v>345</v>
      </c>
      <c r="V15" s="386"/>
      <c r="W15" s="387"/>
      <c r="X15" s="548">
        <f t="shared" si="8"/>
        <v>8</v>
      </c>
      <c r="Y15" s="245" t="str">
        <f t="shared" si="3"/>
        <v xml:space="preserve"> </v>
      </c>
      <c r="Z15" s="388" t="s">
        <v>345</v>
      </c>
      <c r="AA15" s="386"/>
      <c r="AB15" s="387" t="s">
        <v>345</v>
      </c>
      <c r="AC15" s="384"/>
      <c r="AD15" s="389" t="s">
        <v>345</v>
      </c>
      <c r="AE15" s="386"/>
      <c r="AF15" s="685"/>
      <c r="AG15" s="427">
        <f t="shared" si="5"/>
        <v>8</v>
      </c>
      <c r="AH15" s="331"/>
      <c r="AI15" s="390"/>
      <c r="AJ15" s="548">
        <f t="shared" si="9"/>
        <v>8</v>
      </c>
      <c r="AK15" s="420"/>
      <c r="AL15" s="390"/>
      <c r="AM15" s="384"/>
    </row>
    <row r="16" spans="1:46" s="381" customFormat="1" ht="24" customHeight="1" x14ac:dyDescent="0.25">
      <c r="A16" s="619">
        <v>9</v>
      </c>
      <c r="B16" s="622" t="s">
        <v>373</v>
      </c>
      <c r="C16" s="427">
        <v>7</v>
      </c>
      <c r="D16" s="475">
        <f t="shared" si="0"/>
        <v>51.5</v>
      </c>
      <c r="E16" s="506">
        <f t="shared" si="1"/>
        <v>51.5</v>
      </c>
      <c r="F16" s="734" t="s">
        <v>344</v>
      </c>
      <c r="G16" s="386"/>
      <c r="H16" s="383" t="s">
        <v>345</v>
      </c>
      <c r="I16" s="384"/>
      <c r="J16" s="385" t="s">
        <v>344</v>
      </c>
      <c r="K16" s="427">
        <f t="shared" si="6"/>
        <v>7</v>
      </c>
      <c r="L16" s="536">
        <v>5.5</v>
      </c>
      <c r="M16" s="383"/>
      <c r="N16" s="384"/>
      <c r="O16" s="663" t="s">
        <v>344</v>
      </c>
      <c r="P16" s="427">
        <f t="shared" si="4"/>
        <v>7</v>
      </c>
      <c r="Q16" s="476">
        <f t="shared" si="2"/>
        <v>12</v>
      </c>
      <c r="R16" s="388" t="s">
        <v>345</v>
      </c>
      <c r="S16" s="548">
        <f t="shared" si="7"/>
        <v>7</v>
      </c>
      <c r="T16" s="506">
        <v>6</v>
      </c>
      <c r="U16" s="388" t="s">
        <v>344</v>
      </c>
      <c r="V16" s="386"/>
      <c r="W16" s="387"/>
      <c r="X16" s="548">
        <f t="shared" si="8"/>
        <v>7</v>
      </c>
      <c r="Y16" s="245">
        <f>IF(X16=0,"",VLOOKUP(X16,Підс1,3,FALSE))</f>
        <v>11</v>
      </c>
      <c r="Z16" s="388" t="s">
        <v>344</v>
      </c>
      <c r="AA16" s="386"/>
      <c r="AB16" s="387" t="s">
        <v>344</v>
      </c>
      <c r="AC16" s="384"/>
      <c r="AD16" s="393" t="s">
        <v>344</v>
      </c>
      <c r="AE16" s="386"/>
      <c r="AF16" s="685"/>
      <c r="AG16" s="427">
        <f t="shared" si="5"/>
        <v>7</v>
      </c>
      <c r="AH16" s="331">
        <v>11</v>
      </c>
      <c r="AI16" s="390"/>
      <c r="AJ16" s="548">
        <f t="shared" si="9"/>
        <v>7</v>
      </c>
      <c r="AK16" s="420">
        <f>3+3</f>
        <v>6</v>
      </c>
      <c r="AL16" s="552"/>
      <c r="AM16" s="384"/>
    </row>
    <row r="17" spans="1:51" s="381" customFormat="1" ht="18.75" x14ac:dyDescent="0.25">
      <c r="A17" s="618">
        <v>10</v>
      </c>
      <c r="B17" s="622" t="s">
        <v>374</v>
      </c>
      <c r="C17" s="427">
        <v>6</v>
      </c>
      <c r="D17" s="475">
        <f t="shared" si="0"/>
        <v>65</v>
      </c>
      <c r="E17" s="506">
        <f t="shared" si="1"/>
        <v>65</v>
      </c>
      <c r="F17" s="734" t="s">
        <v>344</v>
      </c>
      <c r="G17" s="386"/>
      <c r="H17" s="383" t="s">
        <v>344</v>
      </c>
      <c r="I17" s="384"/>
      <c r="J17" s="385" t="s">
        <v>344</v>
      </c>
      <c r="K17" s="427">
        <f t="shared" si="6"/>
        <v>6</v>
      </c>
      <c r="L17" s="536">
        <v>5</v>
      </c>
      <c r="M17" s="383"/>
      <c r="N17" s="384"/>
      <c r="O17" s="663" t="s">
        <v>344</v>
      </c>
      <c r="P17" s="427">
        <f t="shared" si="4"/>
        <v>6</v>
      </c>
      <c r="Q17" s="476">
        <f t="shared" si="2"/>
        <v>16</v>
      </c>
      <c r="R17" s="388" t="s">
        <v>344</v>
      </c>
      <c r="S17" s="548">
        <f t="shared" si="7"/>
        <v>6</v>
      </c>
      <c r="T17" s="506">
        <v>6</v>
      </c>
      <c r="U17" s="388" t="s">
        <v>344</v>
      </c>
      <c r="V17" s="386"/>
      <c r="W17" s="387"/>
      <c r="X17" s="548">
        <f t="shared" si="8"/>
        <v>6</v>
      </c>
      <c r="Y17" s="245">
        <f>IF(X17=0,"",VLOOKUP(X17,Підс1,3,FALSE))</f>
        <v>16</v>
      </c>
      <c r="Z17" s="388" t="s">
        <v>344</v>
      </c>
      <c r="AA17" s="386"/>
      <c r="AB17" s="387" t="s">
        <v>345</v>
      </c>
      <c r="AC17" s="384"/>
      <c r="AD17" s="389" t="s">
        <v>344</v>
      </c>
      <c r="AE17" s="386"/>
      <c r="AF17" s="685"/>
      <c r="AG17" s="427">
        <f t="shared" si="5"/>
        <v>6</v>
      </c>
      <c r="AH17" s="331">
        <v>11</v>
      </c>
      <c r="AI17" s="390"/>
      <c r="AJ17" s="548">
        <f t="shared" si="9"/>
        <v>6</v>
      </c>
      <c r="AK17" s="420">
        <v>11</v>
      </c>
      <c r="AL17" s="390"/>
      <c r="AM17" s="384"/>
    </row>
    <row r="18" spans="1:51" s="381" customFormat="1" ht="19.5" thickBot="1" x14ac:dyDescent="0.3">
      <c r="A18" s="619">
        <v>11</v>
      </c>
      <c r="B18" s="622" t="s">
        <v>375</v>
      </c>
      <c r="C18" s="427">
        <v>5</v>
      </c>
      <c r="D18" s="475">
        <f t="shared" si="0"/>
        <v>0</v>
      </c>
      <c r="E18" s="506">
        <f t="shared" si="1"/>
        <v>0</v>
      </c>
      <c r="F18" s="734" t="s">
        <v>345</v>
      </c>
      <c r="G18" s="386"/>
      <c r="H18" s="383" t="s">
        <v>345</v>
      </c>
      <c r="I18" s="384"/>
      <c r="J18" s="385" t="s">
        <v>345</v>
      </c>
      <c r="K18" s="427">
        <f t="shared" si="6"/>
        <v>5</v>
      </c>
      <c r="L18" s="536"/>
      <c r="M18" s="383"/>
      <c r="N18" s="384"/>
      <c r="O18" s="663" t="s">
        <v>345</v>
      </c>
      <c r="P18" s="427">
        <f t="shared" si="4"/>
        <v>5</v>
      </c>
      <c r="Q18" s="476" t="str">
        <f t="shared" si="2"/>
        <v xml:space="preserve"> </v>
      </c>
      <c r="R18" s="388" t="s">
        <v>345</v>
      </c>
      <c r="S18" s="548">
        <f t="shared" si="7"/>
        <v>5</v>
      </c>
      <c r="T18" s="506"/>
      <c r="U18" s="388" t="s">
        <v>345</v>
      </c>
      <c r="V18" s="386"/>
      <c r="W18" s="387"/>
      <c r="X18" s="548">
        <f t="shared" si="8"/>
        <v>5</v>
      </c>
      <c r="Y18" s="245" t="str">
        <f t="shared" si="3"/>
        <v xml:space="preserve"> </v>
      </c>
      <c r="Z18" s="388" t="s">
        <v>345</v>
      </c>
      <c r="AA18" s="386"/>
      <c r="AB18" s="387" t="s">
        <v>345</v>
      </c>
      <c r="AC18" s="384"/>
      <c r="AD18" s="389" t="s">
        <v>345</v>
      </c>
      <c r="AE18" s="386"/>
      <c r="AF18" s="685"/>
      <c r="AG18" s="427">
        <f t="shared" si="5"/>
        <v>5</v>
      </c>
      <c r="AH18" s="331"/>
      <c r="AI18" s="390"/>
      <c r="AJ18" s="548">
        <f t="shared" si="9"/>
        <v>5</v>
      </c>
      <c r="AK18" s="420"/>
      <c r="AL18" s="390"/>
      <c r="AM18" s="384"/>
    </row>
    <row r="19" spans="1:51" s="381" customFormat="1" ht="18.75" x14ac:dyDescent="0.25">
      <c r="A19" s="618">
        <v>12</v>
      </c>
      <c r="B19" s="622" t="s">
        <v>376</v>
      </c>
      <c r="C19" s="427">
        <v>4</v>
      </c>
      <c r="D19" s="628">
        <f t="shared" si="0"/>
        <v>0</v>
      </c>
      <c r="E19" s="506">
        <f t="shared" si="1"/>
        <v>0</v>
      </c>
      <c r="F19" s="734" t="s">
        <v>344</v>
      </c>
      <c r="G19" s="386"/>
      <c r="H19" s="383" t="s">
        <v>344</v>
      </c>
      <c r="I19" s="384"/>
      <c r="J19" s="388" t="s">
        <v>344</v>
      </c>
      <c r="K19" s="427">
        <f t="shared" si="6"/>
        <v>4</v>
      </c>
      <c r="L19" s="536"/>
      <c r="M19" s="383"/>
      <c r="N19" s="384"/>
      <c r="O19" s="663" t="s">
        <v>345</v>
      </c>
      <c r="P19" s="427">
        <f t="shared" si="4"/>
        <v>4</v>
      </c>
      <c r="Q19" s="476" t="str">
        <f t="shared" si="2"/>
        <v xml:space="preserve"> </v>
      </c>
      <c r="R19" s="388" t="s">
        <v>345</v>
      </c>
      <c r="S19" s="548">
        <f t="shared" si="7"/>
        <v>4</v>
      </c>
      <c r="T19" s="589"/>
      <c r="U19" s="388" t="s">
        <v>345</v>
      </c>
      <c r="V19" s="386"/>
      <c r="W19" s="387"/>
      <c r="X19" s="548">
        <f t="shared" si="8"/>
        <v>4</v>
      </c>
      <c r="Y19" s="245" t="str">
        <f t="shared" si="3"/>
        <v xml:space="preserve"> </v>
      </c>
      <c r="Z19" s="392" t="s">
        <v>345</v>
      </c>
      <c r="AA19" s="386"/>
      <c r="AB19" s="387" t="s">
        <v>345</v>
      </c>
      <c r="AC19" s="384"/>
      <c r="AD19" s="392" t="s">
        <v>345</v>
      </c>
      <c r="AE19" s="386"/>
      <c r="AF19" s="666"/>
      <c r="AG19" s="427">
        <f t="shared" si="5"/>
        <v>4</v>
      </c>
      <c r="AH19" s="394"/>
      <c r="AI19" s="387"/>
      <c r="AJ19" s="548">
        <f t="shared" si="9"/>
        <v>4</v>
      </c>
      <c r="AK19" s="554"/>
      <c r="AL19" s="417"/>
      <c r="AM19" s="384"/>
    </row>
    <row r="20" spans="1:51" s="381" customFormat="1" ht="18" x14ac:dyDescent="0.25">
      <c r="A20" s="619">
        <v>13</v>
      </c>
      <c r="B20" s="626" t="s">
        <v>377</v>
      </c>
      <c r="C20" s="427">
        <v>3</v>
      </c>
      <c r="D20" s="475">
        <f t="shared" ref="D20:D21" si="10">SUM(L20,Q20,T20,Y20,AA20,AC20,AH20,AK20)</f>
        <v>51.5</v>
      </c>
      <c r="E20" s="506">
        <f t="shared" si="1"/>
        <v>51.5</v>
      </c>
      <c r="F20" s="734" t="s">
        <v>344</v>
      </c>
      <c r="G20" s="386"/>
      <c r="H20" s="383" t="s">
        <v>345</v>
      </c>
      <c r="I20" s="384"/>
      <c r="J20" s="388" t="s">
        <v>344</v>
      </c>
      <c r="K20" s="427">
        <f t="shared" si="6"/>
        <v>3</v>
      </c>
      <c r="L20" s="536">
        <v>4</v>
      </c>
      <c r="M20" s="383"/>
      <c r="N20" s="384"/>
      <c r="O20" s="663" t="s">
        <v>344</v>
      </c>
      <c r="P20" s="427">
        <f t="shared" si="4"/>
        <v>3</v>
      </c>
      <c r="Q20" s="476">
        <f t="shared" si="2"/>
        <v>9</v>
      </c>
      <c r="R20" s="388" t="s">
        <v>345</v>
      </c>
      <c r="S20" s="548">
        <f t="shared" si="7"/>
        <v>3</v>
      </c>
      <c r="T20" s="384">
        <v>6</v>
      </c>
      <c r="U20" s="388" t="s">
        <v>344</v>
      </c>
      <c r="V20" s="386"/>
      <c r="W20" s="387"/>
      <c r="X20" s="548">
        <f t="shared" si="8"/>
        <v>3</v>
      </c>
      <c r="Y20" s="245">
        <f t="shared" si="3"/>
        <v>19.5</v>
      </c>
      <c r="Z20" s="388" t="s">
        <v>344</v>
      </c>
      <c r="AA20" s="386"/>
      <c r="AB20" s="387" t="s">
        <v>344</v>
      </c>
      <c r="AC20" s="384"/>
      <c r="AD20" s="388" t="s">
        <v>344</v>
      </c>
      <c r="AE20" s="386"/>
      <c r="AF20" s="666"/>
      <c r="AG20" s="427">
        <f t="shared" si="5"/>
        <v>3</v>
      </c>
      <c r="AH20" s="856">
        <f>3+0+0</f>
        <v>3</v>
      </c>
      <c r="AI20" s="387"/>
      <c r="AJ20" s="548">
        <f t="shared" si="9"/>
        <v>3</v>
      </c>
      <c r="AK20" s="394">
        <v>10</v>
      </c>
      <c r="AL20" s="387"/>
      <c r="AM20" s="384"/>
    </row>
    <row r="21" spans="1:51" s="381" customFormat="1" ht="18.75" thickBot="1" x14ac:dyDescent="0.3">
      <c r="A21" s="501"/>
      <c r="B21" s="438"/>
      <c r="C21" s="437"/>
      <c r="D21" s="395">
        <f t="shared" si="10"/>
        <v>0</v>
      </c>
      <c r="E21" s="507">
        <f t="shared" si="1"/>
        <v>0</v>
      </c>
      <c r="F21" s="711"/>
      <c r="G21" s="399"/>
      <c r="H21" s="396"/>
      <c r="I21" s="397"/>
      <c r="J21" s="398"/>
      <c r="K21" s="566"/>
      <c r="L21" s="536"/>
      <c r="M21" s="396"/>
      <c r="N21" s="397"/>
      <c r="O21" s="664"/>
      <c r="P21" s="427">
        <f t="shared" si="4"/>
        <v>0</v>
      </c>
      <c r="Q21" s="543"/>
      <c r="R21" s="400"/>
      <c r="S21" s="548">
        <f t="shared" si="7"/>
        <v>0</v>
      </c>
      <c r="T21" s="397"/>
      <c r="U21" s="401"/>
      <c r="V21" s="399"/>
      <c r="W21" s="400"/>
      <c r="X21" s="548">
        <f t="shared" si="8"/>
        <v>0</v>
      </c>
      <c r="Y21" s="246" t="str">
        <f t="shared" si="3"/>
        <v/>
      </c>
      <c r="Z21" s="401"/>
      <c r="AA21" s="399"/>
      <c r="AB21" s="400"/>
      <c r="AC21" s="397"/>
      <c r="AD21" s="401"/>
      <c r="AE21" s="399"/>
      <c r="AF21" s="667"/>
      <c r="AG21" s="427">
        <f t="shared" si="5"/>
        <v>0</v>
      </c>
      <c r="AH21" s="397"/>
      <c r="AI21" s="400"/>
      <c r="AJ21" s="402"/>
      <c r="AK21" s="399"/>
      <c r="AL21" s="400"/>
      <c r="AM21" s="397"/>
    </row>
    <row r="22" spans="1:51" ht="18.75" x14ac:dyDescent="0.25">
      <c r="A22" s="100"/>
      <c r="B22" s="622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7</v>
      </c>
      <c r="M22" s="20"/>
      <c r="N22" s="79"/>
      <c r="O22" s="79" t="s">
        <v>440</v>
      </c>
      <c r="P22" s="79"/>
      <c r="Q22" s="819">
        <f>COUNT(Q8:Q21)</f>
        <v>9</v>
      </c>
      <c r="R22" s="79" t="s">
        <v>441</v>
      </c>
      <c r="S22" s="79"/>
      <c r="T22" s="94">
        <f>COUNT(T8:T21)</f>
        <v>8</v>
      </c>
      <c r="U22" s="79"/>
      <c r="V22" s="79"/>
      <c r="W22" s="94"/>
      <c r="X22" s="79"/>
      <c r="Y22" s="79">
        <f>COUNT(Y8:Y21)</f>
        <v>9</v>
      </c>
      <c r="Z22" s="79"/>
      <c r="AA22" s="79"/>
      <c r="AB22" s="94"/>
      <c r="AC22" s="79"/>
      <c r="AD22" s="79"/>
      <c r="AE22" s="79"/>
      <c r="AF22" s="79"/>
      <c r="AG22" s="94"/>
      <c r="AH22" s="104">
        <f>COUNT(AH8:AH21)</f>
        <v>9</v>
      </c>
      <c r="AI22" s="79"/>
      <c r="AJ22" s="79"/>
      <c r="AK22" s="104">
        <f>COUNT(AK8:AK21)</f>
        <v>9</v>
      </c>
      <c r="AL22" s="94"/>
      <c r="AM22" s="79"/>
      <c r="AN22" s="79"/>
      <c r="AO22" s="79"/>
      <c r="AP22" s="44"/>
      <c r="AQ22" s="45"/>
      <c r="AR22" s="44"/>
      <c r="AS22" s="25"/>
    </row>
    <row r="23" spans="1:51" s="342" customFormat="1" ht="44.25" x14ac:dyDescent="0.55000000000000004">
      <c r="A23" s="336"/>
      <c r="B23" s="344"/>
      <c r="C23" s="337"/>
      <c r="D23" s="338"/>
      <c r="E23" s="338"/>
      <c r="F23" s="345"/>
      <c r="G23" s="334"/>
      <c r="H23" s="334"/>
      <c r="I23" s="334"/>
      <c r="J23" s="334"/>
      <c r="K23" s="334"/>
      <c r="L23" s="335"/>
      <c r="M23" s="339"/>
      <c r="N23" s="334"/>
      <c r="O23" s="334"/>
      <c r="P23" s="334"/>
      <c r="Q23" s="346"/>
      <c r="R23" s="334"/>
      <c r="S23" s="334"/>
      <c r="T23" s="335"/>
      <c r="U23" s="334"/>
      <c r="V23" s="334"/>
      <c r="W23" s="335"/>
      <c r="X23" s="334"/>
      <c r="Y23" s="334"/>
      <c r="Z23" s="334"/>
      <c r="AA23" s="334"/>
      <c r="AB23" s="346"/>
      <c r="AC23" s="334"/>
      <c r="AD23" s="335"/>
      <c r="AE23" s="334"/>
      <c r="AF23" s="334"/>
      <c r="AG23" s="346"/>
      <c r="AH23" s="334"/>
      <c r="AI23" s="334"/>
      <c r="AJ23" s="334"/>
      <c r="AK23" s="334"/>
      <c r="AL23" s="346"/>
      <c r="AM23" s="334"/>
      <c r="AN23" s="334"/>
      <c r="AO23" s="334"/>
      <c r="AP23" s="340"/>
      <c r="AQ23" s="341"/>
      <c r="AR23" s="340"/>
      <c r="AS23" s="341"/>
      <c r="AU23" s="343"/>
    </row>
    <row r="24" spans="1:51" ht="15" x14ac:dyDescent="0.2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52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1" ht="15.75" x14ac:dyDescent="0.2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52"/>
      <c r="U25" s="20"/>
      <c r="V25" s="20"/>
      <c r="W25" s="20"/>
      <c r="X25" s="20"/>
      <c r="Y25" s="20"/>
      <c r="Z25" s="20"/>
    </row>
    <row r="26" spans="1:51" ht="15.75" x14ac:dyDescent="0.2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52"/>
      <c r="U26" s="20"/>
      <c r="V26" s="20"/>
      <c r="W26" s="20"/>
      <c r="X26" s="20"/>
      <c r="Y26" s="20"/>
      <c r="Z26" s="20"/>
    </row>
    <row r="27" spans="1:51" ht="15.75" x14ac:dyDescent="0.25">
      <c r="A27" s="52"/>
      <c r="B27" s="49"/>
      <c r="C27" s="26"/>
      <c r="D27" s="26"/>
      <c r="E27" s="26"/>
      <c r="F27" s="26"/>
      <c r="G27" s="20"/>
      <c r="H27" s="20" t="s">
        <v>235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52"/>
      <c r="U27" s="20"/>
      <c r="V27" s="20"/>
      <c r="W27" s="20"/>
      <c r="X27" s="20"/>
      <c r="Y27" s="20"/>
      <c r="Z27" s="20"/>
    </row>
    <row r="28" spans="1:51" ht="15.75" x14ac:dyDescent="0.25">
      <c r="A28" s="52"/>
      <c r="B28" s="49"/>
      <c r="C28" s="26"/>
      <c r="D28" s="26"/>
      <c r="E28" s="26"/>
      <c r="F28" s="26"/>
      <c r="G28" s="20"/>
      <c r="H28" s="20" t="s">
        <v>155</v>
      </c>
      <c r="I28" s="20"/>
      <c r="J28" s="20"/>
      <c r="K28" s="28">
        <v>40</v>
      </c>
      <c r="L28" s="20"/>
      <c r="M28" s="20"/>
      <c r="N28" s="20"/>
      <c r="O28" s="20"/>
      <c r="P28" s="20"/>
      <c r="Q28" s="20"/>
      <c r="R28" s="20"/>
      <c r="S28" s="20"/>
      <c r="T28" s="52"/>
      <c r="U28" s="20"/>
      <c r="V28" s="20"/>
      <c r="W28" s="20"/>
      <c r="X28" s="20"/>
      <c r="Y28" s="20"/>
      <c r="Z28" s="20"/>
    </row>
    <row r="29" spans="1:51" ht="15.75" x14ac:dyDescent="0.25">
      <c r="A29" s="52"/>
      <c r="B29" s="49"/>
      <c r="C29" s="26"/>
      <c r="D29" s="26"/>
      <c r="E29" s="26"/>
      <c r="F29" s="26"/>
      <c r="G29" s="20"/>
      <c r="H29" s="20" t="s">
        <v>348</v>
      </c>
      <c r="I29" s="20"/>
      <c r="J29" s="20"/>
      <c r="K29" s="28">
        <v>30</v>
      </c>
      <c r="L29" s="20"/>
      <c r="M29" s="20"/>
      <c r="N29" s="20"/>
      <c r="O29" s="20"/>
      <c r="P29" s="20" t="s">
        <v>304</v>
      </c>
      <c r="Q29" s="20"/>
      <c r="R29" s="20"/>
      <c r="S29" s="20" t="s">
        <v>238</v>
      </c>
      <c r="T29" s="52"/>
      <c r="U29" s="20"/>
      <c r="V29" s="20"/>
      <c r="W29" s="20"/>
      <c r="X29" s="20"/>
      <c r="Y29" s="20"/>
      <c r="Z29" s="20"/>
    </row>
    <row r="30" spans="1:51" s="328" customFormat="1" ht="56.25" customHeight="1" thickBot="1" x14ac:dyDescent="0.3">
      <c r="A30" s="323"/>
      <c r="B30" s="324"/>
      <c r="C30" s="325"/>
      <c r="D30" s="326"/>
      <c r="E30" s="326"/>
      <c r="F30" s="327" t="s">
        <v>377</v>
      </c>
      <c r="G30" s="327" t="s">
        <v>376</v>
      </c>
      <c r="H30" s="327" t="s">
        <v>375</v>
      </c>
      <c r="I30" s="327" t="s">
        <v>374</v>
      </c>
      <c r="J30" s="327" t="s">
        <v>373</v>
      </c>
      <c r="K30" s="327" t="s">
        <v>352</v>
      </c>
      <c r="L30" s="327" t="s">
        <v>371</v>
      </c>
      <c r="M30" s="327" t="s">
        <v>370</v>
      </c>
      <c r="N30" s="327" t="s">
        <v>369</v>
      </c>
      <c r="O30" s="327" t="s">
        <v>368</v>
      </c>
      <c r="P30" s="327" t="s">
        <v>367</v>
      </c>
      <c r="Q30" s="327"/>
      <c r="R30" s="327" t="s">
        <v>366</v>
      </c>
      <c r="S30" s="814"/>
      <c r="T30" s="323"/>
    </row>
    <row r="31" spans="1:51" ht="26.25" customHeight="1" x14ac:dyDescent="0.2">
      <c r="A31" s="52"/>
      <c r="B31" s="248" t="s">
        <v>298</v>
      </c>
      <c r="C31" s="249" t="s">
        <v>152</v>
      </c>
      <c r="D31" s="250">
        <v>1</v>
      </c>
      <c r="E31" s="250">
        <v>2</v>
      </c>
      <c r="F31" s="250">
        <v>3</v>
      </c>
      <c r="G31" s="815">
        <v>4</v>
      </c>
      <c r="H31" s="251">
        <v>5</v>
      </c>
      <c r="I31" s="251">
        <v>6</v>
      </c>
      <c r="J31" s="251">
        <v>7</v>
      </c>
      <c r="K31" s="251">
        <v>8</v>
      </c>
      <c r="L31" s="251">
        <v>9</v>
      </c>
      <c r="M31" s="251">
        <v>10</v>
      </c>
      <c r="N31" s="728">
        <v>11</v>
      </c>
      <c r="O31" s="251">
        <v>12</v>
      </c>
      <c r="P31" s="251">
        <v>13</v>
      </c>
      <c r="Q31" s="251">
        <v>14</v>
      </c>
      <c r="R31" s="728">
        <v>15</v>
      </c>
      <c r="S31" s="252" t="s">
        <v>236</v>
      </c>
      <c r="T31" s="253" t="s">
        <v>170</v>
      </c>
      <c r="U31" s="254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1" ht="15.75" x14ac:dyDescent="0.2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67" t="str">
        <f>IF($D40=0," ",$D40)</f>
        <v xml:space="preserve"> </v>
      </c>
      <c r="U32" s="255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8" x14ac:dyDescent="0.2">
      <c r="A33" s="51"/>
      <c r="B33" s="95" t="s">
        <v>1</v>
      </c>
      <c r="C33" s="156">
        <v>2</v>
      </c>
      <c r="D33" s="358"/>
      <c r="E33" s="358"/>
      <c r="F33" s="358">
        <v>2</v>
      </c>
      <c r="G33" s="358"/>
      <c r="H33" s="360"/>
      <c r="I33" s="361">
        <v>2</v>
      </c>
      <c r="J33" s="360">
        <v>2</v>
      </c>
      <c r="K33" s="360"/>
      <c r="L33" s="360">
        <v>2</v>
      </c>
      <c r="M33" s="360">
        <v>2</v>
      </c>
      <c r="N33" s="360">
        <v>2</v>
      </c>
      <c r="O33" s="360">
        <v>2</v>
      </c>
      <c r="P33" s="360">
        <v>2</v>
      </c>
      <c r="Q33" s="360"/>
      <c r="R33" s="360">
        <v>2</v>
      </c>
      <c r="S33" s="131">
        <v>2</v>
      </c>
      <c r="T33" s="167" t="str">
        <f>IF($E40=0," ",$E40)</f>
        <v xml:space="preserve"> </v>
      </c>
      <c r="U33" s="255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8" x14ac:dyDescent="0.2">
      <c r="A34" s="51"/>
      <c r="B34" s="95" t="s">
        <v>3</v>
      </c>
      <c r="C34" s="156">
        <v>2</v>
      </c>
      <c r="D34" s="358"/>
      <c r="E34" s="358"/>
      <c r="F34" s="358">
        <v>2</v>
      </c>
      <c r="G34" s="358"/>
      <c r="H34" s="360"/>
      <c r="I34" s="361">
        <v>2</v>
      </c>
      <c r="J34" s="360">
        <v>2</v>
      </c>
      <c r="K34" s="360"/>
      <c r="L34" s="360">
        <v>2</v>
      </c>
      <c r="M34" s="360">
        <v>2</v>
      </c>
      <c r="N34" s="360">
        <v>2</v>
      </c>
      <c r="O34" s="360">
        <v>2</v>
      </c>
      <c r="P34" s="360">
        <v>2</v>
      </c>
      <c r="Q34" s="360"/>
      <c r="R34" s="360">
        <v>2</v>
      </c>
      <c r="S34" s="131">
        <v>3</v>
      </c>
      <c r="T34" s="167">
        <f>IF($F40=0," ",$F40)</f>
        <v>9</v>
      </c>
      <c r="U34" s="255">
        <f>IF($F46=0," ",$F46)</f>
        <v>19.5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5</v>
      </c>
      <c r="C35" s="156">
        <v>2</v>
      </c>
      <c r="D35" s="358"/>
      <c r="E35" s="358"/>
      <c r="F35" s="358">
        <v>2</v>
      </c>
      <c r="G35" s="358"/>
      <c r="H35" s="360"/>
      <c r="I35" s="361">
        <v>2</v>
      </c>
      <c r="J35" s="360">
        <v>2</v>
      </c>
      <c r="K35" s="360"/>
      <c r="L35" s="360">
        <v>2</v>
      </c>
      <c r="M35" s="360">
        <v>2</v>
      </c>
      <c r="N35" s="360">
        <v>2</v>
      </c>
      <c r="O35" s="360">
        <v>2</v>
      </c>
      <c r="P35" s="360">
        <v>2</v>
      </c>
      <c r="Q35" s="360"/>
      <c r="R35" s="360">
        <v>2</v>
      </c>
      <c r="S35" s="131">
        <v>4</v>
      </c>
      <c r="T35" s="167" t="str">
        <f>IF($G40=0," ",$G40)</f>
        <v xml:space="preserve"> </v>
      </c>
      <c r="U35" s="255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95" t="s">
        <v>6</v>
      </c>
      <c r="C36" s="156">
        <v>2</v>
      </c>
      <c r="D36" s="358"/>
      <c r="E36" s="358"/>
      <c r="F36" s="358">
        <v>1</v>
      </c>
      <c r="G36" s="358"/>
      <c r="H36" s="360"/>
      <c r="I36" s="361">
        <v>2</v>
      </c>
      <c r="J36" s="360">
        <v>2</v>
      </c>
      <c r="K36" s="360"/>
      <c r="L36" s="360">
        <v>2</v>
      </c>
      <c r="M36" s="360">
        <v>2</v>
      </c>
      <c r="N36" s="360">
        <v>2</v>
      </c>
      <c r="O36" s="360">
        <v>0</v>
      </c>
      <c r="P36" s="360">
        <v>2</v>
      </c>
      <c r="Q36" s="360"/>
      <c r="R36" s="360">
        <v>2</v>
      </c>
      <c r="S36" s="131">
        <v>5</v>
      </c>
      <c r="T36" s="167" t="str">
        <f>IF($H40=0," ",$H40)</f>
        <v xml:space="preserve"> </v>
      </c>
      <c r="U36" s="255" t="str">
        <f>IF($H46=0," ",$H46)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95" t="s">
        <v>7</v>
      </c>
      <c r="C37" s="156">
        <v>4</v>
      </c>
      <c r="D37" s="358"/>
      <c r="E37" s="358"/>
      <c r="F37" s="358"/>
      <c r="G37" s="358"/>
      <c r="H37" s="360"/>
      <c r="I37" s="361">
        <v>4</v>
      </c>
      <c r="J37" s="360"/>
      <c r="K37" s="360"/>
      <c r="L37" s="360"/>
      <c r="M37" s="360">
        <v>0</v>
      </c>
      <c r="N37" s="360">
        <v>0</v>
      </c>
      <c r="O37" s="360"/>
      <c r="P37" s="360">
        <v>0</v>
      </c>
      <c r="Q37" s="360"/>
      <c r="R37" s="360">
        <v>4</v>
      </c>
      <c r="S37" s="131">
        <v>6</v>
      </c>
      <c r="T37" s="167">
        <f>IF($I40=0," ",$I40)</f>
        <v>16</v>
      </c>
      <c r="U37" s="255">
        <f>IF($I46=0," ",$I46)</f>
        <v>16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8</v>
      </c>
      <c r="C38" s="156">
        <v>2</v>
      </c>
      <c r="D38" s="358"/>
      <c r="E38" s="358"/>
      <c r="F38" s="358"/>
      <c r="G38" s="358"/>
      <c r="H38" s="360"/>
      <c r="I38" s="361">
        <v>2</v>
      </c>
      <c r="J38" s="360">
        <v>2</v>
      </c>
      <c r="K38" s="360"/>
      <c r="L38" s="360"/>
      <c r="M38" s="360">
        <v>2</v>
      </c>
      <c r="N38" s="360">
        <v>2</v>
      </c>
      <c r="O38" s="360"/>
      <c r="P38" s="360">
        <v>0</v>
      </c>
      <c r="Q38" s="360"/>
      <c r="R38" s="360">
        <v>2</v>
      </c>
      <c r="S38" s="131">
        <v>7</v>
      </c>
      <c r="T38" s="167">
        <f>IF($J40=0," ",$J40)</f>
        <v>12</v>
      </c>
      <c r="U38" s="255">
        <f>IF($J46=0," ",$J46)</f>
        <v>11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160</v>
      </c>
      <c r="C39" s="156">
        <v>2</v>
      </c>
      <c r="D39" s="358"/>
      <c r="E39" s="358"/>
      <c r="F39" s="358">
        <v>2</v>
      </c>
      <c r="G39" s="358"/>
      <c r="H39" s="360"/>
      <c r="I39" s="361">
        <v>2</v>
      </c>
      <c r="J39" s="360">
        <v>2</v>
      </c>
      <c r="K39" s="360"/>
      <c r="L39" s="360"/>
      <c r="M39" s="360">
        <v>2</v>
      </c>
      <c r="N39" s="360">
        <v>2</v>
      </c>
      <c r="O39" s="360"/>
      <c r="P39" s="360">
        <v>2</v>
      </c>
      <c r="Q39" s="360"/>
      <c r="R39" s="360">
        <v>2</v>
      </c>
      <c r="S39" s="131">
        <v>8</v>
      </c>
      <c r="T39" s="167" t="str">
        <f>IF($K40=0," ",$K40)</f>
        <v xml:space="preserve"> </v>
      </c>
      <c r="U39" s="255" t="str">
        <f>IF($K46=0," ",$K46)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5.75" x14ac:dyDescent="0.2">
      <c r="A40" s="51"/>
      <c r="B40" s="95" t="s">
        <v>38</v>
      </c>
      <c r="C40" s="92">
        <f>SUM(C33:C39)</f>
        <v>16</v>
      </c>
      <c r="D40" s="421">
        <f>SUM(D33:D39)</f>
        <v>0</v>
      </c>
      <c r="E40" s="421">
        <f t="shared" ref="E40:R40" si="11">SUM(E33:E39)</f>
        <v>0</v>
      </c>
      <c r="F40" s="421">
        <f t="shared" si="11"/>
        <v>9</v>
      </c>
      <c r="G40" s="421">
        <f t="shared" si="11"/>
        <v>0</v>
      </c>
      <c r="H40" s="421">
        <f t="shared" si="11"/>
        <v>0</v>
      </c>
      <c r="I40" s="421">
        <f t="shared" si="11"/>
        <v>16</v>
      </c>
      <c r="J40" s="421">
        <f t="shared" si="11"/>
        <v>12</v>
      </c>
      <c r="K40" s="421">
        <f t="shared" si="11"/>
        <v>0</v>
      </c>
      <c r="L40" s="421">
        <f t="shared" si="11"/>
        <v>8</v>
      </c>
      <c r="M40" s="421">
        <f t="shared" si="11"/>
        <v>12</v>
      </c>
      <c r="N40" s="421">
        <f t="shared" si="11"/>
        <v>12</v>
      </c>
      <c r="O40" s="421">
        <f t="shared" si="11"/>
        <v>6</v>
      </c>
      <c r="P40" s="421">
        <f t="shared" si="11"/>
        <v>10</v>
      </c>
      <c r="Q40" s="421">
        <f t="shared" si="11"/>
        <v>0</v>
      </c>
      <c r="R40" s="421">
        <f t="shared" si="11"/>
        <v>16</v>
      </c>
      <c r="S40" s="131">
        <v>9</v>
      </c>
      <c r="T40" s="167">
        <f>IF($L40=0," ",$L40)</f>
        <v>8</v>
      </c>
      <c r="U40" s="255">
        <f>IF($L46=0," ",$L46)</f>
        <v>10.5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25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22"/>
      <c r="Q41" s="86"/>
      <c r="R41" s="81"/>
      <c r="S41" s="131">
        <v>10</v>
      </c>
      <c r="T41" s="167">
        <f>IF($M40=0," ",$M40)</f>
        <v>12</v>
      </c>
      <c r="U41" s="255">
        <f>IF($M46=0," ",$M46)</f>
        <v>9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 x14ac:dyDescent="0.2">
      <c r="A42" s="51"/>
      <c r="B42" s="97" t="s">
        <v>13</v>
      </c>
      <c r="C42" s="156">
        <v>10</v>
      </c>
      <c r="D42" s="371"/>
      <c r="E42" s="371"/>
      <c r="F42" s="371">
        <v>9.5</v>
      </c>
      <c r="G42" s="372"/>
      <c r="H42" s="372"/>
      <c r="I42" s="372">
        <v>10</v>
      </c>
      <c r="J42" s="816">
        <v>9</v>
      </c>
      <c r="K42" s="372"/>
      <c r="L42" s="372">
        <v>9</v>
      </c>
      <c r="M42" s="372">
        <v>9</v>
      </c>
      <c r="N42" s="372">
        <v>9</v>
      </c>
      <c r="O42" s="372">
        <v>10</v>
      </c>
      <c r="P42" s="372">
        <v>10</v>
      </c>
      <c r="Q42" s="372"/>
      <c r="R42" s="372">
        <v>8</v>
      </c>
      <c r="S42" s="131">
        <v>11</v>
      </c>
      <c r="T42" s="167">
        <f>IF($N40=0," ",$N40)</f>
        <v>12</v>
      </c>
      <c r="U42" s="255">
        <f>IF($N46=0," ",$N46)</f>
        <v>9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5">
      <c r="A43" s="51"/>
      <c r="B43" s="97" t="s">
        <v>161</v>
      </c>
      <c r="C43" s="156">
        <v>2</v>
      </c>
      <c r="D43" s="371"/>
      <c r="E43" s="371"/>
      <c r="F43" s="371">
        <v>2</v>
      </c>
      <c r="G43" s="372"/>
      <c r="H43" s="372"/>
      <c r="I43" s="372">
        <v>2</v>
      </c>
      <c r="J43" s="361">
        <v>2</v>
      </c>
      <c r="K43" s="372"/>
      <c r="L43" s="372">
        <v>1.5</v>
      </c>
      <c r="M43" s="372"/>
      <c r="N43" s="372"/>
      <c r="O43" s="372"/>
      <c r="P43" s="365">
        <v>0</v>
      </c>
      <c r="Q43" s="372"/>
      <c r="R43" s="372">
        <v>2</v>
      </c>
      <c r="S43" s="131">
        <v>12</v>
      </c>
      <c r="T43" s="167">
        <f>IF($O40=0," ",$O40)</f>
        <v>6</v>
      </c>
      <c r="U43" s="255">
        <f>IF($O46=0," ",$O46)</f>
        <v>10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5">
      <c r="A44" s="51"/>
      <c r="B44" s="97" t="s">
        <v>15</v>
      </c>
      <c r="C44" s="156">
        <v>4</v>
      </c>
      <c r="D44" s="373"/>
      <c r="E44" s="373"/>
      <c r="F44" s="373">
        <v>4</v>
      </c>
      <c r="G44" s="374"/>
      <c r="H44" s="374"/>
      <c r="I44" s="374">
        <v>4</v>
      </c>
      <c r="J44" s="361"/>
      <c r="K44" s="374"/>
      <c r="L44" s="374"/>
      <c r="M44" s="374"/>
      <c r="N44" s="374"/>
      <c r="O44" s="374"/>
      <c r="P44" s="369">
        <v>4</v>
      </c>
      <c r="Q44" s="374"/>
      <c r="R44" s="374">
        <v>4</v>
      </c>
      <c r="S44" s="131">
        <v>13</v>
      </c>
      <c r="T44" s="167">
        <f>IF($P40=0," ",$P40)</f>
        <v>10</v>
      </c>
      <c r="U44" s="255">
        <f>IF($P46=0," ",$P46)</f>
        <v>14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 x14ac:dyDescent="0.25">
      <c r="A45" s="51"/>
      <c r="B45" s="97" t="s">
        <v>227</v>
      </c>
      <c r="C45" s="156">
        <v>4</v>
      </c>
      <c r="D45" s="373"/>
      <c r="E45" s="373"/>
      <c r="F45" s="373">
        <v>4</v>
      </c>
      <c r="G45" s="374"/>
      <c r="H45" s="374"/>
      <c r="I45" s="374">
        <v>0</v>
      </c>
      <c r="J45" s="361"/>
      <c r="K45" s="374"/>
      <c r="L45" s="374"/>
      <c r="M45" s="374"/>
      <c r="N45" s="374"/>
      <c r="O45" s="374"/>
      <c r="P45" s="369">
        <v>0</v>
      </c>
      <c r="Q45" s="374"/>
      <c r="R45" s="374"/>
      <c r="S45" s="131">
        <v>14</v>
      </c>
      <c r="T45" s="167" t="str">
        <f>IF($Q40=0," ",$Q40)</f>
        <v xml:space="preserve"> </v>
      </c>
      <c r="U45" s="255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6.5" thickBot="1" x14ac:dyDescent="0.25">
      <c r="A46" s="51"/>
      <c r="B46" s="257" t="s">
        <v>38</v>
      </c>
      <c r="C46" s="258">
        <f>SUM(C42:C45)</f>
        <v>20</v>
      </c>
      <c r="D46" s="258">
        <f>SUM(D42:D45)</f>
        <v>0</v>
      </c>
      <c r="E46" s="258">
        <f t="shared" ref="E46:R46" si="12">SUM(E42:E45)</f>
        <v>0</v>
      </c>
      <c r="F46" s="258">
        <f t="shared" si="12"/>
        <v>19.5</v>
      </c>
      <c r="G46" s="258">
        <f t="shared" si="12"/>
        <v>0</v>
      </c>
      <c r="H46" s="258">
        <f t="shared" si="12"/>
        <v>0</v>
      </c>
      <c r="I46" s="258">
        <f t="shared" si="12"/>
        <v>16</v>
      </c>
      <c r="J46" s="258">
        <f t="shared" si="12"/>
        <v>11</v>
      </c>
      <c r="K46" s="258">
        <f t="shared" si="12"/>
        <v>0</v>
      </c>
      <c r="L46" s="258">
        <f t="shared" si="12"/>
        <v>10.5</v>
      </c>
      <c r="M46" s="258">
        <f t="shared" si="12"/>
        <v>9</v>
      </c>
      <c r="N46" s="258">
        <f t="shared" si="12"/>
        <v>9</v>
      </c>
      <c r="O46" s="258">
        <f t="shared" si="12"/>
        <v>10</v>
      </c>
      <c r="P46" s="258">
        <f t="shared" si="12"/>
        <v>14</v>
      </c>
      <c r="Q46" s="258">
        <f t="shared" si="12"/>
        <v>0</v>
      </c>
      <c r="R46" s="258">
        <f t="shared" si="12"/>
        <v>14</v>
      </c>
      <c r="S46" s="259">
        <v>15</v>
      </c>
      <c r="T46" s="260">
        <f>IF($R40=0," ",$R40)</f>
        <v>16</v>
      </c>
      <c r="U46" s="261">
        <f>IF($R46=0," ",$R46)</f>
        <v>14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x14ac:dyDescent="0.2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2"/>
      <c r="T47" s="168"/>
      <c r="U47" s="130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3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</sheetData>
  <customSheetViews>
    <customSheetView guid="{C5D960BD-C1A6-4228-A267-A87ADCF0AB55}" scale="70" showPageBreaks="1" showGridLines="0" fitToPage="1" printArea="1">
      <pane xSplit="6" ySplit="7" topLeftCell="G8" activePane="bottomRight" state="frozen"/>
      <selection pane="bottomRight" activeCell="C3" sqref="C3:C7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1"/>
      <headerFooter alignWithMargins="0">
        <oddHeader>&amp;C</oddHeader>
      </headerFooter>
    </customSheetView>
    <customSheetView guid="{6C8D603E-9A1B-49F4-AEFE-06707C7BCD53}" scale="80" showPageBreaks="1" showGridLines="0" fitToPage="1" printArea="1">
      <pane xSplit="6" ySplit="7" topLeftCell="G8" activePane="bottomRight" state="frozen"/>
      <selection pane="bottomRight" activeCell="Q20" sqref="Q20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2"/>
      <headerFooter alignWithMargins="0">
        <oddHeader>&amp;C</oddHeader>
      </headerFooter>
    </customSheetView>
    <customSheetView guid="{1C44C54F-C0A4-451D-B8A0-B8C17D7E284D}" scale="70" showPageBreaks="1" showGridLines="0" fitToPage="1" printArea="1">
      <pane xSplit="6" ySplit="7" topLeftCell="G8" activePane="bottomRight" state="frozen"/>
      <selection pane="bottomRight" activeCell="C3" sqref="C3:C7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verticalDpi="0" r:id="rId3"/>
      <headerFooter alignWithMargins="0">
        <oddHeader>&amp;C</oddHeader>
      </headerFooter>
    </customSheetView>
    <customSheetView guid="{4BCF288A-A595-4C42-82E7-535EDC2AC415}" scale="75" showPageBreaks="1" showGridLines="0" fitToPage="1" printArea="1" state="hidden">
      <pane xSplit="6" ySplit="7" topLeftCell="AV8" activePane="bottomRight" state="frozen"/>
      <selection pane="bottomRight" activeCell="G7" sqref="G7:AY7"/>
      <pageMargins left="0.55118110236220474" right="0.43307086614173229" top="0.62992125984251968" bottom="0.6692913385826772" header="0.51181102362204722" footer="0.51181102362204722"/>
      <pageSetup paperSize="9" scale="34" fitToWidth="3" orientation="portrait" horizontalDpi="0" verticalDpi="0" r:id="rId4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K11" activePane="bottomRight" state="frozen"/>
      <selection pane="bottomRight" activeCell="AM14" sqref="AM14"/>
      <pageMargins left="0.56000000000000005" right="0.44" top="0.64" bottom="0.65" header="0.5" footer="0.5"/>
      <pageSetup paperSize="9" scale="11" fitToWidth="2" orientation="landscape" r:id="rId5"/>
      <headerFooter alignWithMargins="0">
        <oddHeader>&amp;C</oddHeader>
      </headerFooter>
    </customSheetView>
    <customSheetView guid="{96BFE75B-9E94-4DC9-803C-D5A288E717C0}" scale="75" showPageBreaks="1" showGridLines="0" fitToPage="1" printArea="1" state="hidden">
      <pane xSplit="6" ySplit="7" topLeftCell="AM8" activePane="bottomRight" state="frozen"/>
      <selection pane="bottomRight" activeCell="C8" sqref="C8:C19"/>
      <pageMargins left="0.56000000000000005" right="0.44" top="0.64" bottom="0.65" header="0.5" footer="0.5"/>
      <pageSetup paperSize="9" scale="46" fitToWidth="2" orientation="landscape" r:id="rId6"/>
      <headerFooter alignWithMargins="0">
        <oddHeader>&amp;C</oddHeader>
      </headerFooter>
    </customSheetView>
    <customSheetView guid="{9581BC83-4638-4839-B4A7-A6430282DE49}" scale="75" showPageBreaks="1" showGridLines="0" fitToPage="1" printArea="1" state="hidden" showRuler="0">
      <pane xSplit="6" ySplit="7" topLeftCell="T8" activePane="bottomRight" state="frozen"/>
      <selection pane="bottomRight" activeCell="V14" sqref="V14"/>
      <pageMargins left="0.56000000000000005" right="0.44" top="0.64" bottom="0.65" header="0.5" footer="0.5"/>
      <pageSetup paperSize="9" scale="46" fitToWidth="2" orientation="landscape" r:id="rId7"/>
      <headerFooter alignWithMargins="0">
        <oddHeader>&amp;C</oddHeader>
      </headerFooter>
    </customSheetView>
    <customSheetView guid="{7DAD0CBB-837D-490E-8AD8-C7F6F6026BC2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8"/>
      <headerFooter alignWithMargins="0">
        <oddHeader>&amp;C</oddHeader>
      </headerFooter>
    </customSheetView>
    <customSheetView guid="{DD783D5A-D326-44F8-82C1-529ADF80E68D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9"/>
      <headerFooter alignWithMargins="0">
        <oddHeader>&amp;C</oddHeader>
      </headerFooter>
    </customSheetView>
    <customSheetView guid="{63677729-B220-4674-B8DA-E23D188A7DD0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10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11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7" topLeftCell="N8" activePane="bottomRight" state="frozen"/>
      <selection pane="bottomRight" activeCell="AW19" sqref="AW19"/>
      <pageMargins left="0.56000000000000005" right="0.44" top="0.64" bottom="0.65" header="0.5" footer="0.5"/>
      <pageSetup paperSize="9" scale="46" fitToWidth="2" orientation="landscape" r:id="rId12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7" topLeftCell="AP8" activePane="bottomRight" state="frozen"/>
      <selection pane="bottomRight" activeCell="F14" sqref="F14"/>
      <pageMargins left="0.56000000000000005" right="0.44" top="0.64" bottom="0.65" header="0.5" footer="0.5"/>
      <pageSetup paperSize="9" scale="46" fitToWidth="2" orientation="landscape" r:id="rId13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N7" activePane="bottomRight" state="frozen"/>
      <selection pane="bottomRight" activeCell="B2" sqref="B2:B6"/>
      <pageMargins left="0.56000000000000005" right="0.25" top="0.64" bottom="0.65" header="0.5" footer="0.5"/>
      <pageSetup paperSize="9" scale="46" fitToWidth="2" orientation="landscape" r:id="rId16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D7" activePane="bottomRight" state="frozen"/>
      <selection pane="bottomRight" activeCell="AE18" sqref="AE18"/>
      <pageMargins left="0.56000000000000005" right="0.44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BA384526-2B52-499B-A6CB-A20D93F7D458}" scale="75" showGridLines="0" showRuler="0">
      <pane xSplit="6" ySplit="6" topLeftCell="Z7" activePane="bottomRight" state="frozen"/>
      <selection pane="bottomRight" activeCell="X4" sqref="X4:X5"/>
      <pageMargins left="0.56000000000000005" right="0.36" top="0.64" bottom="0.65" header="0.5" footer="0.5"/>
      <pageSetup paperSize="9" scale="45" fitToWidth="2" orientation="landscape" r:id="rId19"/>
      <headerFooter alignWithMargins="0">
        <oddHeader>&amp;C2005/2006 уч.рік 5 трим</oddHeader>
      </headerFooter>
    </customSheetView>
    <customSheetView guid="{9441459E-E2AF-4712-941E-3718915AA278}" scale="75" showGridLines="0" showRuler="0">
      <pane xSplit="6" ySplit="6" topLeftCell="AE7" activePane="bottomRight" state="frozen"/>
      <selection pane="bottomRight" activeCell="AJ17" sqref="AJ17"/>
      <pageMargins left="0.56000000000000005" right="0.36" top="0.64" bottom="0.65" header="0.5" footer="0.5"/>
      <pageSetup paperSize="9" scale="45" fitToWidth="2" orientation="landscape" r:id="rId20"/>
      <headerFooter alignWithMargins="0">
        <oddHeader>&amp;C2005/2006 уч.рік 5 трим</oddHeader>
      </headerFooter>
    </customSheetView>
    <customSheetView guid="{AAE6FF24-C1F0-4266-B899-2398D5DAFFD0}" scale="75" showPageBreaks="1" showGridLines="0" fitToPage="1" printArea="1" showRuler="0">
      <pane xSplit="6" ySplit="6" topLeftCell="G7" activePane="bottomRight" state="frozen"/>
      <selection pane="bottomRight" activeCell="G7" sqref="G7"/>
      <pageMargins left="0.56000000000000005" right="0.75" top="0.64" bottom="0.65" header="0.5" footer="0.5"/>
      <pageSetup paperSize="9" scale="43" fitToWidth="2" orientation="landscape" r:id="rId21"/>
      <headerFooter alignWithMargins="0">
        <oddHeader>&amp;C2003/2004 уч.рік 5 трим</oddHeader>
      </headerFooter>
    </customSheetView>
    <customSheetView guid="{85387D8F-322B-4575-A31F-6C67D6D60B03}" scale="75" showGridLines="0" fitToPage="1" showRuler="0">
      <pane xSplit="6" ySplit="6" topLeftCell="V7" activePane="bottomRight" state="frozen"/>
      <selection pane="bottomRight" activeCell="E17" sqref="E17"/>
      <pageMargins left="0.56000000000000005" right="0.75" top="0.64" bottom="0.65" header="0.5" footer="0.5"/>
      <pageSetup paperSize="9" scale="43" fitToWidth="2" orientation="landscape" r:id="rId22"/>
      <headerFooter alignWithMargins="0">
        <oddHeader>&amp;C2003/2004 уч.рік 5 трим</oddHeader>
      </headerFooter>
    </customSheetView>
    <customSheetView guid="{F6031743-2EF4-4963-B0D7-9FFF72490A27}" scale="75" showGridLines="0" fitToPage="1" showRuler="0">
      <pane xSplit="6" ySplit="6" topLeftCell="U13" activePane="bottomRight" state="frozen"/>
      <selection pane="bottomRight" activeCell="K4" sqref="K4:K5"/>
      <pageMargins left="0.56000000000000005" right="0.75" top="0.64" bottom="0.65" header="0.5" footer="0.5"/>
      <pageSetup paperSize="9" scale="43" fitToWidth="2" orientation="landscape" r:id="rId23"/>
      <headerFooter alignWithMargins="0">
        <oddHeader>&amp;C2003/2004 уч.рік 5 трим</oddHeader>
      </headerFooter>
    </customSheetView>
    <customSheetView guid="{86E46D09-7AE0-4152-9FFC-C08D0784D8A7}" scale="75" showGridLines="0" fitToPage="1" showRuler="0">
      <pane xSplit="6" ySplit="6" topLeftCell="G7" activePane="bottomRight" state="frozen"/>
      <selection pane="bottomRight" activeCell="K7" sqref="K7"/>
      <pageMargins left="0.56000000000000005" right="0.75" top="0.64" bottom="0.65" header="0.5" footer="0.5"/>
      <pageSetup paperSize="9" scale="43" fitToWidth="2" orientation="landscape" r:id="rId24"/>
      <headerFooter alignWithMargins="0">
        <oddHeader>&amp;C2003/2004 уч.рік 5 трим</oddHeader>
      </headerFooter>
    </customSheetView>
    <customSheetView guid="{2B1F19F5-DDBC-46F8-92CB-9A790CB7FD61}" scale="75" showGridLines="0" showRuler="0">
      <pane xSplit="6" ySplit="6" topLeftCell="L7" activePane="bottomRight" state="frozen"/>
      <selection pane="bottomRight" activeCell="T17" sqref="T17"/>
      <pageMargins left="0.56000000000000005" right="0.36" top="0.64" bottom="0.65" header="0.5" footer="0.5"/>
      <pageSetup paperSize="9" scale="45" fitToWidth="2" orientation="landscape" r:id="rId25"/>
      <headerFooter alignWithMargins="0">
        <oddHeader>&amp;C2005/2006 уч.рік 5 трим</oddHeader>
      </headerFooter>
    </customSheetView>
    <customSheetView guid="{6EA0E7B6-C486-4B39-8128-16821F7A9C03}" scale="75" showGridLines="0" showRuler="0">
      <pane xSplit="6" ySplit="6" topLeftCell="G7" activePane="bottomRight" state="frozen"/>
      <selection pane="bottomRight" activeCell="C17" sqref="C17"/>
      <pageMargins left="0.56000000000000005" right="0.36" top="0.64" bottom="0.65" header="0.5" footer="0.5"/>
      <pageSetup paperSize="9" scale="45" fitToWidth="2" orientation="landscape" r:id="rId26"/>
      <headerFooter alignWithMargins="0">
        <oddHeader>&amp;C2005/2006 уч.рік 5 трим</oddHeader>
      </headerFooter>
    </customSheetView>
    <customSheetView guid="{BE29CB45-C44C-4909-A8C9-0850A17CCE3A}" scale="75" showGridLines="0" showRuler="0">
      <pane xSplit="6" ySplit="6" topLeftCell="AS7" activePane="bottomRight" state="frozen"/>
      <selection pane="bottomRight" activeCell="F18" sqref="F18"/>
      <pageMargins left="0.56000000000000005" right="0.36" top="0.64" bottom="0.65" header="0.5" footer="0.5"/>
      <pageSetup paperSize="9" scale="45" fitToWidth="2" orientation="landscape" r:id="rId27"/>
      <headerFooter alignWithMargins="0">
        <oddHeader>&amp;C2005/2006 уч.рік 5 трим</oddHeader>
      </headerFooter>
    </customSheetView>
    <customSheetView guid="{8DFD9D66-8B11-4E3E-B614-03CD90A02DAE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28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D7" activePane="bottomRight" state="frozen"/>
      <selection pane="bottomRight" activeCell="B7" sqref="B7:F20"/>
      <pageMargins left="0.56000000000000005" right="0.44" top="0.64" bottom="0.65" header="0.5" footer="0.5"/>
      <pageSetup paperSize="9" scale="55" fitToWidth="2" orientation="landscape" r:id="rId29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30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7" topLeftCell="AM8" activePane="bottomRight" state="frozen"/>
      <selection pane="bottomRight" activeCell="AS7" sqref="AS7:AT7"/>
      <pageMargins left="0.56000000000000005" right="0.44" top="0.64" bottom="0.65" header="0.5" footer="0.5"/>
      <pageSetup paperSize="9" scale="46" fitToWidth="2" orientation="landscape" r:id="rId31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7" topLeftCell="W8" activePane="bottomRight" state="frozen"/>
      <selection pane="bottomRight" activeCell="A20" sqref="A20"/>
      <pageMargins left="0.56000000000000005" right="0.44" top="0.64" bottom="0.65" header="0.5" footer="0.5"/>
      <pageSetup paperSize="9" scale="45" fitToWidth="2" orientation="landscape" r:id="rId32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3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9" scale="46" fitToWidth="2" orientation="landscape" r:id="rId34"/>
      <headerFooter alignWithMargins="0">
        <oddHeader>&amp;C</oddHeader>
      </headerFooter>
    </customSheetView>
    <customSheetView guid="{54CA7618-6F98-4F47-B371-BA051FE75870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5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7" topLeftCell="AQ17" activePane="bottomRight" state="frozen"/>
      <selection pane="bottomRight" activeCell="D17" sqref="D17"/>
      <pageMargins left="0.56000000000000005" right="0.44" top="0.64" bottom="0.65" header="0.5" footer="0.5"/>
      <pageSetup paperSize="9" scale="46" fitToWidth="2" orientation="landscape" r:id="rId36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7" topLeftCell="G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7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7" topLeftCell="K8" activePane="bottomRight" state="frozen"/>
      <selection pane="bottomRight" activeCell="K16" sqref="K16"/>
      <pageMargins left="0.56000000000000005" right="0.44" top="0.64" bottom="0.65" header="0.5" footer="0.5"/>
      <pageSetup paperSize="9" scale="46" fitToWidth="2" orientation="landscape" r:id="rId38"/>
      <headerFooter alignWithMargins="0">
        <oddHeader>&amp;C2006/2007 уч.рік 5 трим</oddHeader>
      </headerFooter>
    </customSheetView>
    <customSheetView guid="{1431BB82-382B-49E3-A435-36D988AC7FF6}" scale="75" showGridLines="0" fitToPage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75" showPageBreaks="1" showGridLines="0" fitToPage="1" printArea="1">
      <pane xSplit="6" ySplit="7" topLeftCell="G8" activePane="bottomRight" state="frozen"/>
      <selection pane="bottomRight" activeCell="AX14" sqref="AX14"/>
      <pageMargins left="0.55118110236220474" right="0.43307086614173229" top="0.62992125984251968" bottom="0.6692913385826772" header="0.51181102362204722" footer="0.51181102362204722"/>
      <pageSetup paperSize="9" scale="49" fitToWidth="3" orientation="landscape" horizontalDpi="4294967293" verticalDpi="200" r:id="rId39"/>
      <headerFooter alignWithMargins="0">
        <oddHeader>&amp;C</oddHeader>
      </headerFooter>
    </customSheetView>
    <customSheetView guid="{134EDDCA-7309-47EE-BAAB-632C7B2A96A3}" scale="60" showPageBreaks="1" showGridLines="0" fitToPage="1" printArea="1">
      <pane xSplit="6" ySplit="7" topLeftCell="G8" activePane="bottomRight" state="frozen"/>
      <selection pane="bottomRight" activeCell="P25" sqref="P25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40"/>
      <headerFooter alignWithMargins="0">
        <oddHeader>&amp;C</oddHeader>
      </headerFooter>
    </customSheetView>
    <customSheetView guid="{C2F30B35-D639-4BB4-A50F-41AB6A913442}" scale="75" showPageBreaks="1" showGridLines="0" fitToPage="1">
      <pane xSplit="6" ySplit="7" topLeftCell="O16" activePane="bottomRight" state="frozen"/>
      <selection pane="bottomRight" activeCell="O20" sqref="O20"/>
      <pageMargins left="0.56000000000000005" right="0.44" top="0.64" bottom="0.65" header="0.5" footer="0.5"/>
      <pageSetup paperSize="9" scale="47" fitToWidth="2" orientation="landscape" r:id="rId41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42"/>
      <headerFooter alignWithMargins="0">
        <oddHeader>&amp;C</oddHeader>
      </headerFooter>
    </customSheetView>
  </customSheetViews>
  <mergeCells count="45">
    <mergeCell ref="O7:Q7"/>
    <mergeCell ref="U5:U6"/>
    <mergeCell ref="M3:N3"/>
    <mergeCell ref="O3:Q3"/>
    <mergeCell ref="O5:O6"/>
    <mergeCell ref="S5:S6"/>
    <mergeCell ref="U3:V3"/>
    <mergeCell ref="P5:P6"/>
    <mergeCell ref="I5:I6"/>
    <mergeCell ref="A3:A7"/>
    <mergeCell ref="C3:C7"/>
    <mergeCell ref="E3:E7"/>
    <mergeCell ref="D3:D7"/>
    <mergeCell ref="G5:G6"/>
    <mergeCell ref="H5:H6"/>
    <mergeCell ref="F3:G3"/>
    <mergeCell ref="F5:F6"/>
    <mergeCell ref="H3:I3"/>
    <mergeCell ref="AF7:AH7"/>
    <mergeCell ref="AI7:AK7"/>
    <mergeCell ref="W5:W6"/>
    <mergeCell ref="AF5:AF6"/>
    <mergeCell ref="Z5:Z6"/>
    <mergeCell ref="AD5:AD6"/>
    <mergeCell ref="AB5:AB6"/>
    <mergeCell ref="AG5:AG6"/>
    <mergeCell ref="AE5:AE6"/>
    <mergeCell ref="AJ5:AJ6"/>
    <mergeCell ref="AI5:AI6"/>
    <mergeCell ref="X5:X6"/>
    <mergeCell ref="K5:K6"/>
    <mergeCell ref="M5:M6"/>
    <mergeCell ref="J5:J6"/>
    <mergeCell ref="R5:R6"/>
    <mergeCell ref="AL3:AM3"/>
    <mergeCell ref="AL5:AL6"/>
    <mergeCell ref="AM5:AM6"/>
    <mergeCell ref="AI3:AK3"/>
    <mergeCell ref="AF3:AH3"/>
    <mergeCell ref="S2:T2"/>
    <mergeCell ref="V2:W2"/>
    <mergeCell ref="V5:V6"/>
    <mergeCell ref="AD3:AE3"/>
    <mergeCell ref="Z3:AA3"/>
    <mergeCell ref="AB3:AC3"/>
  </mergeCells>
  <phoneticPr fontId="1" type="noConversion"/>
  <conditionalFormatting sqref="M28 F22:F23">
    <cfRule type="cellIs" dxfId="10" priority="3" stopIfTrue="1" operator="greaterThan">
      <formula>21</formula>
    </cfRule>
  </conditionalFormatting>
  <conditionalFormatting sqref="F8:F21">
    <cfRule type="cellIs" dxfId="9" priority="2" stopIfTrue="1" operator="greaterThan">
      <formula>21</formula>
    </cfRule>
  </conditionalFormatting>
  <conditionalFormatting sqref="E8:E21">
    <cfRule type="cellIs" dxfId="8" priority="1" stopIfTrue="1" operator="greaterThan">
      <formula>21</formula>
    </cfRule>
  </conditionalFormatting>
  <pageMargins left="0.55118110236220474" right="0.43307086614173229" top="0.62992125984251968" bottom="0.6692913385826772" header="0.51181102362204722" footer="0.51181102362204722"/>
  <pageSetup paperSize="9" scale="51" fitToWidth="3" orientation="landscape" horizontalDpi="4294967293" r:id="rId43"/>
  <headerFooter alignWithMargins="0">
    <oddHeader>&amp;C</oddHeader>
  </headerFooter>
  <legacyDrawing r:id="rId4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Y147"/>
  <sheetViews>
    <sheetView showGridLines="0" zoomScale="60" zoomScaleNormal="98" workbookViewId="0">
      <pane xSplit="6" ySplit="6" topLeftCell="AC7" activePane="bottomRight" state="frozen"/>
      <selection pane="topRight" activeCell="G1" sqref="G1"/>
      <selection pane="bottomLeft" activeCell="A7" sqref="A7"/>
      <selection pane="bottomRight" activeCell="C3" sqref="C3:C7"/>
    </sheetView>
  </sheetViews>
  <sheetFormatPr defaultColWidth="9.28515625" defaultRowHeight="12.75" x14ac:dyDescent="0.2"/>
  <cols>
    <col min="1" max="1" width="4.28515625" style="1" customWidth="1"/>
    <col min="2" max="2" width="50.42578125" style="30" customWidth="1"/>
    <col min="3" max="3" width="7.42578125" style="30" customWidth="1"/>
    <col min="4" max="4" width="9.7109375" style="30" customWidth="1"/>
    <col min="5" max="5" width="6.7109375" style="30" customWidth="1"/>
    <col min="6" max="6" width="14.5703125" style="30" customWidth="1"/>
    <col min="7" max="7" width="12.7109375" style="1" customWidth="1"/>
    <col min="8" max="8" width="13.5703125" style="1" customWidth="1"/>
    <col min="9" max="9" width="12.28515625" style="1" customWidth="1"/>
    <col min="10" max="10" width="10.42578125" style="1" customWidth="1"/>
    <col min="11" max="11" width="11.140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0.28515625" style="1" customWidth="1"/>
    <col min="16" max="16" width="9.7109375" style="1" customWidth="1"/>
    <col min="17" max="17" width="11.7109375" style="1" customWidth="1"/>
    <col min="18" max="18" width="10" style="1" customWidth="1"/>
    <col min="19" max="19" width="9.42578125" style="1" customWidth="1"/>
    <col min="20" max="20" width="9.28515625" style="1" customWidth="1"/>
    <col min="21" max="21" width="10" style="1" customWidth="1"/>
    <col min="22" max="22" width="15" style="1" customWidth="1"/>
    <col min="23" max="23" width="10.42578125" style="1" customWidth="1"/>
    <col min="24" max="24" width="13.28515625" style="1" customWidth="1"/>
    <col min="25" max="25" width="9.28515625" style="1" customWidth="1"/>
    <col min="26" max="26" width="8.42578125" style="1" customWidth="1"/>
    <col min="27" max="27" width="9.7109375" style="1" customWidth="1"/>
    <col min="28" max="28" width="10.7109375" style="1" customWidth="1"/>
    <col min="29" max="29" width="11.42578125" style="1" customWidth="1"/>
    <col min="30" max="30" width="10" style="1" customWidth="1"/>
    <col min="31" max="31" width="10.28515625" style="1" customWidth="1"/>
    <col min="32" max="33" width="11.7109375" style="1" customWidth="1"/>
    <col min="34" max="34" width="15.140625" style="1" customWidth="1"/>
    <col min="35" max="35" width="10.7109375" style="1" customWidth="1"/>
    <col min="36" max="36" width="11" style="1" customWidth="1"/>
    <col min="37" max="37" width="9.7109375" style="1" customWidth="1"/>
    <col min="38" max="38" width="10.710937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W1" s="1" t="s">
        <v>266</v>
      </c>
    </row>
    <row r="2" spans="1:44" ht="18.75" thickBot="1" x14ac:dyDescent="0.25">
      <c r="A2" s="20"/>
      <c r="B2" s="239" t="s">
        <v>296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/>
      <c r="Z2" s="575" t="s">
        <v>176</v>
      </c>
      <c r="AA2" s="575"/>
      <c r="AB2" s="575" t="s">
        <v>176</v>
      </c>
      <c r="AC2" s="575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16.5" thickBot="1" x14ac:dyDescent="0.3">
      <c r="A3" s="908"/>
      <c r="B3" s="946" t="s">
        <v>262</v>
      </c>
      <c r="C3" s="942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148" t="s">
        <v>134</v>
      </c>
      <c r="K3" s="149"/>
      <c r="L3" s="150"/>
      <c r="M3" s="888" t="s">
        <v>135</v>
      </c>
      <c r="N3" s="890"/>
      <c r="O3" s="888" t="s">
        <v>136</v>
      </c>
      <c r="P3" s="898"/>
      <c r="Q3" s="890"/>
      <c r="R3" s="138" t="s">
        <v>137</v>
      </c>
      <c r="S3" s="152"/>
      <c r="T3" s="152"/>
      <c r="U3" s="888" t="s">
        <v>138</v>
      </c>
      <c r="V3" s="890"/>
      <c r="W3" s="148" t="s">
        <v>139</v>
      </c>
      <c r="X3" s="149"/>
      <c r="Y3" s="242"/>
      <c r="Z3" s="902" t="s">
        <v>140</v>
      </c>
      <c r="AA3" s="903"/>
      <c r="AB3" s="888" t="s">
        <v>141</v>
      </c>
      <c r="AC3" s="904"/>
      <c r="AD3" s="879" t="s">
        <v>142</v>
      </c>
      <c r="AE3" s="880"/>
      <c r="AF3" s="888" t="s">
        <v>143</v>
      </c>
      <c r="AG3" s="889"/>
      <c r="AH3" s="890"/>
      <c r="AI3" s="888" t="s">
        <v>144</v>
      </c>
      <c r="AJ3" s="889"/>
      <c r="AK3" s="904"/>
      <c r="AL3" s="879" t="s">
        <v>246</v>
      </c>
      <c r="AM3" s="880"/>
    </row>
    <row r="4" spans="1:44" ht="18" x14ac:dyDescent="0.25">
      <c r="A4" s="909"/>
      <c r="B4" s="947"/>
      <c r="C4" s="943"/>
      <c r="D4" s="916"/>
      <c r="E4" s="914"/>
      <c r="F4" s="222" t="s">
        <v>145</v>
      </c>
      <c r="G4" s="34"/>
      <c r="H4" s="222" t="s">
        <v>146</v>
      </c>
      <c r="I4" s="151"/>
      <c r="J4" s="426" t="s">
        <v>147</v>
      </c>
      <c r="K4" s="39"/>
      <c r="L4" s="46"/>
      <c r="M4" s="222" t="s">
        <v>148</v>
      </c>
      <c r="N4" s="34"/>
      <c r="O4" s="220" t="s">
        <v>149</v>
      </c>
      <c r="P4" s="221"/>
      <c r="Q4" s="23"/>
      <c r="R4" s="35"/>
      <c r="S4" s="220" t="s">
        <v>150</v>
      </c>
      <c r="T4" s="22"/>
      <c r="U4" s="220" t="s">
        <v>258</v>
      </c>
      <c r="V4" s="23"/>
      <c r="W4" s="574" t="s">
        <v>258</v>
      </c>
      <c r="X4" s="75" t="s">
        <v>237</v>
      </c>
      <c r="Y4" s="76"/>
      <c r="Z4" s="574" t="s">
        <v>258</v>
      </c>
      <c r="AA4" s="38"/>
      <c r="AB4" s="574" t="s">
        <v>258</v>
      </c>
      <c r="AC4" s="22"/>
      <c r="AD4" s="37" t="s">
        <v>151</v>
      </c>
      <c r="AE4" s="428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311</v>
      </c>
      <c r="AM4" s="428"/>
    </row>
    <row r="5" spans="1:44" ht="31.5" x14ac:dyDescent="0.2">
      <c r="A5" s="909"/>
      <c r="B5" s="948"/>
      <c r="C5" s="943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881" t="s">
        <v>172</v>
      </c>
      <c r="K5" s="887" t="s">
        <v>221</v>
      </c>
      <c r="L5" s="47" t="s">
        <v>152</v>
      </c>
      <c r="M5" s="881" t="s">
        <v>172</v>
      </c>
      <c r="N5" s="576" t="s">
        <v>166</v>
      </c>
      <c r="O5" s="881" t="s">
        <v>172</v>
      </c>
      <c r="P5" s="887" t="s">
        <v>220</v>
      </c>
      <c r="Q5" s="47" t="s">
        <v>152</v>
      </c>
      <c r="R5" s="894" t="s">
        <v>172</v>
      </c>
      <c r="S5" s="887" t="s">
        <v>257</v>
      </c>
      <c r="T5" s="153" t="s">
        <v>152</v>
      </c>
      <c r="U5" s="881" t="s">
        <v>172</v>
      </c>
      <c r="V5" s="883" t="s">
        <v>166</v>
      </c>
      <c r="W5" s="881" t="s">
        <v>172</v>
      </c>
      <c r="X5" s="887" t="s">
        <v>173</v>
      </c>
      <c r="Y5" s="243" t="s">
        <v>152</v>
      </c>
      <c r="Z5" s="894" t="s">
        <v>172</v>
      </c>
      <c r="AA5" s="576" t="s">
        <v>166</v>
      </c>
      <c r="AB5" s="881" t="s">
        <v>172</v>
      </c>
      <c r="AC5" s="576" t="s">
        <v>166</v>
      </c>
      <c r="AD5" s="881" t="s">
        <v>172</v>
      </c>
      <c r="AE5" s="883" t="s">
        <v>166</v>
      </c>
      <c r="AF5" s="881" t="s">
        <v>172</v>
      </c>
      <c r="AG5" s="885" t="s">
        <v>305</v>
      </c>
      <c r="AH5" s="47" t="s">
        <v>152</v>
      </c>
      <c r="AI5" s="881" t="s">
        <v>172</v>
      </c>
      <c r="AJ5" s="885" t="s">
        <v>306</v>
      </c>
      <c r="AK5" s="153" t="s">
        <v>152</v>
      </c>
      <c r="AL5" s="881" t="s">
        <v>172</v>
      </c>
      <c r="AM5" s="883" t="s">
        <v>166</v>
      </c>
    </row>
    <row r="6" spans="1:44" ht="18.75" thickBot="1" x14ac:dyDescent="0.25">
      <c r="A6" s="909"/>
      <c r="B6" s="948"/>
      <c r="C6" s="943"/>
      <c r="D6" s="916"/>
      <c r="E6" s="914"/>
      <c r="F6" s="882"/>
      <c r="G6" s="884"/>
      <c r="H6" s="882"/>
      <c r="I6" s="907"/>
      <c r="J6" s="882"/>
      <c r="K6" s="886"/>
      <c r="L6" s="89">
        <v>6</v>
      </c>
      <c r="M6" s="882"/>
      <c r="N6" s="577"/>
      <c r="O6" s="882"/>
      <c r="P6" s="886"/>
      <c r="Q6" s="89">
        <v>16</v>
      </c>
      <c r="R6" s="895"/>
      <c r="S6" s="905"/>
      <c r="T6" s="154">
        <v>6</v>
      </c>
      <c r="U6" s="882"/>
      <c r="V6" s="884"/>
      <c r="W6" s="882"/>
      <c r="X6" s="886"/>
      <c r="Y6" s="244">
        <v>20</v>
      </c>
      <c r="Z6" s="895"/>
      <c r="AA6" s="577"/>
      <c r="AB6" s="882"/>
      <c r="AC6" s="577"/>
      <c r="AD6" s="882"/>
      <c r="AE6" s="884"/>
      <c r="AF6" s="882"/>
      <c r="AG6" s="886"/>
      <c r="AH6" s="89" t="s">
        <v>346</v>
      </c>
      <c r="AI6" s="882"/>
      <c r="AJ6" s="886"/>
      <c r="AK6" s="154" t="s">
        <v>347</v>
      </c>
      <c r="AL6" s="882"/>
      <c r="AM6" s="884"/>
    </row>
    <row r="7" spans="1:44" ht="16.5" thickBot="1" x14ac:dyDescent="0.3">
      <c r="A7" s="909"/>
      <c r="B7" s="948"/>
      <c r="C7" s="912"/>
      <c r="D7" s="916"/>
      <c r="E7" s="914"/>
      <c r="F7" s="87">
        <v>42027</v>
      </c>
      <c r="G7" s="88"/>
      <c r="H7" s="87">
        <f>F7+7</f>
        <v>42034</v>
      </c>
      <c r="I7" s="471"/>
      <c r="J7" s="891">
        <f>H7+7</f>
        <v>42041</v>
      </c>
      <c r="K7" s="892"/>
      <c r="L7" s="893"/>
      <c r="M7" s="949">
        <f>J7+7</f>
        <v>42048</v>
      </c>
      <c r="N7" s="950"/>
      <c r="O7" s="891">
        <f>M7+7</f>
        <v>42055</v>
      </c>
      <c r="P7" s="892"/>
      <c r="Q7" s="893"/>
      <c r="R7" s="891">
        <f>O7+7</f>
        <v>42062</v>
      </c>
      <c r="S7" s="892"/>
      <c r="T7" s="892"/>
      <c r="U7" s="891">
        <f>R7+7</f>
        <v>42069</v>
      </c>
      <c r="V7" s="893"/>
      <c r="W7" s="891">
        <f>U7+7</f>
        <v>42076</v>
      </c>
      <c r="X7" s="892"/>
      <c r="Y7" s="951"/>
      <c r="Z7" s="891">
        <f>W7+7</f>
        <v>42083</v>
      </c>
      <c r="AA7" s="893"/>
      <c r="AB7" s="949">
        <f>Z7+7</f>
        <v>42090</v>
      </c>
      <c r="AC7" s="953"/>
      <c r="AD7" s="472">
        <f>AB7+7</f>
        <v>42097</v>
      </c>
      <c r="AE7" s="473"/>
      <c r="AF7" s="949">
        <f>AD7+7</f>
        <v>42104</v>
      </c>
      <c r="AG7" s="952"/>
      <c r="AH7" s="474"/>
      <c r="AI7" s="891">
        <f>AF7+7</f>
        <v>42111</v>
      </c>
      <c r="AJ7" s="892"/>
      <c r="AK7" s="892"/>
      <c r="AL7" s="632">
        <f>AI7+7</f>
        <v>42118</v>
      </c>
      <c r="AM7" s="633"/>
    </row>
    <row r="8" spans="1:44" s="381" customFormat="1" ht="18.75" x14ac:dyDescent="0.25">
      <c r="A8" s="617">
        <v>1</v>
      </c>
      <c r="B8" s="686" t="s">
        <v>427</v>
      </c>
      <c r="C8" s="620">
        <v>10</v>
      </c>
      <c r="D8" s="376">
        <f t="shared" ref="D8:D20" si="0">SUM(L8,Q8,T8,Y8,AA8,AC8,AH8,AK8)</f>
        <v>0</v>
      </c>
      <c r="E8" s="403">
        <f t="shared" ref="E8:E20" si="1">SUM(D8:D8)</f>
        <v>0</v>
      </c>
      <c r="F8" s="406"/>
      <c r="G8" s="523"/>
      <c r="H8" s="405"/>
      <c r="I8" s="531"/>
      <c r="J8" s="567"/>
      <c r="K8" s="620">
        <f>C8</f>
        <v>10</v>
      </c>
      <c r="L8" s="611"/>
      <c r="M8" s="540"/>
      <c r="N8" s="531"/>
      <c r="O8" s="660"/>
      <c r="P8" s="427">
        <f>C8</f>
        <v>10</v>
      </c>
      <c r="Q8" s="476" t="str">
        <f t="shared" ref="Q8:Q20" si="2">IF(P8=0,"",VLOOKUP(P8,Підс2,2,FALSE))</f>
        <v xml:space="preserve"> </v>
      </c>
      <c r="R8" s="645"/>
      <c r="S8" s="547">
        <f>C8</f>
        <v>10</v>
      </c>
      <c r="T8" s="409"/>
      <c r="U8" s="407"/>
      <c r="V8" s="408"/>
      <c r="W8" s="435"/>
      <c r="X8" s="547">
        <f>C8</f>
        <v>10</v>
      </c>
      <c r="Y8" s="477" t="str">
        <f t="shared" ref="Y8:Y20" si="3">IF(X8=0,"",VLOOKUP(X8,Підс2,3,FALSE))</f>
        <v xml:space="preserve"> </v>
      </c>
      <c r="Z8" s="407"/>
      <c r="AA8" s="408"/>
      <c r="AB8" s="379"/>
      <c r="AC8" s="380"/>
      <c r="AD8" s="407"/>
      <c r="AE8" s="408"/>
      <c r="AF8" s="680"/>
      <c r="AG8" s="427">
        <f>C8</f>
        <v>10</v>
      </c>
      <c r="AH8" s="514"/>
      <c r="AI8" s="435"/>
      <c r="AJ8" s="547">
        <f>C8</f>
        <v>10</v>
      </c>
      <c r="AK8" s="408"/>
      <c r="AL8" s="379"/>
      <c r="AM8" s="478"/>
    </row>
    <row r="9" spans="1:44" s="381" customFormat="1" ht="18.75" x14ac:dyDescent="0.25">
      <c r="A9" s="618">
        <v>2</v>
      </c>
      <c r="B9" s="686" t="s">
        <v>378</v>
      </c>
      <c r="C9" s="621">
        <v>11</v>
      </c>
      <c r="D9" s="475">
        <f t="shared" si="0"/>
        <v>70</v>
      </c>
      <c r="E9" s="506">
        <f t="shared" si="1"/>
        <v>70</v>
      </c>
      <c r="F9" s="388"/>
      <c r="G9" s="524"/>
      <c r="H9" s="387"/>
      <c r="I9" s="532"/>
      <c r="J9" s="568"/>
      <c r="K9" s="621">
        <f>C9</f>
        <v>11</v>
      </c>
      <c r="L9" s="386">
        <v>6</v>
      </c>
      <c r="M9" s="387"/>
      <c r="N9" s="532"/>
      <c r="O9" s="661"/>
      <c r="P9" s="427">
        <f t="shared" ref="P9:P20" si="4">C9</f>
        <v>11</v>
      </c>
      <c r="Q9" s="476">
        <f t="shared" si="2"/>
        <v>16</v>
      </c>
      <c r="R9" s="646"/>
      <c r="S9" s="548">
        <f>C9</f>
        <v>11</v>
      </c>
      <c r="T9" s="331">
        <v>6</v>
      </c>
      <c r="U9" s="388"/>
      <c r="V9" s="386"/>
      <c r="W9" s="436"/>
      <c r="X9" s="548">
        <f>C9</f>
        <v>11</v>
      </c>
      <c r="Y9" s="476">
        <f t="shared" si="3"/>
        <v>20</v>
      </c>
      <c r="Z9" s="388"/>
      <c r="AA9" s="386"/>
      <c r="AB9" s="387"/>
      <c r="AC9" s="384"/>
      <c r="AD9" s="388"/>
      <c r="AE9" s="386"/>
      <c r="AF9" s="681"/>
      <c r="AG9" s="427">
        <f t="shared" ref="AG9:AG20" si="5">C9</f>
        <v>11</v>
      </c>
      <c r="AH9" s="497">
        <v>11</v>
      </c>
      <c r="AI9" s="436"/>
      <c r="AJ9" s="548">
        <f>C9</f>
        <v>11</v>
      </c>
      <c r="AK9" s="386">
        <v>11</v>
      </c>
      <c r="AL9" s="387"/>
      <c r="AM9" s="480"/>
    </row>
    <row r="10" spans="1:44" s="381" customFormat="1" ht="18.75" x14ac:dyDescent="0.25">
      <c r="A10" s="619">
        <v>3</v>
      </c>
      <c r="B10" s="686" t="s">
        <v>379</v>
      </c>
      <c r="C10" s="621">
        <v>12</v>
      </c>
      <c r="D10" s="475">
        <f t="shared" si="0"/>
        <v>0</v>
      </c>
      <c r="E10" s="506">
        <f t="shared" si="1"/>
        <v>0</v>
      </c>
      <c r="F10" s="388"/>
      <c r="G10" s="524"/>
      <c r="H10" s="387"/>
      <c r="I10" s="532"/>
      <c r="J10" s="568"/>
      <c r="K10" s="621">
        <f t="shared" ref="K10:K20" si="6">C10</f>
        <v>12</v>
      </c>
      <c r="L10" s="586"/>
      <c r="M10" s="387"/>
      <c r="N10" s="532"/>
      <c r="O10" s="661"/>
      <c r="P10" s="427">
        <f t="shared" si="4"/>
        <v>12</v>
      </c>
      <c r="Q10" s="476" t="str">
        <f t="shared" si="2"/>
        <v xml:space="preserve"> </v>
      </c>
      <c r="R10" s="646"/>
      <c r="S10" s="548">
        <f t="shared" ref="S10:S20" si="7">C10</f>
        <v>12</v>
      </c>
      <c r="T10" s="331"/>
      <c r="U10" s="388"/>
      <c r="V10" s="386"/>
      <c r="W10" s="436"/>
      <c r="X10" s="548">
        <f t="shared" ref="X10:X20" si="8">C10</f>
        <v>12</v>
      </c>
      <c r="Y10" s="476" t="str">
        <f t="shared" ref="Y10:Y19" si="9">IF(X10=0,"",VLOOKUP(X10,Підс2,3,FALSE))</f>
        <v xml:space="preserve"> </v>
      </c>
      <c r="Z10" s="388"/>
      <c r="AA10" s="386"/>
      <c r="AB10" s="387"/>
      <c r="AC10" s="384"/>
      <c r="AD10" s="388"/>
      <c r="AE10" s="386"/>
      <c r="AF10" s="681"/>
      <c r="AG10" s="427">
        <f t="shared" si="5"/>
        <v>12</v>
      </c>
      <c r="AH10" s="497"/>
      <c r="AI10" s="436"/>
      <c r="AJ10" s="548">
        <f t="shared" ref="AJ10:AJ20" si="10">C10</f>
        <v>12</v>
      </c>
      <c r="AK10" s="497"/>
      <c r="AL10" s="387"/>
      <c r="AM10" s="480"/>
    </row>
    <row r="11" spans="1:44" s="381" customFormat="1" ht="18.75" x14ac:dyDescent="0.25">
      <c r="A11" s="618">
        <v>4</v>
      </c>
      <c r="B11" s="686" t="s">
        <v>380</v>
      </c>
      <c r="C11" s="621">
        <v>13</v>
      </c>
      <c r="D11" s="475">
        <f t="shared" si="0"/>
        <v>0</v>
      </c>
      <c r="E11" s="506">
        <f t="shared" si="1"/>
        <v>0</v>
      </c>
      <c r="F11" s="388"/>
      <c r="G11" s="524"/>
      <c r="H11" s="387"/>
      <c r="I11" s="532"/>
      <c r="J11" s="568"/>
      <c r="K11" s="621">
        <f t="shared" si="6"/>
        <v>13</v>
      </c>
      <c r="L11" s="586"/>
      <c r="M11" s="387"/>
      <c r="N11" s="532"/>
      <c r="O11" s="661"/>
      <c r="P11" s="427">
        <f t="shared" si="4"/>
        <v>13</v>
      </c>
      <c r="Q11" s="476" t="str">
        <f t="shared" si="2"/>
        <v xml:space="preserve"> </v>
      </c>
      <c r="R11" s="646"/>
      <c r="S11" s="548">
        <f t="shared" si="7"/>
        <v>13</v>
      </c>
      <c r="T11" s="331"/>
      <c r="U11" s="388"/>
      <c r="V11" s="386"/>
      <c r="W11" s="436"/>
      <c r="X11" s="548">
        <f t="shared" si="8"/>
        <v>13</v>
      </c>
      <c r="Y11" s="476" t="str">
        <f t="shared" si="9"/>
        <v xml:space="preserve"> </v>
      </c>
      <c r="Z11" s="388"/>
      <c r="AA11" s="386"/>
      <c r="AB11" s="387"/>
      <c r="AC11" s="384"/>
      <c r="AD11" s="388"/>
      <c r="AE11" s="386"/>
      <c r="AF11" s="681"/>
      <c r="AG11" s="427">
        <f t="shared" si="5"/>
        <v>13</v>
      </c>
      <c r="AH11" s="497"/>
      <c r="AI11" s="436"/>
      <c r="AJ11" s="548">
        <f t="shared" si="10"/>
        <v>13</v>
      </c>
      <c r="AK11" s="386"/>
      <c r="AL11" s="387"/>
      <c r="AM11" s="480"/>
    </row>
    <row r="12" spans="1:44" s="381" customFormat="1" ht="18.75" x14ac:dyDescent="0.25">
      <c r="A12" s="619">
        <v>5</v>
      </c>
      <c r="B12" s="686" t="s">
        <v>381</v>
      </c>
      <c r="C12" s="621">
        <v>1</v>
      </c>
      <c r="D12" s="475">
        <f t="shared" si="0"/>
        <v>70</v>
      </c>
      <c r="E12" s="506">
        <f t="shared" si="1"/>
        <v>70</v>
      </c>
      <c r="F12" s="388"/>
      <c r="G12" s="524"/>
      <c r="H12" s="387"/>
      <c r="I12" s="532"/>
      <c r="J12" s="569"/>
      <c r="K12" s="621">
        <f t="shared" si="6"/>
        <v>1</v>
      </c>
      <c r="L12" s="586">
        <v>6</v>
      </c>
      <c r="M12" s="387"/>
      <c r="N12" s="532"/>
      <c r="O12" s="661"/>
      <c r="P12" s="427">
        <f t="shared" si="4"/>
        <v>1</v>
      </c>
      <c r="Q12" s="476">
        <f t="shared" si="2"/>
        <v>16</v>
      </c>
      <c r="R12" s="646"/>
      <c r="S12" s="548">
        <f t="shared" si="7"/>
        <v>1</v>
      </c>
      <c r="T12" s="331">
        <v>6</v>
      </c>
      <c r="U12" s="388"/>
      <c r="V12" s="386"/>
      <c r="W12" s="436"/>
      <c r="X12" s="548">
        <f t="shared" si="8"/>
        <v>1</v>
      </c>
      <c r="Y12" s="476">
        <f t="shared" si="9"/>
        <v>20</v>
      </c>
      <c r="Z12" s="388"/>
      <c r="AA12" s="386"/>
      <c r="AB12" s="387"/>
      <c r="AC12" s="384"/>
      <c r="AD12" s="388"/>
      <c r="AE12" s="386"/>
      <c r="AF12" s="681"/>
      <c r="AG12" s="427">
        <f t="shared" si="5"/>
        <v>1</v>
      </c>
      <c r="AH12" s="384">
        <v>11</v>
      </c>
      <c r="AI12" s="436"/>
      <c r="AJ12" s="548">
        <f t="shared" si="10"/>
        <v>1</v>
      </c>
      <c r="AK12" s="386">
        <v>11</v>
      </c>
      <c r="AL12" s="387"/>
      <c r="AM12" s="480"/>
    </row>
    <row r="13" spans="1:44" s="381" customFormat="1" ht="18.75" x14ac:dyDescent="0.25">
      <c r="A13" s="618">
        <v>6</v>
      </c>
      <c r="B13" s="686" t="s">
        <v>428</v>
      </c>
      <c r="C13" s="621">
        <v>2</v>
      </c>
      <c r="D13" s="475">
        <f t="shared" si="0"/>
        <v>66</v>
      </c>
      <c r="E13" s="506">
        <f t="shared" si="1"/>
        <v>66</v>
      </c>
      <c r="F13" s="388"/>
      <c r="G13" s="524"/>
      <c r="H13" s="387"/>
      <c r="I13" s="532"/>
      <c r="J13" s="570"/>
      <c r="K13" s="621">
        <f t="shared" si="6"/>
        <v>2</v>
      </c>
      <c r="L13" s="586">
        <v>6</v>
      </c>
      <c r="M13" s="387"/>
      <c r="N13" s="532"/>
      <c r="O13" s="661"/>
      <c r="P13" s="427">
        <f t="shared" si="4"/>
        <v>2</v>
      </c>
      <c r="Q13" s="476">
        <f t="shared" si="2"/>
        <v>13</v>
      </c>
      <c r="R13" s="646"/>
      <c r="S13" s="548">
        <f t="shared" si="7"/>
        <v>2</v>
      </c>
      <c r="T13" s="331">
        <v>6</v>
      </c>
      <c r="U13" s="388"/>
      <c r="V13" s="386"/>
      <c r="W13" s="436"/>
      <c r="X13" s="548">
        <f t="shared" si="8"/>
        <v>2</v>
      </c>
      <c r="Y13" s="476">
        <f t="shared" si="9"/>
        <v>20</v>
      </c>
      <c r="Z13" s="388"/>
      <c r="AA13" s="386"/>
      <c r="AB13" s="387"/>
      <c r="AC13" s="384"/>
      <c r="AD13" s="388"/>
      <c r="AE13" s="386"/>
      <c r="AF13" s="681"/>
      <c r="AG13" s="427">
        <f t="shared" si="5"/>
        <v>2</v>
      </c>
      <c r="AH13" s="384">
        <v>10</v>
      </c>
      <c r="AI13" s="436"/>
      <c r="AJ13" s="548">
        <f t="shared" si="10"/>
        <v>2</v>
      </c>
      <c r="AK13" s="384">
        <v>11</v>
      </c>
      <c r="AL13" s="387"/>
      <c r="AM13" s="480"/>
    </row>
    <row r="14" spans="1:44" s="381" customFormat="1" ht="18.75" x14ac:dyDescent="0.25">
      <c r="A14" s="619">
        <v>7</v>
      </c>
      <c r="B14" s="686" t="s">
        <v>382</v>
      </c>
      <c r="C14" s="621">
        <v>3</v>
      </c>
      <c r="D14" s="475">
        <f t="shared" si="0"/>
        <v>28</v>
      </c>
      <c r="E14" s="506">
        <f t="shared" si="1"/>
        <v>28</v>
      </c>
      <c r="F14" s="388"/>
      <c r="G14" s="524"/>
      <c r="H14" s="387"/>
      <c r="I14" s="532"/>
      <c r="J14" s="570"/>
      <c r="K14" s="621">
        <f t="shared" si="6"/>
        <v>3</v>
      </c>
      <c r="L14" s="586">
        <v>3</v>
      </c>
      <c r="M14" s="387"/>
      <c r="N14" s="532"/>
      <c r="O14" s="661"/>
      <c r="P14" s="427">
        <f t="shared" si="4"/>
        <v>3</v>
      </c>
      <c r="Q14" s="476" t="str">
        <f t="shared" si="2"/>
        <v xml:space="preserve"> </v>
      </c>
      <c r="R14" s="646"/>
      <c r="S14" s="548">
        <f t="shared" si="7"/>
        <v>3</v>
      </c>
      <c r="T14" s="331">
        <v>6</v>
      </c>
      <c r="U14" s="388"/>
      <c r="V14" s="386"/>
      <c r="W14" s="436"/>
      <c r="X14" s="548">
        <f t="shared" si="8"/>
        <v>3</v>
      </c>
      <c r="Y14" s="476">
        <f t="shared" si="9"/>
        <v>14</v>
      </c>
      <c r="Z14" s="388"/>
      <c r="AA14" s="386"/>
      <c r="AB14" s="387"/>
      <c r="AC14" s="384"/>
      <c r="AD14" s="388"/>
      <c r="AE14" s="386"/>
      <c r="AF14" s="681"/>
      <c r="AG14" s="427">
        <f t="shared" si="5"/>
        <v>3</v>
      </c>
      <c r="AH14" s="384"/>
      <c r="AI14" s="436"/>
      <c r="AJ14" s="548">
        <f t="shared" si="10"/>
        <v>3</v>
      </c>
      <c r="AK14" s="386">
        <f>1+2+2</f>
        <v>5</v>
      </c>
      <c r="AL14" s="387"/>
      <c r="AM14" s="480"/>
    </row>
    <row r="15" spans="1:44" s="381" customFormat="1" ht="18.75" x14ac:dyDescent="0.25">
      <c r="A15" s="618">
        <v>8</v>
      </c>
      <c r="B15" s="686" t="s">
        <v>383</v>
      </c>
      <c r="C15" s="621">
        <v>4</v>
      </c>
      <c r="D15" s="475">
        <f t="shared" si="0"/>
        <v>70</v>
      </c>
      <c r="E15" s="506">
        <f t="shared" si="1"/>
        <v>70</v>
      </c>
      <c r="F15" s="388"/>
      <c r="G15" s="524"/>
      <c r="H15" s="387"/>
      <c r="I15" s="532"/>
      <c r="J15" s="570"/>
      <c r="K15" s="621">
        <f t="shared" si="6"/>
        <v>4</v>
      </c>
      <c r="L15" s="586">
        <v>6</v>
      </c>
      <c r="M15" s="387"/>
      <c r="N15" s="532"/>
      <c r="O15" s="661"/>
      <c r="P15" s="427">
        <f t="shared" si="4"/>
        <v>4</v>
      </c>
      <c r="Q15" s="476">
        <f t="shared" si="2"/>
        <v>16</v>
      </c>
      <c r="R15" s="646"/>
      <c r="S15" s="548">
        <f t="shared" si="7"/>
        <v>4</v>
      </c>
      <c r="T15" s="331">
        <v>6</v>
      </c>
      <c r="U15" s="388"/>
      <c r="V15" s="386"/>
      <c r="W15" s="436"/>
      <c r="X15" s="548">
        <f t="shared" si="8"/>
        <v>4</v>
      </c>
      <c r="Y15" s="476">
        <f t="shared" si="9"/>
        <v>20</v>
      </c>
      <c r="Z15" s="388"/>
      <c r="AA15" s="386"/>
      <c r="AB15" s="387"/>
      <c r="AC15" s="384"/>
      <c r="AD15" s="388"/>
      <c r="AE15" s="386"/>
      <c r="AF15" s="681"/>
      <c r="AG15" s="427">
        <f t="shared" si="5"/>
        <v>4</v>
      </c>
      <c r="AH15" s="384">
        <v>11</v>
      </c>
      <c r="AI15" s="436"/>
      <c r="AJ15" s="548">
        <f t="shared" si="10"/>
        <v>4</v>
      </c>
      <c r="AK15" s="386">
        <v>11</v>
      </c>
      <c r="AL15" s="387"/>
      <c r="AM15" s="480"/>
    </row>
    <row r="16" spans="1:44" s="381" customFormat="1" ht="18.75" x14ac:dyDescent="0.25">
      <c r="A16" s="619">
        <v>9</v>
      </c>
      <c r="B16" s="686" t="s">
        <v>384</v>
      </c>
      <c r="C16" s="621">
        <v>5</v>
      </c>
      <c r="D16" s="475">
        <f t="shared" si="0"/>
        <v>2</v>
      </c>
      <c r="E16" s="506">
        <f t="shared" si="1"/>
        <v>2</v>
      </c>
      <c r="F16" s="388"/>
      <c r="G16" s="524"/>
      <c r="H16" s="387"/>
      <c r="I16" s="532"/>
      <c r="J16" s="570"/>
      <c r="K16" s="621">
        <f t="shared" si="6"/>
        <v>5</v>
      </c>
      <c r="L16" s="586">
        <v>2</v>
      </c>
      <c r="M16" s="387"/>
      <c r="N16" s="532"/>
      <c r="O16" s="661"/>
      <c r="P16" s="427">
        <f t="shared" si="4"/>
        <v>5</v>
      </c>
      <c r="Q16" s="476" t="str">
        <f t="shared" si="2"/>
        <v xml:space="preserve"> </v>
      </c>
      <c r="R16" s="646"/>
      <c r="S16" s="548">
        <f t="shared" si="7"/>
        <v>5</v>
      </c>
      <c r="T16" s="331"/>
      <c r="U16" s="388"/>
      <c r="V16" s="386"/>
      <c r="W16" s="436"/>
      <c r="X16" s="548">
        <f t="shared" si="8"/>
        <v>5</v>
      </c>
      <c r="Y16" s="476" t="str">
        <f t="shared" si="9"/>
        <v xml:space="preserve"> </v>
      </c>
      <c r="Z16" s="388"/>
      <c r="AA16" s="386"/>
      <c r="AB16" s="387"/>
      <c r="AC16" s="384"/>
      <c r="AD16" s="388"/>
      <c r="AE16" s="386"/>
      <c r="AF16" s="681"/>
      <c r="AG16" s="427">
        <f t="shared" si="5"/>
        <v>5</v>
      </c>
      <c r="AH16" s="384"/>
      <c r="AI16" s="436"/>
      <c r="AJ16" s="548">
        <f t="shared" si="10"/>
        <v>5</v>
      </c>
      <c r="AK16" s="386"/>
      <c r="AL16" s="387"/>
      <c r="AM16" s="480"/>
    </row>
    <row r="17" spans="1:49" s="381" customFormat="1" ht="18.75" x14ac:dyDescent="0.25">
      <c r="A17" s="618">
        <v>10</v>
      </c>
      <c r="B17" s="686" t="s">
        <v>385</v>
      </c>
      <c r="C17" s="621">
        <v>6</v>
      </c>
      <c r="D17" s="475">
        <f t="shared" si="0"/>
        <v>0</v>
      </c>
      <c r="E17" s="506">
        <f t="shared" si="1"/>
        <v>0</v>
      </c>
      <c r="F17" s="388"/>
      <c r="G17" s="524"/>
      <c r="H17" s="387"/>
      <c r="I17" s="532"/>
      <c r="J17" s="570"/>
      <c r="K17" s="621">
        <f t="shared" si="6"/>
        <v>6</v>
      </c>
      <c r="L17" s="586"/>
      <c r="M17" s="387"/>
      <c r="N17" s="532"/>
      <c r="O17" s="661"/>
      <c r="P17" s="427">
        <f t="shared" si="4"/>
        <v>6</v>
      </c>
      <c r="Q17" s="476" t="str">
        <f t="shared" si="2"/>
        <v xml:space="preserve"> </v>
      </c>
      <c r="R17" s="646"/>
      <c r="S17" s="548">
        <f t="shared" si="7"/>
        <v>6</v>
      </c>
      <c r="T17" s="331"/>
      <c r="U17" s="388"/>
      <c r="V17" s="386"/>
      <c r="W17" s="436"/>
      <c r="X17" s="548">
        <f t="shared" si="8"/>
        <v>6</v>
      </c>
      <c r="Y17" s="476" t="str">
        <f t="shared" si="9"/>
        <v xml:space="preserve"> </v>
      </c>
      <c r="Z17" s="388"/>
      <c r="AA17" s="386"/>
      <c r="AB17" s="387"/>
      <c r="AC17" s="384"/>
      <c r="AD17" s="388"/>
      <c r="AE17" s="386"/>
      <c r="AF17" s="681"/>
      <c r="AG17" s="427">
        <f t="shared" si="5"/>
        <v>6</v>
      </c>
      <c r="AH17" s="384"/>
      <c r="AI17" s="436"/>
      <c r="AJ17" s="548">
        <f t="shared" si="10"/>
        <v>6</v>
      </c>
      <c r="AK17" s="386"/>
      <c r="AL17" s="387"/>
      <c r="AM17" s="480"/>
    </row>
    <row r="18" spans="1:49" s="381" customFormat="1" ht="18.75" x14ac:dyDescent="0.25">
      <c r="A18" s="619">
        <v>11</v>
      </c>
      <c r="B18" s="686" t="s">
        <v>386</v>
      </c>
      <c r="C18" s="621">
        <v>7</v>
      </c>
      <c r="D18" s="475">
        <f t="shared" si="0"/>
        <v>64</v>
      </c>
      <c r="E18" s="506">
        <f t="shared" si="1"/>
        <v>64</v>
      </c>
      <c r="F18" s="388"/>
      <c r="G18" s="524"/>
      <c r="H18" s="387"/>
      <c r="I18" s="532"/>
      <c r="J18" s="570"/>
      <c r="K18" s="621">
        <f t="shared" si="6"/>
        <v>7</v>
      </c>
      <c r="L18" s="586">
        <v>6</v>
      </c>
      <c r="M18" s="387"/>
      <c r="N18" s="532"/>
      <c r="O18" s="661"/>
      <c r="P18" s="427">
        <f t="shared" si="4"/>
        <v>7</v>
      </c>
      <c r="Q18" s="476">
        <f t="shared" si="2"/>
        <v>13</v>
      </c>
      <c r="R18" s="646"/>
      <c r="S18" s="548">
        <f t="shared" si="7"/>
        <v>7</v>
      </c>
      <c r="T18" s="331">
        <v>6</v>
      </c>
      <c r="U18" s="388"/>
      <c r="V18" s="386"/>
      <c r="W18" s="436"/>
      <c r="X18" s="548">
        <f t="shared" si="8"/>
        <v>7</v>
      </c>
      <c r="Y18" s="476">
        <f t="shared" si="9"/>
        <v>17</v>
      </c>
      <c r="Z18" s="388"/>
      <c r="AA18" s="386"/>
      <c r="AB18" s="387"/>
      <c r="AC18" s="384"/>
      <c r="AD18" s="388"/>
      <c r="AE18" s="386"/>
      <c r="AF18" s="681"/>
      <c r="AG18" s="427">
        <f t="shared" si="5"/>
        <v>7</v>
      </c>
      <c r="AH18" s="384">
        <v>11</v>
      </c>
      <c r="AI18" s="436"/>
      <c r="AJ18" s="548">
        <f t="shared" si="10"/>
        <v>7</v>
      </c>
      <c r="AK18" s="386">
        <v>11</v>
      </c>
      <c r="AL18" s="387"/>
      <c r="AM18" s="480"/>
    </row>
    <row r="19" spans="1:49" s="381" customFormat="1" ht="18.75" x14ac:dyDescent="0.25">
      <c r="A19" s="618">
        <v>12</v>
      </c>
      <c r="B19" s="686" t="s">
        <v>387</v>
      </c>
      <c r="C19" s="621">
        <v>8</v>
      </c>
      <c r="D19" s="475">
        <f t="shared" si="0"/>
        <v>0</v>
      </c>
      <c r="E19" s="506">
        <f t="shared" si="1"/>
        <v>0</v>
      </c>
      <c r="F19" s="388"/>
      <c r="G19" s="524"/>
      <c r="H19" s="387"/>
      <c r="I19" s="532"/>
      <c r="J19" s="570"/>
      <c r="K19" s="621">
        <f t="shared" si="6"/>
        <v>8</v>
      </c>
      <c r="L19" s="586"/>
      <c r="M19" s="387"/>
      <c r="N19" s="532"/>
      <c r="O19" s="661"/>
      <c r="P19" s="427">
        <f t="shared" si="4"/>
        <v>8</v>
      </c>
      <c r="Q19" s="476" t="str">
        <f t="shared" si="2"/>
        <v xml:space="preserve"> </v>
      </c>
      <c r="R19" s="647"/>
      <c r="S19" s="548">
        <f t="shared" si="7"/>
        <v>8</v>
      </c>
      <c r="T19" s="331"/>
      <c r="U19" s="388"/>
      <c r="V19" s="386"/>
      <c r="W19" s="419"/>
      <c r="X19" s="548">
        <f t="shared" si="8"/>
        <v>8</v>
      </c>
      <c r="Y19" s="476" t="str">
        <f t="shared" si="9"/>
        <v xml:space="preserve"> </v>
      </c>
      <c r="Z19" s="388"/>
      <c r="AA19" s="386"/>
      <c r="AB19" s="387"/>
      <c r="AC19" s="497"/>
      <c r="AD19" s="388"/>
      <c r="AE19" s="386"/>
      <c r="AF19" s="682"/>
      <c r="AG19" s="427">
        <f t="shared" si="5"/>
        <v>8</v>
      </c>
      <c r="AH19" s="384"/>
      <c r="AI19" s="419"/>
      <c r="AJ19" s="548">
        <f t="shared" si="10"/>
        <v>8</v>
      </c>
      <c r="AK19" s="512"/>
      <c r="AL19" s="387"/>
      <c r="AM19" s="480"/>
    </row>
    <row r="20" spans="1:49" s="381" customFormat="1" ht="18.75" x14ac:dyDescent="0.25">
      <c r="A20" s="619">
        <v>13</v>
      </c>
      <c r="B20" s="686" t="s">
        <v>388</v>
      </c>
      <c r="C20" s="621">
        <v>9</v>
      </c>
      <c r="D20" s="475">
        <f t="shared" si="0"/>
        <v>66</v>
      </c>
      <c r="E20" s="506">
        <f t="shared" si="1"/>
        <v>66</v>
      </c>
      <c r="F20" s="388"/>
      <c r="G20" s="524"/>
      <c r="H20" s="387"/>
      <c r="I20" s="532"/>
      <c r="J20" s="528"/>
      <c r="K20" s="621">
        <f t="shared" si="6"/>
        <v>9</v>
      </c>
      <c r="L20" s="524">
        <v>6</v>
      </c>
      <c r="M20" s="387"/>
      <c r="N20" s="532"/>
      <c r="O20" s="661"/>
      <c r="P20" s="427">
        <f t="shared" si="4"/>
        <v>9</v>
      </c>
      <c r="Q20" s="476">
        <f t="shared" si="2"/>
        <v>16</v>
      </c>
      <c r="R20" s="648"/>
      <c r="S20" s="548">
        <f t="shared" si="7"/>
        <v>9</v>
      </c>
      <c r="T20" s="331">
        <v>6</v>
      </c>
      <c r="U20" s="388"/>
      <c r="V20" s="386"/>
      <c r="W20" s="515"/>
      <c r="X20" s="548">
        <f t="shared" si="8"/>
        <v>9</v>
      </c>
      <c r="Y20" s="476">
        <f t="shared" si="3"/>
        <v>19</v>
      </c>
      <c r="Z20" s="388"/>
      <c r="AA20" s="386"/>
      <c r="AB20" s="387"/>
      <c r="AC20" s="497"/>
      <c r="AD20" s="388"/>
      <c r="AE20" s="386"/>
      <c r="AF20" s="683"/>
      <c r="AG20" s="427">
        <f t="shared" si="5"/>
        <v>9</v>
      </c>
      <c r="AH20" s="384">
        <v>11</v>
      </c>
      <c r="AI20" s="515"/>
      <c r="AJ20" s="548">
        <f t="shared" si="10"/>
        <v>9</v>
      </c>
      <c r="AK20" s="512">
        <f>3+3+2</f>
        <v>8</v>
      </c>
      <c r="AL20" s="387"/>
      <c r="AM20" s="480"/>
    </row>
    <row r="21" spans="1:49" s="381" customFormat="1" ht="18" x14ac:dyDescent="0.25">
      <c r="A21" s="744"/>
      <c r="B21" s="745"/>
      <c r="C21" s="746"/>
      <c r="D21" s="475"/>
      <c r="E21" s="506"/>
      <c r="F21" s="747"/>
      <c r="G21" s="748"/>
      <c r="H21" s="749"/>
      <c r="I21" s="750"/>
      <c r="J21" s="751"/>
      <c r="K21" s="752"/>
      <c r="L21" s="748"/>
      <c r="M21" s="749"/>
      <c r="N21" s="753"/>
      <c r="O21" s="754"/>
      <c r="P21" s="755"/>
      <c r="Q21" s="756"/>
      <c r="R21" s="757"/>
      <c r="S21" s="758"/>
      <c r="T21" s="759"/>
      <c r="U21" s="747"/>
      <c r="V21" s="760"/>
      <c r="W21" s="757"/>
      <c r="X21" s="758"/>
      <c r="Y21" s="756"/>
      <c r="Z21" s="747"/>
      <c r="AA21" s="760"/>
      <c r="AB21" s="749"/>
      <c r="AC21" s="761"/>
      <c r="AD21" s="747"/>
      <c r="AE21" s="760"/>
      <c r="AF21" s="762"/>
      <c r="AG21" s="755"/>
      <c r="AH21" s="753"/>
      <c r="AI21" s="757"/>
      <c r="AJ21" s="763"/>
      <c r="AK21" s="764"/>
      <c r="AL21" s="749"/>
      <c r="AM21" s="765"/>
    </row>
    <row r="22" spans="1:49" s="381" customFormat="1" ht="18" x14ac:dyDescent="0.25">
      <c r="A22" s="766"/>
      <c r="B22" s="767"/>
      <c r="C22" s="768"/>
      <c r="D22" s="475"/>
      <c r="E22" s="506"/>
      <c r="F22" s="769"/>
      <c r="G22" s="770"/>
      <c r="H22" s="769"/>
      <c r="I22" s="770"/>
      <c r="J22" s="771"/>
      <c r="K22" s="772"/>
      <c r="L22" s="770"/>
      <c r="M22" s="769"/>
      <c r="N22" s="769"/>
      <c r="O22" s="773"/>
      <c r="P22" s="427"/>
      <c r="Q22" s="476"/>
      <c r="R22" s="774"/>
      <c r="S22" s="427"/>
      <c r="T22" s="775"/>
      <c r="U22" s="769"/>
      <c r="V22" s="769"/>
      <c r="W22" s="774"/>
      <c r="X22" s="427"/>
      <c r="Y22" s="476"/>
      <c r="Z22" s="769"/>
      <c r="AA22" s="769"/>
      <c r="AB22" s="769"/>
      <c r="AC22" s="776"/>
      <c r="AD22" s="769"/>
      <c r="AE22" s="769"/>
      <c r="AF22" s="774"/>
      <c r="AG22" s="427"/>
      <c r="AH22" s="769"/>
      <c r="AI22" s="774"/>
      <c r="AJ22" s="769"/>
      <c r="AK22" s="776"/>
      <c r="AL22" s="769"/>
      <c r="AM22" s="777"/>
    </row>
    <row r="23" spans="1:49" s="381" customFormat="1" ht="18" x14ac:dyDescent="0.25">
      <c r="A23" s="766"/>
      <c r="B23" s="767"/>
      <c r="C23" s="768"/>
      <c r="D23" s="475"/>
      <c r="E23" s="506"/>
      <c r="F23" s="769"/>
      <c r="G23" s="770"/>
      <c r="H23" s="769"/>
      <c r="I23" s="770"/>
      <c r="J23" s="771"/>
      <c r="K23" s="772"/>
      <c r="L23" s="770"/>
      <c r="M23" s="769"/>
      <c r="N23" s="769"/>
      <c r="O23" s="773"/>
      <c r="P23" s="427"/>
      <c r="Q23" s="476"/>
      <c r="R23" s="774"/>
      <c r="S23" s="427"/>
      <c r="T23" s="775"/>
      <c r="U23" s="769"/>
      <c r="V23" s="769"/>
      <c r="W23" s="774"/>
      <c r="X23" s="427"/>
      <c r="Y23" s="476"/>
      <c r="Z23" s="769"/>
      <c r="AA23" s="769"/>
      <c r="AB23" s="769"/>
      <c r="AC23" s="776"/>
      <c r="AD23" s="769"/>
      <c r="AE23" s="769"/>
      <c r="AF23" s="774"/>
      <c r="AG23" s="427"/>
      <c r="AH23" s="769"/>
      <c r="AI23" s="774"/>
      <c r="AJ23" s="769"/>
      <c r="AK23" s="776"/>
      <c r="AL23" s="769"/>
      <c r="AM23" s="777"/>
    </row>
    <row r="24" spans="1:49" ht="18" x14ac:dyDescent="0.25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>
        <f>COUNT(L8:L21)</f>
        <v>8</v>
      </c>
      <c r="M24" s="20"/>
      <c r="N24" s="79"/>
      <c r="O24" s="79"/>
      <c r="P24" s="79"/>
      <c r="Q24" s="104">
        <f>COUNT(Q8:Q21)</f>
        <v>6</v>
      </c>
      <c r="R24" s="20"/>
      <c r="S24" s="79"/>
      <c r="T24" s="104">
        <f>COUNT(T8:T21)</f>
        <v>7</v>
      </c>
      <c r="U24" s="20"/>
      <c r="V24" s="20"/>
      <c r="W24" s="203"/>
      <c r="X24" s="204"/>
      <c r="Y24" s="104">
        <f>COUNT(Y8:Y21)</f>
        <v>7</v>
      </c>
      <c r="Z24" s="79"/>
      <c r="AA24" s="94"/>
      <c r="AB24" s="79"/>
      <c r="AC24" s="79"/>
      <c r="AD24" s="79"/>
      <c r="AE24" s="79"/>
      <c r="AF24" s="20"/>
      <c r="AG24" s="79"/>
      <c r="AH24" s="104">
        <f>COUNT(AH8:AH21)</f>
        <v>6</v>
      </c>
      <c r="AI24" s="79"/>
      <c r="AJ24" s="79"/>
      <c r="AK24" s="104">
        <f>COUNT(AK8:AK21)</f>
        <v>7</v>
      </c>
      <c r="AL24" s="79"/>
      <c r="AM24" s="20">
        <f>COUNT(#REF!)</f>
        <v>0</v>
      </c>
      <c r="AN24" s="45"/>
      <c r="AO24" s="44"/>
      <c r="AP24" s="25"/>
      <c r="AR24" s="20">
        <f>COUNT(AG8:AG21)</f>
        <v>13</v>
      </c>
      <c r="AW24" s="20">
        <f>COUNT(AJ8:AJ21)</f>
        <v>13</v>
      </c>
    </row>
    <row r="25" spans="1:49" ht="18" x14ac:dyDescent="0.25">
      <c r="A25" s="100"/>
      <c r="B25" s="70"/>
      <c r="C25" s="101"/>
      <c r="D25" s="102"/>
      <c r="E25" s="102"/>
      <c r="F25" s="103"/>
      <c r="G25" s="79"/>
      <c r="H25" s="79"/>
      <c r="I25" s="79"/>
      <c r="J25" s="79"/>
      <c r="K25" s="79"/>
      <c r="L25" s="104"/>
      <c r="M25" s="20"/>
      <c r="N25" s="79"/>
      <c r="O25" s="79"/>
      <c r="P25" s="79"/>
      <c r="Q25" s="94"/>
      <c r="R25" s="79"/>
      <c r="S25" s="79"/>
      <c r="T25" s="94"/>
      <c r="U25" s="79"/>
      <c r="V25" s="79"/>
      <c r="W25" s="94"/>
      <c r="X25" s="79"/>
      <c r="Y25" s="79"/>
      <c r="Z25" s="79"/>
      <c r="AA25" s="79"/>
      <c r="AB25" s="94"/>
      <c r="AC25" s="79"/>
      <c r="AD25" s="79"/>
      <c r="AE25" s="79"/>
      <c r="AF25" s="79"/>
      <c r="AG25" s="94"/>
      <c r="AH25" s="79"/>
      <c r="AI25" s="79"/>
      <c r="AJ25" s="79"/>
      <c r="AK25" s="79"/>
      <c r="AL25" s="94"/>
      <c r="AM25" s="79"/>
      <c r="AN25" s="44"/>
      <c r="AO25" s="45"/>
      <c r="AP25" s="44"/>
      <c r="AQ25" s="25"/>
    </row>
    <row r="26" spans="1:49" ht="18" x14ac:dyDescent="0.25">
      <c r="A26" s="100"/>
      <c r="B26" s="70"/>
      <c r="C26" s="101"/>
      <c r="D26" s="102"/>
      <c r="E26" s="102"/>
      <c r="F26" s="103"/>
      <c r="G26" s="79"/>
      <c r="H26" s="79"/>
      <c r="I26" s="79"/>
      <c r="J26" s="79"/>
      <c r="K26" s="79"/>
      <c r="L26" s="104"/>
      <c r="M26" s="20"/>
      <c r="N26" s="79"/>
      <c r="O26" s="79"/>
      <c r="P26" s="79"/>
      <c r="Q26" s="94"/>
      <c r="R26" s="79"/>
      <c r="S26" s="79"/>
      <c r="T26" s="94"/>
      <c r="U26" s="79"/>
      <c r="V26" s="79"/>
      <c r="W26" s="94"/>
      <c r="X26" s="79"/>
      <c r="Y26" s="79"/>
      <c r="Z26" s="79"/>
      <c r="AA26" s="79"/>
      <c r="AB26" s="94"/>
      <c r="AC26" s="79"/>
      <c r="AD26" s="79"/>
      <c r="AE26" s="79"/>
      <c r="AF26" s="79"/>
      <c r="AG26" s="94"/>
      <c r="AH26" s="79"/>
      <c r="AI26" s="79"/>
      <c r="AJ26" s="79"/>
      <c r="AK26" s="79"/>
      <c r="AL26" s="94"/>
      <c r="AM26" s="79"/>
      <c r="AN26" s="44"/>
      <c r="AO26" s="45"/>
      <c r="AP26" s="44"/>
      <c r="AQ26" s="25"/>
    </row>
    <row r="27" spans="1:49" ht="15" x14ac:dyDescent="0.2">
      <c r="A27" s="52"/>
      <c r="B27" s="49"/>
      <c r="C27" s="26"/>
      <c r="D27" s="26"/>
      <c r="E27" s="26"/>
      <c r="F27" s="49"/>
      <c r="G27" s="20"/>
      <c r="H27" s="20"/>
      <c r="I27" s="20"/>
      <c r="J27" s="20"/>
      <c r="K27" s="20"/>
      <c r="L27" s="57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H27" s="31"/>
      <c r="AJ27" s="31"/>
    </row>
    <row r="28" spans="1:49" ht="15.75" x14ac:dyDescent="0.25">
      <c r="A28" s="52"/>
      <c r="B28" s="49"/>
      <c r="C28" s="26"/>
      <c r="D28" s="26"/>
      <c r="E28" s="26"/>
      <c r="F28" s="26"/>
      <c r="G28" s="20"/>
      <c r="H28" s="27" t="s">
        <v>153</v>
      </c>
      <c r="I28" s="20"/>
      <c r="J28" s="20"/>
      <c r="K28" s="20"/>
      <c r="L28" s="20"/>
      <c r="M28" s="20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49" ht="15.75" x14ac:dyDescent="0.25">
      <c r="A29" s="52"/>
      <c r="B29" s="49"/>
      <c r="C29" s="26"/>
      <c r="D29" s="26"/>
      <c r="E29" s="26"/>
      <c r="F29" s="26"/>
      <c r="G29" s="20"/>
      <c r="H29" s="20" t="s">
        <v>154</v>
      </c>
      <c r="I29" s="20"/>
      <c r="J29" s="20"/>
      <c r="K29" s="28">
        <v>70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49" ht="15.75" x14ac:dyDescent="0.25">
      <c r="A30" s="52"/>
      <c r="B30" s="49"/>
      <c r="C30" s="26"/>
      <c r="D30" s="26"/>
      <c r="E30" s="26"/>
      <c r="F30" s="26"/>
      <c r="G30" s="20"/>
      <c r="H30" s="20" t="s">
        <v>235</v>
      </c>
      <c r="I30" s="20"/>
      <c r="J30" s="20"/>
      <c r="K30" s="2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49" ht="15.75" x14ac:dyDescent="0.25">
      <c r="A31" s="52"/>
      <c r="B31" s="49"/>
      <c r="C31" s="26"/>
      <c r="D31" s="26"/>
      <c r="E31" s="26"/>
      <c r="F31" s="26"/>
      <c r="G31" s="20"/>
      <c r="H31" s="20" t="s">
        <v>348</v>
      </c>
      <c r="I31" s="20"/>
      <c r="J31" s="20"/>
      <c r="K31" s="28">
        <v>30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49" ht="21.75" customHeight="1" x14ac:dyDescent="0.25">
      <c r="A32" s="52"/>
      <c r="B32" s="49"/>
      <c r="C32" s="26"/>
      <c r="D32" s="26"/>
      <c r="E32" s="26"/>
      <c r="F32" s="26"/>
      <c r="G32" s="20"/>
      <c r="H32" s="20" t="s">
        <v>156</v>
      </c>
      <c r="I32" s="20"/>
      <c r="J32" s="20"/>
      <c r="K32" s="28">
        <f>SUM(K29:K31)</f>
        <v>100</v>
      </c>
      <c r="L32" s="20"/>
      <c r="M32" s="20"/>
      <c r="N32" s="20"/>
      <c r="O32" s="20"/>
      <c r="P32" s="20"/>
      <c r="Q32" s="20"/>
      <c r="R32" s="20"/>
      <c r="S32" s="20" t="s">
        <v>238</v>
      </c>
      <c r="T32" s="20"/>
      <c r="U32" s="20"/>
      <c r="V32" s="20"/>
      <c r="W32" s="20"/>
      <c r="X32" s="20"/>
      <c r="Y32" s="20"/>
      <c r="Z32" s="20"/>
    </row>
    <row r="33" spans="1:51" ht="82.5" customHeight="1" x14ac:dyDescent="0.2">
      <c r="A33" s="52"/>
      <c r="B33" s="49"/>
      <c r="C33" s="26"/>
      <c r="D33" s="640"/>
      <c r="E33" s="640"/>
      <c r="F33" s="640"/>
      <c r="G33" s="639"/>
      <c r="H33" s="639"/>
      <c r="I33" s="639"/>
      <c r="J33" s="639"/>
      <c r="K33" s="726"/>
      <c r="L33" s="639"/>
      <c r="M33" s="639"/>
      <c r="N33" s="639"/>
      <c r="O33" s="639"/>
      <c r="P33" s="639"/>
      <c r="Q33" s="639"/>
      <c r="R33" s="639"/>
      <c r="S33" s="20"/>
      <c r="T33" s="20"/>
      <c r="U33" s="20"/>
      <c r="V33" s="20"/>
      <c r="W33" s="20"/>
      <c r="X33" s="20"/>
      <c r="Y33" s="20"/>
      <c r="Z33" s="20"/>
    </row>
    <row r="34" spans="1:51" ht="15.75" x14ac:dyDescent="0.2">
      <c r="A34" s="52"/>
      <c r="B34" s="93" t="s">
        <v>234</v>
      </c>
      <c r="C34" s="82" t="s">
        <v>152</v>
      </c>
      <c r="D34" s="98">
        <v>1</v>
      </c>
      <c r="E34" s="98">
        <v>2</v>
      </c>
      <c r="F34" s="98">
        <v>3</v>
      </c>
      <c r="G34" s="98">
        <v>4</v>
      </c>
      <c r="H34" s="99">
        <v>5</v>
      </c>
      <c r="I34" s="99">
        <v>6</v>
      </c>
      <c r="J34" s="99">
        <v>7</v>
      </c>
      <c r="K34" s="99">
        <v>8</v>
      </c>
      <c r="L34" s="99">
        <v>9</v>
      </c>
      <c r="M34" s="99">
        <v>10</v>
      </c>
      <c r="N34" s="99">
        <v>11</v>
      </c>
      <c r="O34" s="99">
        <v>12</v>
      </c>
      <c r="P34" s="99">
        <v>13</v>
      </c>
      <c r="Q34" s="99">
        <v>14</v>
      </c>
      <c r="R34" s="99">
        <v>15</v>
      </c>
      <c r="S34" s="116" t="s">
        <v>236</v>
      </c>
      <c r="T34" s="116" t="s">
        <v>170</v>
      </c>
      <c r="U34" s="116" t="s">
        <v>237</v>
      </c>
      <c r="V34" s="50"/>
      <c r="W34" s="50"/>
      <c r="X34" s="50"/>
      <c r="Y34" s="50"/>
      <c r="Z34" s="54"/>
      <c r="AA34" s="50"/>
      <c r="AB34" s="50"/>
      <c r="AC34" s="50"/>
      <c r="AD34" s="50"/>
      <c r="AE34" s="50"/>
      <c r="AF34" s="50"/>
      <c r="AG34" s="54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4"/>
      <c r="AV34" s="50"/>
      <c r="AW34" s="50"/>
      <c r="AX34" s="29"/>
      <c r="AY34" s="29"/>
    </row>
    <row r="35" spans="1:51" ht="15.75" x14ac:dyDescent="0.2">
      <c r="A35" s="51"/>
      <c r="B35" s="95" t="s">
        <v>232</v>
      </c>
      <c r="C35" s="83"/>
      <c r="D35" s="80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131">
        <v>1</v>
      </c>
      <c r="T35" s="106">
        <f>IF($D43=0," ",$D43)</f>
        <v>16</v>
      </c>
      <c r="U35" s="106">
        <f>IF($D49=0," ",$D49)</f>
        <v>20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95" t="s">
        <v>1</v>
      </c>
      <c r="C36" s="156">
        <v>2</v>
      </c>
      <c r="D36" s="358">
        <v>2</v>
      </c>
      <c r="E36" s="358">
        <v>2</v>
      </c>
      <c r="F36" s="358"/>
      <c r="G36" s="358">
        <v>2</v>
      </c>
      <c r="H36" s="360"/>
      <c r="I36" s="360"/>
      <c r="J36" s="360">
        <v>2</v>
      </c>
      <c r="K36" s="360"/>
      <c r="L36" s="360">
        <v>2</v>
      </c>
      <c r="M36" s="360"/>
      <c r="N36" s="360">
        <v>2</v>
      </c>
      <c r="O36" s="360"/>
      <c r="P36" s="360"/>
      <c r="Q36" s="360"/>
      <c r="R36" s="360"/>
      <c r="S36" s="131">
        <v>2</v>
      </c>
      <c r="T36" s="106">
        <f>IF($E43=0," ",$E43)</f>
        <v>13</v>
      </c>
      <c r="U36" s="106">
        <f>IF($E49=0," ",$E49)</f>
        <v>20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95" t="s">
        <v>3</v>
      </c>
      <c r="C37" s="156">
        <v>2</v>
      </c>
      <c r="D37" s="358">
        <v>2</v>
      </c>
      <c r="E37" s="358">
        <v>2</v>
      </c>
      <c r="F37" s="358"/>
      <c r="G37" s="358">
        <v>2</v>
      </c>
      <c r="H37" s="360"/>
      <c r="I37" s="360"/>
      <c r="J37" s="360">
        <v>2</v>
      </c>
      <c r="K37" s="360"/>
      <c r="L37" s="360">
        <v>2</v>
      </c>
      <c r="M37" s="360"/>
      <c r="N37" s="360">
        <v>2</v>
      </c>
      <c r="O37" s="360"/>
      <c r="P37" s="360"/>
      <c r="Q37" s="360"/>
      <c r="R37" s="360"/>
      <c r="S37" s="131">
        <v>3</v>
      </c>
      <c r="T37" s="106" t="str">
        <f>IF($F43=0," ",$F43)</f>
        <v xml:space="preserve"> </v>
      </c>
      <c r="U37" s="106">
        <f>IF($F49=0," ",$F49)</f>
        <v>14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5</v>
      </c>
      <c r="C38" s="156">
        <v>2</v>
      </c>
      <c r="D38" s="358">
        <v>2</v>
      </c>
      <c r="E38" s="358">
        <v>2</v>
      </c>
      <c r="F38" s="358"/>
      <c r="G38" s="358">
        <v>2</v>
      </c>
      <c r="H38" s="360"/>
      <c r="I38" s="360"/>
      <c r="J38" s="360">
        <v>2</v>
      </c>
      <c r="K38" s="360"/>
      <c r="L38" s="360">
        <v>2</v>
      </c>
      <c r="M38" s="360"/>
      <c r="N38" s="360">
        <v>2</v>
      </c>
      <c r="O38" s="360"/>
      <c r="P38" s="360"/>
      <c r="Q38" s="360"/>
      <c r="R38" s="360"/>
      <c r="S38" s="131">
        <v>4</v>
      </c>
      <c r="T38" s="106">
        <f>IF($G43=0," ",$G43)</f>
        <v>16</v>
      </c>
      <c r="U38" s="106">
        <f>IF($G49=0," ",$G49)</f>
        <v>20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6</v>
      </c>
      <c r="C39" s="156">
        <v>2</v>
      </c>
      <c r="D39" s="358">
        <v>2</v>
      </c>
      <c r="E39" s="358">
        <v>2</v>
      </c>
      <c r="F39" s="358"/>
      <c r="G39" s="358">
        <v>2</v>
      </c>
      <c r="H39" s="360"/>
      <c r="I39" s="360"/>
      <c r="J39" s="360">
        <v>2</v>
      </c>
      <c r="K39" s="360"/>
      <c r="L39" s="360">
        <v>2</v>
      </c>
      <c r="M39" s="360"/>
      <c r="N39" s="360">
        <v>2</v>
      </c>
      <c r="O39" s="360"/>
      <c r="P39" s="360"/>
      <c r="Q39" s="360"/>
      <c r="R39" s="360"/>
      <c r="S39" s="131">
        <v>5</v>
      </c>
      <c r="T39" s="106" t="str">
        <f>IF($H43=0," ",$H43)</f>
        <v xml:space="preserve"> </v>
      </c>
      <c r="U39" s="106" t="str">
        <f>IF($H49=0," ",$H49)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5" t="s">
        <v>7</v>
      </c>
      <c r="C40" s="156">
        <v>4</v>
      </c>
      <c r="D40" s="358">
        <v>4</v>
      </c>
      <c r="E40" s="358">
        <v>1</v>
      </c>
      <c r="F40" s="358"/>
      <c r="G40" s="358">
        <v>4</v>
      </c>
      <c r="H40" s="360"/>
      <c r="I40" s="360"/>
      <c r="J40" s="360">
        <v>2</v>
      </c>
      <c r="K40" s="360"/>
      <c r="L40" s="360">
        <v>4</v>
      </c>
      <c r="M40" s="360"/>
      <c r="N40" s="360">
        <v>4</v>
      </c>
      <c r="O40" s="360"/>
      <c r="P40" s="360"/>
      <c r="Q40" s="360"/>
      <c r="R40" s="360"/>
      <c r="S40" s="131">
        <v>6</v>
      </c>
      <c r="T40" s="106" t="str">
        <f>IF($I43=0," ",$I43)</f>
        <v xml:space="preserve"> </v>
      </c>
      <c r="U40" s="106" t="str">
        <f>IF($I49=0," ",$I49)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8" x14ac:dyDescent="0.2">
      <c r="A41" s="51"/>
      <c r="B41" s="95" t="s">
        <v>8</v>
      </c>
      <c r="C41" s="156">
        <v>2</v>
      </c>
      <c r="D41" s="358">
        <v>2</v>
      </c>
      <c r="E41" s="358">
        <v>2</v>
      </c>
      <c r="F41" s="358"/>
      <c r="G41" s="358">
        <v>2</v>
      </c>
      <c r="H41" s="360"/>
      <c r="I41" s="360"/>
      <c r="J41" s="360">
        <v>2</v>
      </c>
      <c r="K41" s="360"/>
      <c r="L41" s="360">
        <v>2</v>
      </c>
      <c r="M41" s="360"/>
      <c r="N41" s="360">
        <v>2</v>
      </c>
      <c r="O41" s="360"/>
      <c r="P41" s="360"/>
      <c r="Q41" s="360"/>
      <c r="R41" s="360"/>
      <c r="S41" s="131">
        <v>7</v>
      </c>
      <c r="T41" s="106">
        <f>IF($J43=0," ",$J43)</f>
        <v>13</v>
      </c>
      <c r="U41" s="106">
        <f>IF($J49=0," ",$J49)</f>
        <v>17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8" x14ac:dyDescent="0.2">
      <c r="A42" s="51"/>
      <c r="B42" s="95" t="s">
        <v>160</v>
      </c>
      <c r="C42" s="156">
        <v>2</v>
      </c>
      <c r="D42" s="358">
        <v>2</v>
      </c>
      <c r="E42" s="358">
        <v>2</v>
      </c>
      <c r="F42" s="358"/>
      <c r="G42" s="358">
        <v>2</v>
      </c>
      <c r="H42" s="360"/>
      <c r="I42" s="360"/>
      <c r="J42" s="360">
        <v>1</v>
      </c>
      <c r="K42" s="360"/>
      <c r="L42" s="360">
        <v>2</v>
      </c>
      <c r="M42" s="360"/>
      <c r="N42" s="360">
        <v>2</v>
      </c>
      <c r="O42" s="360"/>
      <c r="P42" s="360"/>
      <c r="Q42" s="360"/>
      <c r="R42" s="360"/>
      <c r="S42" s="131">
        <v>8</v>
      </c>
      <c r="T42" s="106" t="str">
        <f>IF($K43=0," ",$K43)</f>
        <v xml:space="preserve"> </v>
      </c>
      <c r="U42" s="106" t="str">
        <f>IF($K49=0," ",$K49)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29"/>
      <c r="AY42" s="29"/>
    </row>
    <row r="43" spans="1:51" ht="15.75" x14ac:dyDescent="0.2">
      <c r="A43" s="51"/>
      <c r="B43" s="91" t="s">
        <v>38</v>
      </c>
      <c r="C43" s="92">
        <f t="shared" ref="C43:R43" si="11">SUM(C36:C42)</f>
        <v>16</v>
      </c>
      <c r="D43" s="92">
        <f t="shared" si="11"/>
        <v>16</v>
      </c>
      <c r="E43" s="92">
        <f t="shared" si="11"/>
        <v>13</v>
      </c>
      <c r="F43" s="92">
        <f t="shared" si="11"/>
        <v>0</v>
      </c>
      <c r="G43" s="92">
        <f t="shared" si="11"/>
        <v>16</v>
      </c>
      <c r="H43" s="92">
        <f t="shared" si="11"/>
        <v>0</v>
      </c>
      <c r="I43" s="92">
        <f t="shared" si="11"/>
        <v>0</v>
      </c>
      <c r="J43" s="92">
        <f t="shared" si="11"/>
        <v>13</v>
      </c>
      <c r="K43" s="92">
        <f t="shared" si="11"/>
        <v>0</v>
      </c>
      <c r="L43" s="92">
        <f t="shared" si="11"/>
        <v>16</v>
      </c>
      <c r="M43" s="92">
        <f t="shared" si="11"/>
        <v>0</v>
      </c>
      <c r="N43" s="92">
        <f t="shared" si="11"/>
        <v>16</v>
      </c>
      <c r="O43" s="92">
        <f t="shared" si="11"/>
        <v>0</v>
      </c>
      <c r="P43" s="424">
        <f t="shared" si="11"/>
        <v>0</v>
      </c>
      <c r="Q43" s="92">
        <f t="shared" si="11"/>
        <v>0</v>
      </c>
      <c r="R43" s="92">
        <f t="shared" si="11"/>
        <v>0</v>
      </c>
      <c r="S43" s="131">
        <v>9</v>
      </c>
      <c r="T43" s="106">
        <f>IF($L43=0," ",$L43)</f>
        <v>16</v>
      </c>
      <c r="U43" s="106">
        <f>IF($L49=0," ",$L49)</f>
        <v>19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29"/>
      <c r="AY43" s="29"/>
    </row>
    <row r="44" spans="1:51" ht="15.75" x14ac:dyDescent="0.2">
      <c r="A44" s="51"/>
      <c r="B44" s="96" t="s">
        <v>10</v>
      </c>
      <c r="C44" s="84"/>
      <c r="D44" s="85"/>
      <c r="E44" s="85"/>
      <c r="F44" s="85"/>
      <c r="G44" s="86"/>
      <c r="H44" s="86"/>
      <c r="I44" s="86"/>
      <c r="J44" s="86"/>
      <c r="K44" s="86"/>
      <c r="L44" s="86"/>
      <c r="M44" s="86"/>
      <c r="N44" s="86"/>
      <c r="O44" s="86"/>
      <c r="P44" s="422"/>
      <c r="Q44" s="86"/>
      <c r="R44" s="81"/>
      <c r="S44" s="131">
        <v>10</v>
      </c>
      <c r="T44" s="106" t="str">
        <f>IF($M43=0," ",$M43)</f>
        <v xml:space="preserve"> </v>
      </c>
      <c r="U44" s="106" t="str">
        <f>IF($M49=0," ",$M49)</f>
        <v xml:space="preserve"> 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8" x14ac:dyDescent="0.2">
      <c r="A45" s="51"/>
      <c r="B45" s="97" t="s">
        <v>13</v>
      </c>
      <c r="C45" s="156">
        <v>10</v>
      </c>
      <c r="D45" s="371">
        <v>10</v>
      </c>
      <c r="E45" s="371">
        <v>10</v>
      </c>
      <c r="F45" s="371">
        <v>10</v>
      </c>
      <c r="G45" s="372">
        <v>10</v>
      </c>
      <c r="H45" s="372"/>
      <c r="I45" s="372"/>
      <c r="J45" s="372">
        <v>10</v>
      </c>
      <c r="K45" s="372"/>
      <c r="L45" s="372">
        <v>10</v>
      </c>
      <c r="M45" s="372"/>
      <c r="N45" s="372">
        <v>10</v>
      </c>
      <c r="O45" s="372"/>
      <c r="P45" s="372"/>
      <c r="Q45" s="372"/>
      <c r="R45" s="372"/>
      <c r="S45" s="131">
        <v>11</v>
      </c>
      <c r="T45" s="106">
        <f>IF($N43=0," ",$N43)</f>
        <v>16</v>
      </c>
      <c r="U45" s="106">
        <f>IF($N49=0," ",$N49)</f>
        <v>20</v>
      </c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29"/>
      <c r="AX45" s="29"/>
    </row>
    <row r="46" spans="1:51" ht="18" x14ac:dyDescent="0.2">
      <c r="A46" s="51"/>
      <c r="B46" s="97" t="s">
        <v>161</v>
      </c>
      <c r="C46" s="156">
        <v>2</v>
      </c>
      <c r="D46" s="371">
        <v>2</v>
      </c>
      <c r="E46" s="371">
        <v>2</v>
      </c>
      <c r="F46" s="371">
        <v>1</v>
      </c>
      <c r="G46" s="372">
        <v>2</v>
      </c>
      <c r="H46" s="372"/>
      <c r="I46" s="372"/>
      <c r="J46" s="372">
        <v>1</v>
      </c>
      <c r="K46" s="372"/>
      <c r="L46" s="372">
        <v>1</v>
      </c>
      <c r="M46" s="372"/>
      <c r="N46" s="372">
        <v>2</v>
      </c>
      <c r="O46" s="372"/>
      <c r="P46" s="372"/>
      <c r="Q46" s="372"/>
      <c r="R46" s="372"/>
      <c r="S46" s="131">
        <v>12</v>
      </c>
      <c r="T46" s="106" t="str">
        <f>IF($O43=0," ",$O43)</f>
        <v xml:space="preserve"> </v>
      </c>
      <c r="U46" s="106" t="str">
        <f>IF($O49=0," ",$O49)</f>
        <v xml:space="preserve"> </v>
      </c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29"/>
      <c r="AX46" s="29"/>
    </row>
    <row r="47" spans="1:51" ht="18" x14ac:dyDescent="0.2">
      <c r="A47" s="51"/>
      <c r="B47" s="97" t="s">
        <v>15</v>
      </c>
      <c r="C47" s="156">
        <v>4</v>
      </c>
      <c r="D47" s="373">
        <v>4</v>
      </c>
      <c r="E47" s="373">
        <v>4</v>
      </c>
      <c r="F47" s="373">
        <v>2</v>
      </c>
      <c r="G47" s="374">
        <v>4</v>
      </c>
      <c r="H47" s="374"/>
      <c r="I47" s="374"/>
      <c r="J47" s="374">
        <v>4</v>
      </c>
      <c r="K47" s="374"/>
      <c r="L47" s="374">
        <v>4</v>
      </c>
      <c r="M47" s="374"/>
      <c r="N47" s="374">
        <v>4</v>
      </c>
      <c r="O47" s="374"/>
      <c r="P47" s="374"/>
      <c r="Q47" s="374"/>
      <c r="R47" s="374"/>
      <c r="S47" s="131">
        <v>13</v>
      </c>
      <c r="T47" s="106" t="str">
        <f>IF($P43=0," ",$P43)</f>
        <v xml:space="preserve"> </v>
      </c>
      <c r="U47" s="106" t="str">
        <f>IF($P49=0," ",$P49)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8" x14ac:dyDescent="0.2">
      <c r="A48" s="51"/>
      <c r="B48" s="158" t="s">
        <v>227</v>
      </c>
      <c r="C48" s="156">
        <v>4</v>
      </c>
      <c r="D48" s="373">
        <v>4</v>
      </c>
      <c r="E48" s="373">
        <v>4</v>
      </c>
      <c r="F48" s="373">
        <v>1</v>
      </c>
      <c r="G48" s="374">
        <v>4</v>
      </c>
      <c r="H48" s="374"/>
      <c r="I48" s="374"/>
      <c r="J48" s="374">
        <v>2</v>
      </c>
      <c r="K48" s="374"/>
      <c r="L48" s="374">
        <v>4</v>
      </c>
      <c r="M48" s="374"/>
      <c r="N48" s="374">
        <v>4</v>
      </c>
      <c r="O48" s="374"/>
      <c r="P48" s="374"/>
      <c r="Q48" s="374"/>
      <c r="R48" s="374"/>
      <c r="S48" s="131">
        <v>14</v>
      </c>
      <c r="T48" s="106" t="str">
        <f>IF($Q43=0," ",$Q43)</f>
        <v xml:space="preserve"> </v>
      </c>
      <c r="U48" s="106" t="str">
        <f>IF($Q49=0," ",$Q49)</f>
        <v xml:space="preserve"> 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ht="15.75" x14ac:dyDescent="0.2">
      <c r="A49" s="51"/>
      <c r="B49" s="91" t="s">
        <v>38</v>
      </c>
      <c r="C49" s="92">
        <f>SUM(C45:C48)</f>
        <v>20</v>
      </c>
      <c r="D49" s="92">
        <f t="shared" ref="D49:R49" si="12">SUM(D45:D48)</f>
        <v>20</v>
      </c>
      <c r="E49" s="92">
        <f t="shared" si="12"/>
        <v>20</v>
      </c>
      <c r="F49" s="92">
        <f t="shared" si="12"/>
        <v>14</v>
      </c>
      <c r="G49" s="92">
        <f t="shared" si="12"/>
        <v>20</v>
      </c>
      <c r="H49" s="92">
        <f t="shared" si="12"/>
        <v>0</v>
      </c>
      <c r="I49" s="92">
        <f t="shared" si="12"/>
        <v>0</v>
      </c>
      <c r="J49" s="92">
        <f t="shared" si="12"/>
        <v>17</v>
      </c>
      <c r="K49" s="92">
        <f t="shared" si="12"/>
        <v>0</v>
      </c>
      <c r="L49" s="92">
        <f t="shared" si="12"/>
        <v>19</v>
      </c>
      <c r="M49" s="92">
        <f t="shared" si="12"/>
        <v>0</v>
      </c>
      <c r="N49" s="92">
        <f t="shared" si="12"/>
        <v>20</v>
      </c>
      <c r="O49" s="92">
        <f t="shared" si="12"/>
        <v>0</v>
      </c>
      <c r="P49" s="92">
        <f t="shared" si="12"/>
        <v>0</v>
      </c>
      <c r="Q49" s="92">
        <f t="shared" si="12"/>
        <v>0</v>
      </c>
      <c r="R49" s="92">
        <f t="shared" si="12"/>
        <v>0</v>
      </c>
      <c r="S49" s="131">
        <v>15</v>
      </c>
      <c r="T49" s="106" t="str">
        <f>IF($R43=0," ",$R43)</f>
        <v xml:space="preserve"> </v>
      </c>
      <c r="U49" s="106" t="str">
        <f>IF($R49=0," ",$R49)</f>
        <v xml:space="preserve"> 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ht="15" x14ac:dyDescent="0.2">
      <c r="A50" s="51"/>
      <c r="B50" s="55"/>
      <c r="C50" s="56"/>
      <c r="D50" s="56"/>
      <c r="E50" s="56"/>
      <c r="F50" s="5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132"/>
      <c r="T50" s="20">
        <f>COUNTIF(T35:T49,"&gt;0")</f>
        <v>6</v>
      </c>
      <c r="U50" s="20">
        <f>COUNTIF(U35:U49,"&gt;0")</f>
        <v>7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1"/>
      <c r="B51" s="55"/>
      <c r="C51" s="56"/>
      <c r="D51" s="56"/>
      <c r="E51" s="56"/>
      <c r="F51" s="56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</row>
    <row r="52" spans="1:50" x14ac:dyDescent="0.2">
      <c r="A52" s="51"/>
      <c r="B52" s="55"/>
      <c r="C52" s="56"/>
      <c r="D52" s="56"/>
      <c r="E52" s="56"/>
      <c r="F52" s="56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  <row r="145" spans="1:2" x14ac:dyDescent="0.2">
      <c r="A145" s="51"/>
      <c r="B145" s="53"/>
    </row>
    <row r="146" spans="1:2" x14ac:dyDescent="0.2">
      <c r="A146" s="51"/>
      <c r="B146" s="53"/>
    </row>
    <row r="147" spans="1:2" x14ac:dyDescent="0.2">
      <c r="A147" s="51"/>
      <c r="B147" s="53"/>
    </row>
  </sheetData>
  <customSheetViews>
    <customSheetView guid="{C5D960BD-C1A6-4228-A267-A87ADCF0AB55}" scale="60" showPageBreaks="1" showGridLines="0" fitToPage="1" printArea="1">
      <pane xSplit="6" ySplit="6" topLeftCell="AC7" activePane="bottomRight" state="frozen"/>
      <selection pane="bottomRight" activeCell="C3" sqref="C3:C7"/>
      <pageMargins left="0.56000000000000005" right="0.25" top="0.64" bottom="0.65" header="0.5" footer="0.5"/>
      <pageSetup paperSize="9" scale="34" fitToWidth="2" orientation="portrait" horizontalDpi="4294967293" r:id="rId1"/>
      <headerFooter alignWithMargins="0">
        <oddHeader>&amp;C</oddHeader>
      </headerFooter>
    </customSheetView>
    <customSheetView guid="{6C8D603E-9A1B-49F4-AEFE-06707C7BCD53}" scale="80" showPageBreaks="1" showGridLines="0" fitToPage="1" printArea="1">
      <pane xSplit="6" ySplit="7" topLeftCell="AB8" activePane="bottomRight" state="frozen"/>
      <selection pane="bottomRight" activeCell="AE18" sqref="AE18"/>
      <pageMargins left="0.56000000000000005" right="0.25" top="0.64" bottom="0.65" header="0.5" footer="0.5"/>
      <pageSetup paperSize="9" scale="34" fitToWidth="2" orientation="portrait" horizontalDpi="4294967293" r:id="rId2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AC7" activePane="bottomRight" state="frozen"/>
      <selection pane="bottomRight" activeCell="C3" sqref="C3:C7"/>
      <pageMargins left="0.56000000000000005" right="0.25" top="0.64" bottom="0.65" header="0.5" footer="0.5"/>
      <pageSetup paperSize="9" scale="36" fitToWidth="2" orientation="portrait" horizontalDpi="4294967293" verticalDpi="0" r:id="rId3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36" fitToWidth="2" orientation="portrait" horizontalDpi="0" verticalDpi="0" r:id="rId4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H10" activePane="bottomRight" state="frozen"/>
      <selection pane="bottomRight" activeCell="AU7" sqref="AU7:AW7"/>
      <pageMargins left="0.56000000000000005" right="0.25" top="0.64" bottom="0.65" header="0.5" footer="0.5"/>
      <pageSetup paperSize="9" scale="12" fitToWidth="2" orientation="landscape" r:id="rId5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X7" activePane="bottomRight" state="frozen"/>
      <selection pane="bottomRight" activeCell="O19" sqref="O19"/>
      <pageMargins left="0.56000000000000005" right="0.25" top="0.64" bottom="0.65" header="0.5" footer="0.5"/>
      <pageSetup paperSize="9" scale="52" fitToWidth="2" orientation="landscape" r:id="rId6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I7" activePane="bottomRight" state="frozen"/>
      <selection pane="bottomRight" activeCell="AV8" sqref="AV8:AV19"/>
      <pageMargins left="0.4" right="0.34" top="0.64" bottom="0.65" header="0.5" footer="0.5"/>
      <pageSetup paperSize="9" scale="39" fitToWidth="2" orientation="landscape" r:id="rId7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K7" activePane="bottomRight" state="frozen"/>
      <selection pane="bottomRight" activeCell="AX8" sqref="AX8"/>
      <pageMargins left="0.56000000000000005" right="0.25" top="0.64" bottom="0.65" header="0.5" footer="0.5"/>
      <pageSetup paperSize="9" scale="51" fitToWidth="2" orientation="landscape" r:id="rId8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9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10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11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6" topLeftCell="G26" activePane="bottomRight" state="frozen"/>
      <selection pane="bottomRight" activeCell="H44" sqref="H44"/>
      <pageMargins left="0.56000000000000005" right="0.25" top="0.64" bottom="0.65" header="0.5" footer="0.5"/>
      <pageSetup paperSize="9" scale="52" fitToWidth="2" orientation="landscape" r:id="rId12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W7" activePane="bottomRight" state="frozen"/>
      <selection pane="bottomRight" activeCell="W7" sqref="W7:Y7"/>
      <pageMargins left="0.56000000000000005" right="0.25" top="0.64" bottom="0.65" header="0.5" footer="0.5"/>
      <pageSetup paperSize="9" scale="52" fitToWidth="2" orientation="landscape" r:id="rId13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G10" activePane="bottomRight" state="frozen"/>
      <selection pane="bottomRight" activeCell="L8" sqref="L8"/>
      <pageMargins left="0.56000000000000005" right="0.25" top="0.64" bottom="0.65" header="0.5" footer="0.5"/>
      <pageSetup paperSize="9" scale="56" fitToWidth="2" orientation="landscape" r:id="rId16"/>
      <headerFooter alignWithMargins="0">
        <oddHeader>&amp;C2006/2007 уч.рік 5 трим</oddHeader>
      </headerFooter>
    </customSheetView>
    <customSheetView guid="{DB247C62-AD53-4E02-85BF-C5978A17182C}" scale="85" showGridLines="0" hiddenRows="1" showRuler="0">
      <pane xSplit="6" ySplit="6" topLeftCell="AA7" activePane="bottomRight" state="frozen"/>
      <selection pane="bottomRight" activeCell="AB18" sqref="AB18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X7" activePane="bottomRight" state="frozen"/>
      <selection pane="bottomRight" activeCell="AB9" sqref="AB9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P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22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AO7" activePane="bottomRight" state="frozen"/>
      <selection pane="bottomRight" activeCell="AW15" sqref="AW15"/>
      <pageMargins left="0.56000000000000005" right="0.25" top="0.64" bottom="0.65" header="0.5" footer="0.5"/>
      <pageSetup paperSize="9" scale="50" fitToWidth="2" orientation="landscape" r:id="rId23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0" fitToWidth="2" orientation="landscape" r:id="rId24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51" fitToWidth="2" orientation="landscape" r:id="rId25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G7" activePane="bottomRight" state="frozen"/>
      <selection pane="bottomRight" activeCell="B19" sqref="B19"/>
      <pageMargins left="0.56000000000000005" right="0.25" top="0.64" bottom="0.65" header="0.5" footer="0.5"/>
      <pageSetup paperSize="9" scale="52" fitToWidth="2" orientation="landscape" r:id="rId26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AQ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27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8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21"/>
      <pageMargins left="0.56000000000000005" right="0.25" top="0.64" bottom="0.65" header="0.5" footer="0.5"/>
      <pageSetup paperSize="9" scale="52" fitToWidth="2" orientation="landscape" r:id="rId29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3" fitToWidth="2" orientation="portrait" horizontalDpi="4294967293" verticalDpi="200" r:id="rId30"/>
      <headerFooter alignWithMargins="0">
        <oddHeader>&amp;C</oddHeader>
      </headerFooter>
    </customSheetView>
    <customSheetView guid="{134EDDCA-7309-47EE-BAAB-632C7B2A96A3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31"/>
      <headerFooter alignWithMargins="0">
        <oddHeader>&amp;C</oddHeader>
      </headerFooter>
    </customSheetView>
    <customSheetView guid="{C2F30B35-D639-4BB4-A50F-41AB6A913442}" scale="80" showPageBreaks="1" showGridLines="0" fitToPage="1" hiddenRows="1">
      <pane xSplit="6" ySplit="7" topLeftCell="AM8" activePane="bottomRight" state="frozen"/>
      <selection pane="bottomRight" activeCell="AR14" sqref="AR14"/>
      <pageMargins left="0.56000000000000005" right="0.25" top="0.64" bottom="0.65" header="0.5" footer="0.5"/>
      <pageSetup paperSize="9" scale="50" fitToWidth="2" orientation="landscape" r:id="rId3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H7" activePane="bottomRight" state="frozen"/>
      <selection pane="bottomRight" activeCell="AU7" sqref="AU7:AW7"/>
      <pageMargins left="0.56000000000000005" right="0.25" top="0.64" bottom="0.65" header="0.5" footer="0.5"/>
      <pageSetup paperSize="9" scale="50" fitToWidth="2" orientation="landscape" r:id="rId33"/>
      <headerFooter alignWithMargins="0">
        <oddHeader>&amp;C</oddHeader>
      </headerFooter>
    </customSheetView>
  </customSheetViews>
  <mergeCells count="53">
    <mergeCell ref="Z7:AA7"/>
    <mergeCell ref="AF3:AH3"/>
    <mergeCell ref="AF7:AG7"/>
    <mergeCell ref="AB3:AC3"/>
    <mergeCell ref="Z3:AA3"/>
    <mergeCell ref="AB7:AC7"/>
    <mergeCell ref="Z5:Z6"/>
    <mergeCell ref="AG5:AG6"/>
    <mergeCell ref="AE5:AE6"/>
    <mergeCell ref="AF5:AF6"/>
    <mergeCell ref="AB5:AB6"/>
    <mergeCell ref="W7:Y7"/>
    <mergeCell ref="P5:P6"/>
    <mergeCell ref="O3:Q3"/>
    <mergeCell ref="O5:O6"/>
    <mergeCell ref="U3:V3"/>
    <mergeCell ref="X5:X6"/>
    <mergeCell ref="W5:W6"/>
    <mergeCell ref="U7:V7"/>
    <mergeCell ref="R7:T7"/>
    <mergeCell ref="O7:Q7"/>
    <mergeCell ref="V2:W2"/>
    <mergeCell ref="R5:R6"/>
    <mergeCell ref="U5:U6"/>
    <mergeCell ref="V5:V6"/>
    <mergeCell ref="M5:M6"/>
    <mergeCell ref="S5:S6"/>
    <mergeCell ref="J7:L7"/>
    <mergeCell ref="J5:J6"/>
    <mergeCell ref="S2:T2"/>
    <mergeCell ref="K5:K6"/>
    <mergeCell ref="M3:N3"/>
    <mergeCell ref="AL3:AM3"/>
    <mergeCell ref="AL5:AL6"/>
    <mergeCell ref="AM5:AM6"/>
    <mergeCell ref="A3:A7"/>
    <mergeCell ref="B3:B7"/>
    <mergeCell ref="F5:F6"/>
    <mergeCell ref="G5:G6"/>
    <mergeCell ref="H5:H6"/>
    <mergeCell ref="D3:D7"/>
    <mergeCell ref="C3:C7"/>
    <mergeCell ref="F3:G3"/>
    <mergeCell ref="E3:E7"/>
    <mergeCell ref="H3:I3"/>
    <mergeCell ref="I5:I6"/>
    <mergeCell ref="M7:N7"/>
    <mergeCell ref="AI7:AK7"/>
    <mergeCell ref="AI3:AK3"/>
    <mergeCell ref="AI5:AI6"/>
    <mergeCell ref="AJ5:AJ6"/>
    <mergeCell ref="AD5:AD6"/>
    <mergeCell ref="AD3:AE3"/>
  </mergeCells>
  <phoneticPr fontId="1" type="noConversion"/>
  <conditionalFormatting sqref="M31 F24:F26">
    <cfRule type="cellIs" dxfId="7" priority="2" stopIfTrue="1" operator="greaterThan">
      <formula>21</formula>
    </cfRule>
  </conditionalFormatting>
  <conditionalFormatting sqref="E8:E23">
    <cfRule type="cellIs" dxfId="6" priority="1" stopIfTrue="1" operator="greaterThan">
      <formula>21</formula>
    </cfRule>
  </conditionalFormatting>
  <pageMargins left="0.56000000000000005" right="0.25" top="0.64" bottom="0.65" header="0.5" footer="0.5"/>
  <pageSetup paperSize="9" scale="34" fitToWidth="2" orientation="portrait" horizontalDpi="4294967293" r:id="rId34"/>
  <headerFooter alignWithMargins="0">
    <oddHeader>&amp;C</oddHeader>
  </headerFooter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Лекції</vt:lpstr>
      <vt:lpstr>Бали за контр</vt:lpstr>
      <vt:lpstr>Довідник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203_1</vt:lpstr>
      <vt:lpstr>203_2</vt:lpstr>
      <vt:lpstr>Sheet1</vt:lpstr>
      <vt:lpstr>Sheet2</vt:lpstr>
      <vt:lpstr>ESTC</vt:lpstr>
      <vt:lpstr>'201_1'!Print_Area</vt:lpstr>
      <vt:lpstr>'201_2'!Print_Area</vt:lpstr>
      <vt:lpstr>'202_1'!Print_Area</vt:lpstr>
      <vt:lpstr>'202_2'!Print_Area</vt:lpstr>
      <vt:lpstr>'203_1'!Print_Area</vt:lpstr>
      <vt:lpstr>'203_2'!Print_Area</vt:lpstr>
      <vt:lpstr>'201_1'!Print_Titles</vt:lpstr>
      <vt:lpstr>'201_2'!Print_Titles</vt:lpstr>
      <vt:lpstr>'202_1'!Print_Titles</vt:lpstr>
      <vt:lpstr>'202_2'!Print_Titles</vt:lpstr>
      <vt:lpstr>'203_1'!Print_Titles</vt:lpstr>
      <vt:lpstr>'203_2'!Print_Titles</vt:lpstr>
      <vt:lpstr>Підс</vt:lpstr>
      <vt:lpstr>Підс1</vt:lpstr>
      <vt:lpstr>'203_1'!Підс2</vt:lpstr>
      <vt:lpstr>Підс2</vt:lpstr>
      <vt:lpstr>'203_2'!Підс3</vt:lpstr>
      <vt:lpstr>Підс3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Ніколенко Світлана Григорівна</cp:lastModifiedBy>
  <cp:lastPrinted>2015-01-29T11:50:29Z</cp:lastPrinted>
  <dcterms:created xsi:type="dcterms:W3CDTF">2003-01-15T20:44:10Z</dcterms:created>
  <dcterms:modified xsi:type="dcterms:W3CDTF">2018-01-29T11:44:09Z</dcterms:modified>
</cp:coreProperties>
</file>